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drawings/drawing5.xml" ContentType="application/vnd.openxmlformats-officedocument.drawing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120" windowWidth="15480" windowHeight="8580" tabRatio="957" activeTab="1"/>
  </bookViews>
  <sheets>
    <sheet name="Kalend" sheetId="8" r:id="rId1"/>
    <sheet name="Kal E" sheetId="7" r:id="rId2"/>
    <sheet name="Tul" sheetId="6" r:id="rId3"/>
    <sheet name="V" sheetId="16" r:id="rId4"/>
    <sheet name="V1" sheetId="15" r:id="rId5"/>
    <sheet name="V2" sheetId="13" r:id="rId6"/>
    <sheet name="V3" sheetId="22" r:id="rId7"/>
    <sheet name="V4" sheetId="21" r:id="rId8"/>
    <sheet name="V5" sheetId="20" r:id="rId9"/>
    <sheet name="V6" sheetId="19" r:id="rId10"/>
    <sheet name="V7" sheetId="18" r:id="rId11"/>
    <sheet name="V-jh" sheetId="25" r:id="rId12"/>
    <sheet name="Vi-d" sheetId="24" r:id="rId13"/>
    <sheet name="V8" sheetId="23" r:id="rId14"/>
    <sheet name="V-n1" sheetId="28" r:id="rId15"/>
    <sheet name="V9" sheetId="27" r:id="rId16"/>
    <sheet name="Vi-t" sheetId="26" r:id="rId17"/>
    <sheet name="V10" sheetId="17" r:id="rId18"/>
    <sheet name="V11" sheetId="34" r:id="rId19"/>
    <sheet name="iv-t" sheetId="33" r:id="rId20"/>
    <sheet name="V-n2" sheetId="32" r:id="rId21"/>
    <sheet name="V12" sheetId="31" r:id="rId22"/>
    <sheet name="Vi-ü" sheetId="30" r:id="rId23"/>
    <sheet name="EV101" sheetId="29" r:id="rId24"/>
    <sheet name="V13" sheetId="40" r:id="rId25"/>
    <sheet name="V14" sheetId="39" r:id="rId26"/>
    <sheet name="iv-d" sheetId="41" r:id="rId27"/>
    <sheet name="shk-viru" sheetId="42" r:id="rId28"/>
    <sheet name="V15" sheetId="43" r:id="rId29"/>
    <sheet name="V-fin" sheetId="44" r:id="rId30"/>
    <sheet name="iv-ü" sheetId="45" r:id="rId31"/>
    <sheet name="Voka KV juhend" sheetId="1" r:id="rId32"/>
    <sheet name="ETAPP" sheetId="5" r:id="rId33"/>
    <sheet name="PIV" sheetId="4" r:id="rId34"/>
    <sheet name="PVO" sheetId="3" r:id="rId35"/>
  </sheets>
  <definedNames>
    <definedName name="_xlnm.Print_Area" localSheetId="30">'iv-ü'!$A$1:$N$322</definedName>
    <definedName name="_xlnm.Print_Titles" localSheetId="23">'EV101'!$1:$2</definedName>
    <definedName name="_xlnm.Print_Titles" localSheetId="26">'iv-d'!$1:$2</definedName>
    <definedName name="_xlnm.Print_Titles" localSheetId="19">'iv-t'!$1:$2</definedName>
    <definedName name="_xlnm.Print_Titles" localSheetId="30">'iv-ü'!$1:$2</definedName>
    <definedName name="_xlnm.Print_Titles" localSheetId="1">'Kal E'!$1:$3</definedName>
    <definedName name="_xlnm.Print_Titles" localSheetId="0">Kalend!$1:$2</definedName>
    <definedName name="_xlnm.Print_Titles" localSheetId="27">'shk-viru'!$1:$4</definedName>
    <definedName name="_xlnm.Print_Titles" localSheetId="2">Tul!$1:$3</definedName>
    <definedName name="_xlnm.Print_Titles" localSheetId="3">V!$1:$6</definedName>
    <definedName name="_xlnm.Print_Titles" localSheetId="4">'V1'!$1:$2</definedName>
    <definedName name="_xlnm.Print_Titles" localSheetId="17">'V10'!$1:$2</definedName>
    <definedName name="_xlnm.Print_Titles" localSheetId="18">'V11'!$1:$2</definedName>
    <definedName name="_xlnm.Print_Titles" localSheetId="21">'V12'!$1:$2</definedName>
    <definedName name="_xlnm.Print_Titles" localSheetId="24">'V13'!$1:$2</definedName>
    <definedName name="_xlnm.Print_Titles" localSheetId="25">'V14'!$1:$2</definedName>
    <definedName name="_xlnm.Print_Titles" localSheetId="28">'V15'!$1:$2</definedName>
    <definedName name="_xlnm.Print_Titles" localSheetId="5">'V2'!$1:$2</definedName>
    <definedName name="_xlnm.Print_Titles" localSheetId="6">'V3'!$1:$2</definedName>
    <definedName name="_xlnm.Print_Titles" localSheetId="7">'V4'!$1:$2</definedName>
    <definedName name="_xlnm.Print_Titles" localSheetId="8">'V5'!$1:$2</definedName>
    <definedName name="_xlnm.Print_Titles" localSheetId="9">'V6'!$1:$2</definedName>
    <definedName name="_xlnm.Print_Titles" localSheetId="10">'V7'!$1:$2</definedName>
    <definedName name="_xlnm.Print_Titles" localSheetId="13">'V8'!$1:$2</definedName>
    <definedName name="_xlnm.Print_Titles" localSheetId="15">'V9'!$1:$2</definedName>
    <definedName name="_xlnm.Print_Titles" localSheetId="29">'V-fin'!$1:$2</definedName>
    <definedName name="_xlnm.Print_Titles" localSheetId="12">'Vi-d'!$1:$2</definedName>
    <definedName name="_xlnm.Print_Titles" localSheetId="16">'Vi-t'!$1:$2</definedName>
    <definedName name="_xlnm.Print_Titles" localSheetId="22">'Vi-ü'!$1:$2</definedName>
    <definedName name="_xlnm.Print_Titles" localSheetId="11">'V-jh'!$1:$2</definedName>
    <definedName name="_xlnm.Print_Titles" localSheetId="14">'V-n1'!$1:$2</definedName>
    <definedName name="_xlnm.Print_Titles" localSheetId="20">'V-n2'!$1:$2</definedName>
    <definedName name="_xlnm.Print_Titles" localSheetId="31">'Voka KV juhend'!$1:$2</definedName>
  </definedNames>
  <calcPr calcId="145621"/>
</workbook>
</file>

<file path=xl/calcChain.xml><?xml version="1.0" encoding="utf-8"?>
<calcChain xmlns="http://schemas.openxmlformats.org/spreadsheetml/2006/main">
  <c r="K64" i="7" l="1"/>
  <c r="K26" i="7"/>
  <c r="M118" i="7" l="1"/>
  <c r="A4" i="42" l="1"/>
  <c r="A3" i="42"/>
  <c r="A2" i="42"/>
  <c r="A1" i="42"/>
  <c r="N120" i="7" l="1"/>
  <c r="N104" i="7"/>
  <c r="N95" i="7"/>
  <c r="L85" i="7"/>
  <c r="L83" i="7"/>
  <c r="L70" i="7"/>
  <c r="E46" i="8"/>
  <c r="L123" i="7" l="1"/>
  <c r="L122" i="7"/>
  <c r="B220" i="45" l="1"/>
  <c r="C220" i="45" s="1"/>
  <c r="B212" i="45"/>
  <c r="C212" i="45" s="1"/>
  <c r="B206" i="45"/>
  <c r="B196" i="45"/>
  <c r="C196" i="45" s="1"/>
  <c r="C206" i="45" l="1"/>
  <c r="B114" i="45" l="1"/>
  <c r="C114" i="45" s="1"/>
  <c r="B128" i="45"/>
  <c r="C128" i="45" s="1"/>
  <c r="B120" i="45"/>
  <c r="C120" i="45" s="1"/>
  <c r="B104" i="45"/>
  <c r="C104" i="45" s="1"/>
  <c r="A4" i="45" l="1"/>
  <c r="A2" i="45"/>
  <c r="T8" i="45"/>
  <c r="T9" i="45"/>
  <c r="T10" i="45"/>
  <c r="T14" i="45"/>
  <c r="T15" i="45"/>
  <c r="T16" i="45"/>
  <c r="T21" i="45"/>
  <c r="T22" i="45"/>
  <c r="T23" i="45"/>
  <c r="T24" i="45"/>
  <c r="T28" i="45"/>
  <c r="T29" i="45"/>
  <c r="T30" i="45"/>
  <c r="T31" i="45"/>
  <c r="T35" i="45"/>
  <c r="T36" i="45"/>
  <c r="T37" i="45"/>
  <c r="T38" i="45"/>
  <c r="T42" i="45"/>
  <c r="T43" i="45"/>
  <c r="T44" i="45"/>
  <c r="T45" i="45"/>
  <c r="T7" i="45"/>
  <c r="H60" i="45" l="1"/>
  <c r="L60" i="45" s="1"/>
  <c r="H59" i="45"/>
  <c r="L59" i="45" s="1"/>
  <c r="H58" i="45"/>
  <c r="L58" i="45" s="1"/>
  <c r="H57" i="45"/>
  <c r="L57" i="45" s="1"/>
  <c r="H56" i="45"/>
  <c r="L56" i="45" s="1"/>
  <c r="M55" i="45"/>
  <c r="H53" i="45"/>
  <c r="L53" i="45" s="1"/>
  <c r="H52" i="45"/>
  <c r="L52" i="45" s="1"/>
  <c r="H51" i="45"/>
  <c r="L51" i="45" s="1"/>
  <c r="H50" i="45"/>
  <c r="L50" i="45" s="1"/>
  <c r="H49" i="45"/>
  <c r="L49" i="45" s="1"/>
  <c r="M48" i="45"/>
  <c r="H46" i="45"/>
  <c r="L46" i="45" s="1"/>
  <c r="H45" i="45"/>
  <c r="L45" i="45" s="1"/>
  <c r="H44" i="45"/>
  <c r="L44" i="45" s="1"/>
  <c r="H43" i="45"/>
  <c r="L43" i="45" s="1"/>
  <c r="H42" i="45"/>
  <c r="L42" i="45" s="1"/>
  <c r="J42" i="45" s="1"/>
  <c r="M41" i="45"/>
  <c r="I46" i="45" s="1"/>
  <c r="H39" i="45"/>
  <c r="L39" i="45" s="1"/>
  <c r="H38" i="45"/>
  <c r="L38" i="45" s="1"/>
  <c r="H37" i="45"/>
  <c r="L37" i="45" s="1"/>
  <c r="H36" i="45"/>
  <c r="L36" i="45" s="1"/>
  <c r="H35" i="45"/>
  <c r="L35" i="45" s="1"/>
  <c r="M34" i="45"/>
  <c r="I39" i="45" s="1"/>
  <c r="H32" i="45"/>
  <c r="L32" i="45" s="1"/>
  <c r="H31" i="45"/>
  <c r="L31" i="45" s="1"/>
  <c r="H30" i="45"/>
  <c r="L30" i="45" s="1"/>
  <c r="H29" i="45"/>
  <c r="L29" i="45" s="1"/>
  <c r="H28" i="45"/>
  <c r="L28" i="45" s="1"/>
  <c r="M27" i="45"/>
  <c r="H25" i="45"/>
  <c r="L25" i="45" s="1"/>
  <c r="H24" i="45"/>
  <c r="L24" i="45" s="1"/>
  <c r="H23" i="45"/>
  <c r="L23" i="45" s="1"/>
  <c r="H22" i="45"/>
  <c r="L22" i="45" s="1"/>
  <c r="H21" i="45"/>
  <c r="L21" i="45" s="1"/>
  <c r="M20" i="45"/>
  <c r="I25" i="45" s="1"/>
  <c r="H18" i="45"/>
  <c r="L18" i="45" s="1"/>
  <c r="H17" i="45"/>
  <c r="L17" i="45" s="1"/>
  <c r="H16" i="45"/>
  <c r="L16" i="45" s="1"/>
  <c r="H15" i="45"/>
  <c r="L15" i="45" s="1"/>
  <c r="H14" i="45"/>
  <c r="L14" i="45" s="1"/>
  <c r="K14" i="45" s="1"/>
  <c r="M13" i="45"/>
  <c r="H11" i="45"/>
  <c r="L11" i="45" s="1"/>
  <c r="H10" i="45"/>
  <c r="L10" i="45" s="1"/>
  <c r="H9" i="45"/>
  <c r="L9" i="45" s="1"/>
  <c r="H8" i="45"/>
  <c r="L8" i="45" s="1"/>
  <c r="H7" i="45"/>
  <c r="M6" i="45"/>
  <c r="I1" i="45"/>
  <c r="G1" i="45"/>
  <c r="J43" i="45" l="1"/>
  <c r="J45" i="45"/>
  <c r="J44" i="45"/>
  <c r="J46" i="45"/>
  <c r="K15" i="45"/>
  <c r="K17" i="45"/>
  <c r="K43" i="45"/>
  <c r="K45" i="45"/>
  <c r="K16" i="45"/>
  <c r="K18" i="45"/>
  <c r="K42" i="45"/>
  <c r="K44" i="45"/>
  <c r="K46" i="45"/>
  <c r="J22" i="45"/>
  <c r="J24" i="45"/>
  <c r="J21" i="45"/>
  <c r="J23" i="45"/>
  <c r="J25" i="45"/>
  <c r="I53" i="45"/>
  <c r="I51" i="45"/>
  <c r="I49" i="45"/>
  <c r="I52" i="45"/>
  <c r="I50" i="45"/>
  <c r="I59" i="45"/>
  <c r="I57" i="45"/>
  <c r="I60" i="45"/>
  <c r="I58" i="45"/>
  <c r="I56" i="45"/>
  <c r="K21" i="45"/>
  <c r="M21" i="45" s="1"/>
  <c r="L7" i="45"/>
  <c r="J7" i="45" s="1"/>
  <c r="J15" i="45"/>
  <c r="J18" i="45"/>
  <c r="K23" i="45"/>
  <c r="M23" i="45" s="1"/>
  <c r="K8" i="45"/>
  <c r="J8" i="45"/>
  <c r="K10" i="45"/>
  <c r="J10" i="45"/>
  <c r="J11" i="45"/>
  <c r="K11" i="45"/>
  <c r="J14" i="45"/>
  <c r="J16" i="45"/>
  <c r="K22" i="45"/>
  <c r="J28" i="45"/>
  <c r="K28" i="45"/>
  <c r="J30" i="45"/>
  <c r="K30" i="45"/>
  <c r="J32" i="45"/>
  <c r="K32" i="45"/>
  <c r="I18" i="45"/>
  <c r="K29" i="45"/>
  <c r="J29" i="45"/>
  <c r="K31" i="45"/>
  <c r="J31" i="45"/>
  <c r="K36" i="45"/>
  <c r="J36" i="45"/>
  <c r="K38" i="45"/>
  <c r="J38" i="45"/>
  <c r="I11" i="45"/>
  <c r="J17" i="45"/>
  <c r="K24" i="45"/>
  <c r="K25" i="45"/>
  <c r="I32" i="45"/>
  <c r="J35" i="45"/>
  <c r="K35" i="45"/>
  <c r="J37" i="45"/>
  <c r="K37" i="45"/>
  <c r="J39" i="45"/>
  <c r="K39" i="45"/>
  <c r="J49" i="45"/>
  <c r="K49" i="45"/>
  <c r="J51" i="45"/>
  <c r="K51" i="45"/>
  <c r="J57" i="45"/>
  <c r="K57" i="45"/>
  <c r="J59" i="45"/>
  <c r="K59" i="45"/>
  <c r="K50" i="45"/>
  <c r="J50" i="45"/>
  <c r="K52" i="45"/>
  <c r="J52" i="45"/>
  <c r="K53" i="45"/>
  <c r="J53" i="45"/>
  <c r="K56" i="45"/>
  <c r="J56" i="45"/>
  <c r="K58" i="45"/>
  <c r="J58" i="45"/>
  <c r="K60" i="45"/>
  <c r="J60" i="45"/>
  <c r="F57" i="8"/>
  <c r="E57" i="8"/>
  <c r="M30" i="45" l="1"/>
  <c r="K9" i="45"/>
  <c r="A1" i="45"/>
  <c r="A3" i="45"/>
  <c r="K7" i="45"/>
  <c r="M36" i="45"/>
  <c r="J9" i="45"/>
  <c r="M9" i="45" s="1"/>
  <c r="M17" i="45"/>
  <c r="M31" i="45"/>
  <c r="M29" i="45"/>
  <c r="M7" i="45"/>
  <c r="M60" i="45"/>
  <c r="M58" i="45"/>
  <c r="M56" i="45"/>
  <c r="M53" i="45"/>
  <c r="M52" i="45"/>
  <c r="M37" i="45"/>
  <c r="M18" i="45"/>
  <c r="M15" i="45"/>
  <c r="M10" i="45"/>
  <c r="M8" i="45"/>
  <c r="M50" i="45"/>
  <c r="M57" i="45"/>
  <c r="M51" i="45"/>
  <c r="M16" i="45"/>
  <c r="M59" i="45"/>
  <c r="M49" i="45"/>
  <c r="M39" i="45"/>
  <c r="M35" i="45"/>
  <c r="M38" i="45"/>
  <c r="M32" i="45"/>
  <c r="M28" i="45"/>
  <c r="M25" i="45"/>
  <c r="M22" i="45"/>
  <c r="M14" i="45"/>
  <c r="M11" i="45"/>
  <c r="I29" i="45"/>
  <c r="M24" i="45"/>
  <c r="H123" i="44"/>
  <c r="H120" i="44"/>
  <c r="H117" i="44"/>
  <c r="H114" i="44"/>
  <c r="H111" i="44"/>
  <c r="H108" i="44"/>
  <c r="H105" i="44"/>
  <c r="H102" i="44"/>
  <c r="A4" i="44"/>
  <c r="A2" i="44"/>
  <c r="B307" i="44"/>
  <c r="G1" i="44"/>
  <c r="E1" i="44"/>
  <c r="I24" i="45" l="1"/>
  <c r="I17" i="45"/>
  <c r="I14" i="45"/>
  <c r="I31" i="45"/>
  <c r="I38" i="45"/>
  <c r="I8" i="45"/>
  <c r="I9" i="45"/>
  <c r="I28" i="45"/>
  <c r="I36" i="45"/>
  <c r="I37" i="45"/>
  <c r="I35" i="45"/>
  <c r="I7" i="45"/>
  <c r="I30" i="45"/>
  <c r="I16" i="45"/>
  <c r="I15" i="45"/>
  <c r="B224" i="45" s="1"/>
  <c r="I10" i="45"/>
  <c r="I23" i="45"/>
  <c r="I21" i="45"/>
  <c r="I22" i="45"/>
  <c r="B306" i="44"/>
  <c r="B305" i="44"/>
  <c r="B300" i="44"/>
  <c r="B301" i="44"/>
  <c r="B302" i="44"/>
  <c r="B303" i="44"/>
  <c r="B304" i="44"/>
  <c r="P67" i="16"/>
  <c r="O67" i="16"/>
  <c r="M67" i="16"/>
  <c r="Q67" i="16"/>
  <c r="B222" i="45" l="1"/>
  <c r="B194" i="45"/>
  <c r="C194" i="45" s="1"/>
  <c r="C261" i="45"/>
  <c r="C223" i="45"/>
  <c r="E236" i="45" s="1"/>
  <c r="B200" i="45"/>
  <c r="C249" i="45" s="1"/>
  <c r="B208" i="45"/>
  <c r="C208" i="45" s="1"/>
  <c r="B218" i="45"/>
  <c r="C218" i="45" s="1"/>
  <c r="B204" i="45"/>
  <c r="B214" i="45"/>
  <c r="C215" i="45" s="1"/>
  <c r="B198" i="45"/>
  <c r="C199" i="45" s="1"/>
  <c r="B210" i="45"/>
  <c r="C210" i="45" s="1"/>
  <c r="B126" i="45"/>
  <c r="C126" i="45" s="1"/>
  <c r="B118" i="45"/>
  <c r="C118" i="45" s="1"/>
  <c r="B106" i="45"/>
  <c r="B132" i="45"/>
  <c r="B112" i="45"/>
  <c r="B130" i="45"/>
  <c r="B122" i="45"/>
  <c r="B102" i="45"/>
  <c r="C102" i="45" s="1"/>
  <c r="B116" i="45"/>
  <c r="C116" i="45" s="1"/>
  <c r="B108" i="45"/>
  <c r="Y13" i="40"/>
  <c r="W13" i="40"/>
  <c r="U12" i="40"/>
  <c r="Y11" i="40"/>
  <c r="W11" i="40"/>
  <c r="Y10" i="40"/>
  <c r="W10" i="40"/>
  <c r="U9" i="40"/>
  <c r="Y8" i="40"/>
  <c r="W8" i="40"/>
  <c r="Y7" i="40"/>
  <c r="W7" i="40"/>
  <c r="A4" i="40"/>
  <c r="A2" i="40"/>
  <c r="Y60" i="31"/>
  <c r="W60" i="31"/>
  <c r="U60" i="31"/>
  <c r="S60" i="31"/>
  <c r="Y59" i="31"/>
  <c r="W59" i="31"/>
  <c r="U59" i="31"/>
  <c r="S59" i="31"/>
  <c r="Y58" i="31"/>
  <c r="W58" i="31"/>
  <c r="U58" i="31"/>
  <c r="S58" i="31"/>
  <c r="Y57" i="31"/>
  <c r="W57" i="31"/>
  <c r="U57" i="31"/>
  <c r="S57" i="31"/>
  <c r="Y56" i="31"/>
  <c r="W56" i="31"/>
  <c r="U56" i="31"/>
  <c r="S56" i="31"/>
  <c r="Y55" i="31"/>
  <c r="W55" i="31"/>
  <c r="U55" i="31"/>
  <c r="S55" i="31"/>
  <c r="Y54" i="31"/>
  <c r="W54" i="31"/>
  <c r="U54" i="31"/>
  <c r="S54" i="31"/>
  <c r="Y53" i="31"/>
  <c r="W53" i="31"/>
  <c r="U53" i="31"/>
  <c r="S53" i="31"/>
  <c r="Y52" i="31"/>
  <c r="W52" i="31"/>
  <c r="U52" i="31"/>
  <c r="S52" i="31"/>
  <c r="Y51" i="31"/>
  <c r="W51" i="31"/>
  <c r="U51" i="31"/>
  <c r="S51" i="31"/>
  <c r="Y50" i="31"/>
  <c r="W50" i="31"/>
  <c r="U50" i="31"/>
  <c r="S50" i="31"/>
  <c r="Y49" i="31"/>
  <c r="W49" i="31"/>
  <c r="U49" i="31"/>
  <c r="S49" i="31"/>
  <c r="Y48" i="31"/>
  <c r="W48" i="31"/>
  <c r="U48" i="31"/>
  <c r="S48" i="31"/>
  <c r="Y47" i="31"/>
  <c r="W47" i="31"/>
  <c r="U47" i="31"/>
  <c r="S47" i="31"/>
  <c r="Y46" i="31"/>
  <c r="W46" i="31"/>
  <c r="U46" i="31"/>
  <c r="S46" i="31"/>
  <c r="Y45" i="31"/>
  <c r="W45" i="31"/>
  <c r="U45" i="31"/>
  <c r="S45" i="31"/>
  <c r="Y44" i="31"/>
  <c r="W44" i="31"/>
  <c r="U44" i="31"/>
  <c r="S44" i="31"/>
  <c r="Y43" i="31"/>
  <c r="W43" i="31"/>
  <c r="U43" i="31"/>
  <c r="S43" i="31"/>
  <c r="Y42" i="31"/>
  <c r="W42" i="31"/>
  <c r="U42" i="31"/>
  <c r="S42" i="31"/>
  <c r="Y41" i="31"/>
  <c r="W41" i="31"/>
  <c r="U41" i="31"/>
  <c r="S41" i="31"/>
  <c r="Y40" i="31"/>
  <c r="W40" i="31"/>
  <c r="U40" i="31"/>
  <c r="S40" i="31"/>
  <c r="Y39" i="31"/>
  <c r="W39" i="31"/>
  <c r="U39" i="31"/>
  <c r="S39" i="31"/>
  <c r="Y38" i="31"/>
  <c r="W38" i="31"/>
  <c r="U38" i="31"/>
  <c r="S38" i="31"/>
  <c r="Y37" i="31"/>
  <c r="W37" i="31"/>
  <c r="U37" i="31"/>
  <c r="S37" i="31"/>
  <c r="Y36" i="31"/>
  <c r="W36" i="31"/>
  <c r="U36" i="31"/>
  <c r="S36" i="31"/>
  <c r="Y35" i="31"/>
  <c r="W35" i="31"/>
  <c r="U35" i="31"/>
  <c r="S35" i="31"/>
  <c r="Y34" i="31"/>
  <c r="W34" i="31"/>
  <c r="U34" i="31"/>
  <c r="S34" i="31"/>
  <c r="Y33" i="31"/>
  <c r="W33" i="31"/>
  <c r="U33" i="31"/>
  <c r="S33" i="31"/>
  <c r="Y32" i="31"/>
  <c r="W32" i="31"/>
  <c r="U32" i="31"/>
  <c r="S32" i="31"/>
  <c r="Y31" i="31"/>
  <c r="W31" i="31"/>
  <c r="Y30" i="31"/>
  <c r="W30" i="31"/>
  <c r="Y29" i="31"/>
  <c r="W29" i="31"/>
  <c r="Y28" i="31"/>
  <c r="W28" i="31"/>
  <c r="Y27" i="31"/>
  <c r="W27" i="31"/>
  <c r="U27" i="31"/>
  <c r="S27" i="31"/>
  <c r="Y26" i="31"/>
  <c r="W26" i="31"/>
  <c r="U26" i="31"/>
  <c r="S26" i="31"/>
  <c r="Y25" i="31"/>
  <c r="W25" i="31"/>
  <c r="U25" i="31"/>
  <c r="S25" i="31"/>
  <c r="Y24" i="31"/>
  <c r="W24" i="31"/>
  <c r="Y23" i="31"/>
  <c r="W23" i="31"/>
  <c r="Y22" i="31"/>
  <c r="W22" i="31"/>
  <c r="Y21" i="31"/>
  <c r="W21" i="31"/>
  <c r="Y20" i="31"/>
  <c r="W20" i="31"/>
  <c r="U20" i="31"/>
  <c r="S20" i="31"/>
  <c r="Y19" i="31"/>
  <c r="W19" i="31"/>
  <c r="U19" i="31"/>
  <c r="S19" i="31"/>
  <c r="Y18" i="31"/>
  <c r="W18" i="31"/>
  <c r="U18" i="31"/>
  <c r="S18" i="31"/>
  <c r="Y17" i="31"/>
  <c r="W17" i="31"/>
  <c r="U17" i="31"/>
  <c r="S17" i="31"/>
  <c r="Y16" i="31"/>
  <c r="W16" i="31"/>
  <c r="Y15" i="31"/>
  <c r="W15" i="31"/>
  <c r="Y14" i="31"/>
  <c r="W14" i="31"/>
  <c r="Y13" i="31"/>
  <c r="W13" i="31"/>
  <c r="U13" i="31"/>
  <c r="S13" i="31"/>
  <c r="Y12" i="31"/>
  <c r="W12" i="31"/>
  <c r="U12" i="31"/>
  <c r="S12" i="31"/>
  <c r="Y11" i="31"/>
  <c r="W11" i="31"/>
  <c r="U11" i="31"/>
  <c r="S11" i="31"/>
  <c r="Y10" i="31"/>
  <c r="W10" i="31"/>
  <c r="U10" i="31"/>
  <c r="S10" i="31"/>
  <c r="Y9" i="31"/>
  <c r="W9" i="31"/>
  <c r="Y8" i="31"/>
  <c r="W8" i="31"/>
  <c r="Y7" i="31"/>
  <c r="W7" i="31"/>
  <c r="A4" i="31"/>
  <c r="A2" i="31"/>
  <c r="A4" i="32"/>
  <c r="A2" i="32"/>
  <c r="AO20" i="34"/>
  <c r="AM20" i="34"/>
  <c r="AO19" i="34"/>
  <c r="AM19" i="34"/>
  <c r="AO18" i="34"/>
  <c r="AM18" i="34"/>
  <c r="AO17" i="34"/>
  <c r="AM17" i="34"/>
  <c r="AO16" i="34"/>
  <c r="AM16" i="34"/>
  <c r="AO15" i="34"/>
  <c r="AM15" i="34"/>
  <c r="AO14" i="34"/>
  <c r="AM14" i="34"/>
  <c r="AO13" i="34"/>
  <c r="AM13" i="34"/>
  <c r="AO12" i="34"/>
  <c r="AM12" i="34"/>
  <c r="AO11" i="34"/>
  <c r="AM11" i="34"/>
  <c r="AO10" i="34"/>
  <c r="AM10" i="34"/>
  <c r="AO9" i="34"/>
  <c r="AM9" i="34"/>
  <c r="AO8" i="34"/>
  <c r="A4" i="34"/>
  <c r="A2" i="34"/>
  <c r="C195" i="45" l="1"/>
  <c r="C247" i="45"/>
  <c r="E247" i="45" s="1"/>
  <c r="E249" i="45"/>
  <c r="C204" i="45"/>
  <c r="E197" i="45"/>
  <c r="G201" i="45" s="1"/>
  <c r="E230" i="45"/>
  <c r="G238" i="45" s="1"/>
  <c r="J239" i="45" s="1"/>
  <c r="C211" i="45"/>
  <c r="E213" i="45" s="1"/>
  <c r="G225" i="45" s="1"/>
  <c r="J227" i="45" s="1"/>
  <c r="C255" i="45"/>
  <c r="E255" i="45" s="1"/>
  <c r="C219" i="45"/>
  <c r="E221" i="45" s="1"/>
  <c r="G217" i="45" s="1"/>
  <c r="C259" i="45"/>
  <c r="E269" i="45"/>
  <c r="G269" i="45" s="1"/>
  <c r="E248" i="45"/>
  <c r="C253" i="45"/>
  <c r="E253" i="45" s="1"/>
  <c r="C207" i="45"/>
  <c r="C103" i="45"/>
  <c r="E138" i="45" s="1"/>
  <c r="G146" i="45" s="1"/>
  <c r="C155" i="45"/>
  <c r="E155" i="45" s="1"/>
  <c r="C119" i="45"/>
  <c r="E121" i="45" s="1"/>
  <c r="G133" i="45" s="1"/>
  <c r="J135" i="45" s="1"/>
  <c r="C163" i="45"/>
  <c r="E163" i="45" s="1"/>
  <c r="C115" i="45"/>
  <c r="E113" i="45" s="1"/>
  <c r="G131" i="45" s="1"/>
  <c r="C161" i="45"/>
  <c r="E161" i="45" s="1"/>
  <c r="C127" i="45"/>
  <c r="E129" i="45" s="1"/>
  <c r="G125" i="45" s="1"/>
  <c r="C167" i="45"/>
  <c r="E167" i="45" s="1"/>
  <c r="C131" i="45"/>
  <c r="E144" i="45" s="1"/>
  <c r="G148" i="45" s="1"/>
  <c r="J150" i="45" s="1"/>
  <c r="C159" i="45"/>
  <c r="E159" i="45" s="1"/>
  <c r="M115" i="7"/>
  <c r="M105" i="7"/>
  <c r="M102" i="7"/>
  <c r="K91" i="7"/>
  <c r="M76" i="7"/>
  <c r="M74" i="7"/>
  <c r="K61" i="7"/>
  <c r="M52" i="7"/>
  <c r="K49" i="7"/>
  <c r="K45" i="7"/>
  <c r="M42" i="7"/>
  <c r="K23" i="7"/>
  <c r="K5" i="7"/>
  <c r="E53" i="8"/>
  <c r="E50" i="8"/>
  <c r="E49" i="8"/>
  <c r="E47" i="8"/>
  <c r="E43" i="8"/>
  <c r="A1" i="40" s="1"/>
  <c r="E36" i="8"/>
  <c r="E35" i="8"/>
  <c r="A1" i="31" s="1"/>
  <c r="E34" i="8"/>
  <c r="A1" i="32" s="1"/>
  <c r="E30" i="8"/>
  <c r="A1" i="34" s="1"/>
  <c r="E28" i="8"/>
  <c r="E27" i="8"/>
  <c r="E25" i="8"/>
  <c r="E24" i="8"/>
  <c r="E22" i="8"/>
  <c r="E21" i="8"/>
  <c r="E8" i="8"/>
  <c r="E6" i="8"/>
  <c r="E5" i="8"/>
  <c r="J209" i="45" l="1"/>
  <c r="E234" i="45"/>
  <c r="E232" i="45"/>
  <c r="G231" i="45" s="1"/>
  <c r="J233" i="45" s="1"/>
  <c r="J218" i="45"/>
  <c r="J132" i="45"/>
  <c r="J147" i="45"/>
  <c r="E259" i="45"/>
  <c r="E261" i="45"/>
  <c r="E179" i="45"/>
  <c r="G179" i="45" s="1"/>
  <c r="E160" i="45"/>
  <c r="C107" i="45"/>
  <c r="E105" i="45" s="1"/>
  <c r="G109" i="45" s="1"/>
  <c r="C157" i="45"/>
  <c r="E157" i="45" s="1"/>
  <c r="E156" i="45" s="1"/>
  <c r="C169" i="45"/>
  <c r="E169" i="45" s="1"/>
  <c r="E183" i="45" s="1"/>
  <c r="G183" i="45" s="1"/>
  <c r="C123" i="45"/>
  <c r="E142" i="45" s="1"/>
  <c r="G143" i="45" s="1"/>
  <c r="J144" i="45" s="1"/>
  <c r="K121" i="7"/>
  <c r="M112" i="7"/>
  <c r="K112" i="7"/>
  <c r="K109" i="7"/>
  <c r="K99" i="7"/>
  <c r="K94" i="7"/>
  <c r="K87" i="7"/>
  <c r="K82" i="7"/>
  <c r="K76" i="7"/>
  <c r="M71" i="7"/>
  <c r="K71" i="7"/>
  <c r="K68" i="7"/>
  <c r="K58" i="7"/>
  <c r="M55" i="7"/>
  <c r="K54" i="7"/>
  <c r="K42" i="7"/>
  <c r="M39" i="7"/>
  <c r="K39" i="7"/>
  <c r="K36" i="7"/>
  <c r="I34" i="7"/>
  <c r="M31" i="7"/>
  <c r="M19" i="7"/>
  <c r="K19" i="7"/>
  <c r="K16" i="7"/>
  <c r="M12" i="7"/>
  <c r="K12" i="7"/>
  <c r="M8" i="7"/>
  <c r="AQ4" i="16"/>
  <c r="G235" i="45" l="1"/>
  <c r="J236" i="45" s="1"/>
  <c r="G240" i="45"/>
  <c r="J242" i="45" s="1"/>
  <c r="J117" i="45"/>
  <c r="J126" i="45"/>
  <c r="E260" i="45"/>
  <c r="G264" i="45" s="1"/>
  <c r="E275" i="45"/>
  <c r="G275" i="45" s="1"/>
  <c r="E177" i="45"/>
  <c r="G177" i="45" s="1"/>
  <c r="E168" i="45"/>
  <c r="G172" i="45" s="1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7" i="16"/>
  <c r="B303" i="45" l="1"/>
  <c r="B301" i="45"/>
  <c r="B302" i="45"/>
  <c r="B300" i="45"/>
  <c r="G178" i="45"/>
  <c r="I178" i="45"/>
  <c r="G185" i="45"/>
  <c r="I185" i="45" s="1"/>
  <c r="G158" i="45"/>
  <c r="G170" i="45"/>
  <c r="E55" i="8"/>
  <c r="A1" i="44" s="1"/>
  <c r="J167" i="45" l="1"/>
  <c r="J171" i="45"/>
  <c r="J174" i="45"/>
  <c r="A4" i="39"/>
  <c r="A2" i="39"/>
  <c r="A1" i="39"/>
  <c r="A4" i="41"/>
  <c r="A2" i="41"/>
  <c r="A1" i="41"/>
  <c r="A4" i="43"/>
  <c r="A2" i="43"/>
  <c r="A1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B150" i="43"/>
  <c r="C150" i="43" s="1"/>
  <c r="B146" i="43"/>
  <c r="C146" i="43" s="1"/>
  <c r="Z60" i="43"/>
  <c r="Y60" i="43" s="1"/>
  <c r="X60" i="43"/>
  <c r="W60" i="43" s="1"/>
  <c r="V60" i="43"/>
  <c r="U60" i="43" s="1"/>
  <c r="T60" i="43"/>
  <c r="H60" i="43"/>
  <c r="J60" i="43" s="1"/>
  <c r="Z59" i="43"/>
  <c r="Y59" i="43" s="1"/>
  <c r="X59" i="43"/>
  <c r="W59" i="43" s="1"/>
  <c r="V59" i="43"/>
  <c r="U59" i="43" s="1"/>
  <c r="T59" i="43"/>
  <c r="S59" i="43" s="1"/>
  <c r="H59" i="43"/>
  <c r="J59" i="43" s="1"/>
  <c r="Z58" i="43"/>
  <c r="Y58" i="43" s="1"/>
  <c r="X58" i="43"/>
  <c r="W58" i="43" s="1"/>
  <c r="V58" i="43"/>
  <c r="U58" i="43" s="1"/>
  <c r="T58" i="43"/>
  <c r="H58" i="43"/>
  <c r="J58" i="43" s="1"/>
  <c r="Z57" i="43"/>
  <c r="Y57" i="43" s="1"/>
  <c r="X57" i="43"/>
  <c r="W57" i="43" s="1"/>
  <c r="V57" i="43"/>
  <c r="U57" i="43" s="1"/>
  <c r="T57" i="43"/>
  <c r="S57" i="43" s="1"/>
  <c r="H57" i="43"/>
  <c r="J57" i="43" s="1"/>
  <c r="Z56" i="43"/>
  <c r="Y56" i="43" s="1"/>
  <c r="X56" i="43"/>
  <c r="W56" i="43" s="1"/>
  <c r="V56" i="43"/>
  <c r="U56" i="43" s="1"/>
  <c r="T56" i="43"/>
  <c r="H56" i="43"/>
  <c r="J56" i="43" s="1"/>
  <c r="Z55" i="43"/>
  <c r="Y55" i="43" s="1"/>
  <c r="X55" i="43"/>
  <c r="W55" i="43" s="1"/>
  <c r="V55" i="43"/>
  <c r="U55" i="43" s="1"/>
  <c r="T55" i="43"/>
  <c r="S55" i="43" s="1"/>
  <c r="M55" i="43"/>
  <c r="Z54" i="43"/>
  <c r="Y54" i="43" s="1"/>
  <c r="X54" i="43"/>
  <c r="W54" i="43" s="1"/>
  <c r="V54" i="43"/>
  <c r="U54" i="43" s="1"/>
  <c r="T54" i="43"/>
  <c r="S54" i="43" s="1"/>
  <c r="Z53" i="43"/>
  <c r="Y53" i="43" s="1"/>
  <c r="X53" i="43"/>
  <c r="W53" i="43" s="1"/>
  <c r="V53" i="43"/>
  <c r="U53" i="43" s="1"/>
  <c r="T53" i="43"/>
  <c r="H53" i="43"/>
  <c r="J53" i="43" s="1"/>
  <c r="Z52" i="43"/>
  <c r="Y52" i="43" s="1"/>
  <c r="X52" i="43"/>
  <c r="W52" i="43" s="1"/>
  <c r="V52" i="43"/>
  <c r="U52" i="43" s="1"/>
  <c r="T52" i="43"/>
  <c r="S52" i="43" s="1"/>
  <c r="H52" i="43"/>
  <c r="J52" i="43" s="1"/>
  <c r="Z51" i="43"/>
  <c r="Y51" i="43" s="1"/>
  <c r="X51" i="43"/>
  <c r="W51" i="43" s="1"/>
  <c r="V51" i="43"/>
  <c r="U51" i="43" s="1"/>
  <c r="T51" i="43"/>
  <c r="H51" i="43"/>
  <c r="J51" i="43" s="1"/>
  <c r="Z50" i="43"/>
  <c r="Y50" i="43" s="1"/>
  <c r="X50" i="43"/>
  <c r="W50" i="43" s="1"/>
  <c r="V50" i="43"/>
  <c r="U50" i="43" s="1"/>
  <c r="T50" i="43"/>
  <c r="S50" i="43" s="1"/>
  <c r="H50" i="43"/>
  <c r="J50" i="43" s="1"/>
  <c r="Z49" i="43"/>
  <c r="Y49" i="43" s="1"/>
  <c r="X49" i="43"/>
  <c r="W49" i="43" s="1"/>
  <c r="V49" i="43"/>
  <c r="U49" i="43" s="1"/>
  <c r="T49" i="43"/>
  <c r="S49" i="43" s="1"/>
  <c r="H49" i="43"/>
  <c r="J49" i="43" s="1"/>
  <c r="Z48" i="43"/>
  <c r="Y48" i="43" s="1"/>
  <c r="X48" i="43"/>
  <c r="W48" i="43" s="1"/>
  <c r="V48" i="43"/>
  <c r="U48" i="43" s="1"/>
  <c r="T48" i="43"/>
  <c r="M48" i="43"/>
  <c r="Z47" i="43"/>
  <c r="Y47" i="43" s="1"/>
  <c r="X47" i="43"/>
  <c r="W47" i="43" s="1"/>
  <c r="V47" i="43"/>
  <c r="U47" i="43" s="1"/>
  <c r="T47" i="43"/>
  <c r="S47" i="43" s="1"/>
  <c r="Z46" i="43"/>
  <c r="Y46" i="43" s="1"/>
  <c r="X46" i="43"/>
  <c r="W46" i="43" s="1"/>
  <c r="V46" i="43"/>
  <c r="U46" i="43" s="1"/>
  <c r="T46" i="43"/>
  <c r="S46" i="43" s="1"/>
  <c r="H46" i="43"/>
  <c r="J46" i="43" s="1"/>
  <c r="Z45" i="43"/>
  <c r="Y45" i="43" s="1"/>
  <c r="X45" i="43"/>
  <c r="W45" i="43" s="1"/>
  <c r="V45" i="43"/>
  <c r="U45" i="43" s="1"/>
  <c r="T45" i="43"/>
  <c r="H45" i="43"/>
  <c r="J45" i="43" s="1"/>
  <c r="Z44" i="43"/>
  <c r="Y44" i="43" s="1"/>
  <c r="X44" i="43"/>
  <c r="W44" i="43" s="1"/>
  <c r="V44" i="43"/>
  <c r="U44" i="43" s="1"/>
  <c r="T44" i="43"/>
  <c r="S44" i="43" s="1"/>
  <c r="H44" i="43"/>
  <c r="J44" i="43" s="1"/>
  <c r="Z43" i="43"/>
  <c r="Y43" i="43" s="1"/>
  <c r="X43" i="43"/>
  <c r="W43" i="43" s="1"/>
  <c r="V43" i="43"/>
  <c r="U43" i="43" s="1"/>
  <c r="T43" i="43"/>
  <c r="H43" i="43"/>
  <c r="J43" i="43" s="1"/>
  <c r="Z42" i="43"/>
  <c r="Y42" i="43" s="1"/>
  <c r="X42" i="43"/>
  <c r="W42" i="43" s="1"/>
  <c r="V42" i="43"/>
  <c r="U42" i="43" s="1"/>
  <c r="T42" i="43"/>
  <c r="S42" i="43" s="1"/>
  <c r="H42" i="43"/>
  <c r="J42" i="43" s="1"/>
  <c r="Z41" i="43"/>
  <c r="Y41" i="43" s="1"/>
  <c r="X41" i="43"/>
  <c r="W41" i="43" s="1"/>
  <c r="V41" i="43"/>
  <c r="U41" i="43" s="1"/>
  <c r="T41" i="43"/>
  <c r="M41" i="43"/>
  <c r="Z40" i="43"/>
  <c r="Y40" i="43" s="1"/>
  <c r="X40" i="43"/>
  <c r="W40" i="43" s="1"/>
  <c r="V40" i="43"/>
  <c r="U40" i="43" s="1"/>
  <c r="T40" i="43"/>
  <c r="Z39" i="43"/>
  <c r="Y39" i="43" s="1"/>
  <c r="X39" i="43"/>
  <c r="W39" i="43" s="1"/>
  <c r="V39" i="43"/>
  <c r="U39" i="43" s="1"/>
  <c r="T39" i="43"/>
  <c r="S39" i="43" s="1"/>
  <c r="H39" i="43"/>
  <c r="J39" i="43" s="1"/>
  <c r="Z38" i="43"/>
  <c r="Y38" i="43" s="1"/>
  <c r="X38" i="43"/>
  <c r="W38" i="43" s="1"/>
  <c r="V38" i="43"/>
  <c r="U38" i="43" s="1"/>
  <c r="T38" i="43"/>
  <c r="H38" i="43"/>
  <c r="J38" i="43" s="1"/>
  <c r="Z37" i="43"/>
  <c r="Y37" i="43" s="1"/>
  <c r="X37" i="43"/>
  <c r="W37" i="43" s="1"/>
  <c r="V37" i="43"/>
  <c r="U37" i="43" s="1"/>
  <c r="T37" i="43"/>
  <c r="S37" i="43" s="1"/>
  <c r="H37" i="43"/>
  <c r="J37" i="43" s="1"/>
  <c r="Z36" i="43"/>
  <c r="Y36" i="43" s="1"/>
  <c r="X36" i="43"/>
  <c r="W36" i="43" s="1"/>
  <c r="V36" i="43"/>
  <c r="U36" i="43" s="1"/>
  <c r="T36" i="43"/>
  <c r="H36" i="43"/>
  <c r="J36" i="43" s="1"/>
  <c r="Z35" i="43"/>
  <c r="Y35" i="43" s="1"/>
  <c r="X35" i="43"/>
  <c r="W35" i="43" s="1"/>
  <c r="V35" i="43"/>
  <c r="U35" i="43" s="1"/>
  <c r="T35" i="43"/>
  <c r="S35" i="43" s="1"/>
  <c r="H35" i="43"/>
  <c r="J35" i="43" s="1"/>
  <c r="Z34" i="43"/>
  <c r="Y34" i="43" s="1"/>
  <c r="X34" i="43"/>
  <c r="W34" i="43" s="1"/>
  <c r="V34" i="43"/>
  <c r="U34" i="43" s="1"/>
  <c r="T34" i="43"/>
  <c r="M34" i="43"/>
  <c r="Z33" i="43"/>
  <c r="Y33" i="43" s="1"/>
  <c r="X33" i="43"/>
  <c r="W33" i="43" s="1"/>
  <c r="V33" i="43"/>
  <c r="U33" i="43" s="1"/>
  <c r="T33" i="43"/>
  <c r="Z32" i="43"/>
  <c r="Y32" i="43" s="1"/>
  <c r="X32" i="43"/>
  <c r="W32" i="43" s="1"/>
  <c r="V32" i="43"/>
  <c r="U32" i="43" s="1"/>
  <c r="T32" i="43"/>
  <c r="S32" i="43" s="1"/>
  <c r="H32" i="43"/>
  <c r="J32" i="43" s="1"/>
  <c r="Z31" i="43"/>
  <c r="Y31" i="43" s="1"/>
  <c r="X31" i="43"/>
  <c r="W31" i="43" s="1"/>
  <c r="V31" i="43"/>
  <c r="U31" i="43" s="1"/>
  <c r="T31" i="43"/>
  <c r="S31" i="43" s="1"/>
  <c r="H31" i="43"/>
  <c r="J31" i="43" s="1"/>
  <c r="Z30" i="43"/>
  <c r="Y30" i="43" s="1"/>
  <c r="X30" i="43"/>
  <c r="W30" i="43" s="1"/>
  <c r="V30" i="43"/>
  <c r="T30" i="43"/>
  <c r="H30" i="43"/>
  <c r="J30" i="43" s="1"/>
  <c r="Z29" i="43"/>
  <c r="Y29" i="43" s="1"/>
  <c r="X29" i="43"/>
  <c r="W29" i="43" s="1"/>
  <c r="V29" i="43"/>
  <c r="T29" i="43"/>
  <c r="H29" i="43"/>
  <c r="J29" i="43" s="1"/>
  <c r="Z28" i="43"/>
  <c r="Y28" i="43" s="1"/>
  <c r="X28" i="43"/>
  <c r="W28" i="43" s="1"/>
  <c r="V28" i="43"/>
  <c r="T28" i="43"/>
  <c r="H28" i="43"/>
  <c r="J28" i="43" s="1"/>
  <c r="Z27" i="43"/>
  <c r="Y27" i="43" s="1"/>
  <c r="X27" i="43"/>
  <c r="W27" i="43" s="1"/>
  <c r="V27" i="43"/>
  <c r="U27" i="43" s="1"/>
  <c r="T27" i="43"/>
  <c r="S27" i="43" s="1"/>
  <c r="M27" i="43"/>
  <c r="Z26" i="43"/>
  <c r="Y26" i="43" s="1"/>
  <c r="X26" i="43"/>
  <c r="W26" i="43" s="1"/>
  <c r="V26" i="43"/>
  <c r="U26" i="43" s="1"/>
  <c r="T26" i="43"/>
  <c r="Z25" i="43"/>
  <c r="Y25" i="43" s="1"/>
  <c r="X25" i="43"/>
  <c r="W25" i="43" s="1"/>
  <c r="V25" i="43"/>
  <c r="U25" i="43" s="1"/>
  <c r="T25" i="43"/>
  <c r="S25" i="43" s="1"/>
  <c r="H25" i="43"/>
  <c r="J25" i="43" s="1"/>
  <c r="Z24" i="43"/>
  <c r="Y24" i="43" s="1"/>
  <c r="X24" i="43"/>
  <c r="W24" i="43" s="1"/>
  <c r="V24" i="43"/>
  <c r="T24" i="43"/>
  <c r="H24" i="43"/>
  <c r="J24" i="43" s="1"/>
  <c r="Z23" i="43"/>
  <c r="Y23" i="43" s="1"/>
  <c r="X23" i="43"/>
  <c r="W23" i="43" s="1"/>
  <c r="V23" i="43"/>
  <c r="T23" i="43"/>
  <c r="H23" i="43"/>
  <c r="J23" i="43" s="1"/>
  <c r="Z22" i="43"/>
  <c r="Y22" i="43" s="1"/>
  <c r="X22" i="43"/>
  <c r="W22" i="43" s="1"/>
  <c r="V22" i="43"/>
  <c r="T22" i="43"/>
  <c r="H22" i="43"/>
  <c r="J22" i="43" s="1"/>
  <c r="Z21" i="43"/>
  <c r="Y21" i="43" s="1"/>
  <c r="X21" i="43"/>
  <c r="W21" i="43" s="1"/>
  <c r="V21" i="43"/>
  <c r="T21" i="43"/>
  <c r="H21" i="43"/>
  <c r="J21" i="43" s="1"/>
  <c r="Z20" i="43"/>
  <c r="Y20" i="43" s="1"/>
  <c r="X20" i="43"/>
  <c r="W20" i="43" s="1"/>
  <c r="V20" i="43"/>
  <c r="U20" i="43" s="1"/>
  <c r="T20" i="43"/>
  <c r="M20" i="43"/>
  <c r="Z19" i="43"/>
  <c r="Y19" i="43" s="1"/>
  <c r="X19" i="43"/>
  <c r="W19" i="43" s="1"/>
  <c r="V19" i="43"/>
  <c r="U19" i="43" s="1"/>
  <c r="T19" i="43"/>
  <c r="S19" i="43" s="1"/>
  <c r="Z18" i="43"/>
  <c r="Y18" i="43" s="1"/>
  <c r="X18" i="43"/>
  <c r="W18" i="43" s="1"/>
  <c r="V18" i="43"/>
  <c r="U18" i="43" s="1"/>
  <c r="T18" i="43"/>
  <c r="S18" i="43" s="1"/>
  <c r="H18" i="43"/>
  <c r="J18" i="43" s="1"/>
  <c r="Z17" i="43"/>
  <c r="Y17" i="43" s="1"/>
  <c r="X17" i="43"/>
  <c r="W17" i="43" s="1"/>
  <c r="V17" i="43"/>
  <c r="T17" i="43"/>
  <c r="H17" i="43"/>
  <c r="J17" i="43" s="1"/>
  <c r="Z16" i="43"/>
  <c r="Y16" i="43" s="1"/>
  <c r="X16" i="43"/>
  <c r="W16" i="43" s="1"/>
  <c r="V16" i="43"/>
  <c r="T16" i="43"/>
  <c r="H16" i="43"/>
  <c r="J16" i="43" s="1"/>
  <c r="Z15" i="43"/>
  <c r="Y15" i="43" s="1"/>
  <c r="X15" i="43"/>
  <c r="W15" i="43" s="1"/>
  <c r="V15" i="43"/>
  <c r="T15" i="43"/>
  <c r="H15" i="43"/>
  <c r="J15" i="43" s="1"/>
  <c r="Z14" i="43"/>
  <c r="Y14" i="43" s="1"/>
  <c r="X14" i="43"/>
  <c r="W14" i="43" s="1"/>
  <c r="V14" i="43"/>
  <c r="T14" i="43"/>
  <c r="H14" i="43"/>
  <c r="J14" i="43" s="1"/>
  <c r="Z13" i="43"/>
  <c r="Y13" i="43" s="1"/>
  <c r="X13" i="43"/>
  <c r="W13" i="43" s="1"/>
  <c r="V13" i="43"/>
  <c r="U13" i="43" s="1"/>
  <c r="T13" i="43"/>
  <c r="S13" i="43" s="1"/>
  <c r="M13" i="43"/>
  <c r="Z12" i="43"/>
  <c r="Y12" i="43" s="1"/>
  <c r="X12" i="43"/>
  <c r="W12" i="43" s="1"/>
  <c r="V12" i="43"/>
  <c r="U12" i="43" s="1"/>
  <c r="T12" i="43"/>
  <c r="S12" i="43" s="1"/>
  <c r="Z11" i="43"/>
  <c r="Y11" i="43" s="1"/>
  <c r="X11" i="43"/>
  <c r="W11" i="43" s="1"/>
  <c r="V11" i="43"/>
  <c r="U11" i="43" s="1"/>
  <c r="T11" i="43"/>
  <c r="S11" i="43" s="1"/>
  <c r="H11" i="43"/>
  <c r="J11" i="43" s="1"/>
  <c r="Z10" i="43"/>
  <c r="Y10" i="43" s="1"/>
  <c r="X10" i="43"/>
  <c r="W10" i="43" s="1"/>
  <c r="V10" i="43"/>
  <c r="U10" i="43" s="1"/>
  <c r="T10" i="43"/>
  <c r="S10" i="43" s="1"/>
  <c r="H10" i="43"/>
  <c r="J10" i="43" s="1"/>
  <c r="Z9" i="43"/>
  <c r="Y9" i="43" s="1"/>
  <c r="X9" i="43"/>
  <c r="W9" i="43" s="1"/>
  <c r="V9" i="43"/>
  <c r="T9" i="43"/>
  <c r="H9" i="43"/>
  <c r="J9" i="43" s="1"/>
  <c r="Z8" i="43"/>
  <c r="Y8" i="43" s="1"/>
  <c r="X8" i="43"/>
  <c r="W8" i="43" s="1"/>
  <c r="V8" i="43"/>
  <c r="T8" i="43"/>
  <c r="H8" i="43"/>
  <c r="J8" i="43" s="1"/>
  <c r="Z7" i="43"/>
  <c r="X7" i="43"/>
  <c r="V7" i="43"/>
  <c r="U7" i="43" s="1"/>
  <c r="T7" i="43"/>
  <c r="H7" i="43"/>
  <c r="J7" i="43" s="1"/>
  <c r="M6" i="43"/>
  <c r="I18" i="43" s="1"/>
  <c r="G1" i="43"/>
  <c r="E1" i="43"/>
  <c r="G62" i="42"/>
  <c r="E62" i="42"/>
  <c r="H61" i="42"/>
  <c r="D61" i="42"/>
  <c r="H60" i="42"/>
  <c r="D60" i="42"/>
  <c r="H59" i="42"/>
  <c r="D59" i="42"/>
  <c r="H58" i="42"/>
  <c r="D58" i="42"/>
  <c r="H57" i="42"/>
  <c r="D57" i="42"/>
  <c r="H56" i="42"/>
  <c r="H62" i="42" s="1"/>
  <c r="D56" i="42"/>
  <c r="D62" i="42" s="1"/>
  <c r="G52" i="42"/>
  <c r="E52" i="42"/>
  <c r="H51" i="42"/>
  <c r="D51" i="42"/>
  <c r="H50" i="42"/>
  <c r="D50" i="42"/>
  <c r="H49" i="42"/>
  <c r="D49" i="42"/>
  <c r="H48" i="42"/>
  <c r="D48" i="42"/>
  <c r="H47" i="42"/>
  <c r="D47" i="42"/>
  <c r="H46" i="42"/>
  <c r="H52" i="42" s="1"/>
  <c r="D46" i="42"/>
  <c r="D52" i="42" s="1"/>
  <c r="G42" i="42"/>
  <c r="E42" i="42"/>
  <c r="H41" i="42"/>
  <c r="D41" i="42"/>
  <c r="H40" i="42"/>
  <c r="D40" i="42"/>
  <c r="H39" i="42"/>
  <c r="D39" i="42"/>
  <c r="H38" i="42"/>
  <c r="D38" i="42"/>
  <c r="H37" i="42"/>
  <c r="D37" i="42"/>
  <c r="H36" i="42"/>
  <c r="H42" i="42" s="1"/>
  <c r="D36" i="42"/>
  <c r="D42" i="42" s="1"/>
  <c r="G32" i="42"/>
  <c r="E32" i="42"/>
  <c r="H31" i="42"/>
  <c r="D31" i="42"/>
  <c r="H30" i="42"/>
  <c r="D30" i="42"/>
  <c r="H29" i="42"/>
  <c r="D29" i="42"/>
  <c r="H28" i="42"/>
  <c r="D28" i="42"/>
  <c r="H27" i="42"/>
  <c r="D27" i="42"/>
  <c r="H26" i="42"/>
  <c r="H32" i="42" s="1"/>
  <c r="D26" i="42"/>
  <c r="D32" i="42" s="1"/>
  <c r="G22" i="42"/>
  <c r="E22" i="42"/>
  <c r="H21" i="42"/>
  <c r="D21" i="42"/>
  <c r="H20" i="42"/>
  <c r="D20" i="42"/>
  <c r="H19" i="42"/>
  <c r="D19" i="42"/>
  <c r="H18" i="42"/>
  <c r="D18" i="42"/>
  <c r="H17" i="42"/>
  <c r="D17" i="42"/>
  <c r="H16" i="42"/>
  <c r="H22" i="42" s="1"/>
  <c r="D16" i="42"/>
  <c r="D22" i="42" s="1"/>
  <c r="G13" i="42"/>
  <c r="G23" i="42" s="1"/>
  <c r="G33" i="42" s="1"/>
  <c r="G43" i="42" s="1"/>
  <c r="G53" i="42" s="1"/>
  <c r="G63" i="42" s="1"/>
  <c r="E13" i="42"/>
  <c r="E23" i="42" s="1"/>
  <c r="E33" i="42" s="1"/>
  <c r="E43" i="42" s="1"/>
  <c r="E53" i="42" s="1"/>
  <c r="E63" i="42" s="1"/>
  <c r="H12" i="42"/>
  <c r="D12" i="42"/>
  <c r="H11" i="42"/>
  <c r="D11" i="42"/>
  <c r="H10" i="42"/>
  <c r="D10" i="42"/>
  <c r="H9" i="42"/>
  <c r="D9" i="42"/>
  <c r="H8" i="42"/>
  <c r="D8" i="42"/>
  <c r="H7" i="42"/>
  <c r="H13" i="42" s="1"/>
  <c r="H23" i="42" s="1"/>
  <c r="H33" i="42" s="1"/>
  <c r="H43" i="42" s="1"/>
  <c r="H53" i="42" s="1"/>
  <c r="H63" i="42" s="1"/>
  <c r="D7" i="42"/>
  <c r="D13" i="42" s="1"/>
  <c r="D23" i="42" s="1"/>
  <c r="D33" i="42" s="1"/>
  <c r="D43" i="42" s="1"/>
  <c r="D53" i="42" s="1"/>
  <c r="D63" i="42" s="1"/>
  <c r="C142" i="41"/>
  <c r="C161" i="41" s="1"/>
  <c r="E161" i="41" s="1"/>
  <c r="Z60" i="41"/>
  <c r="Y60" i="41" s="1"/>
  <c r="X60" i="41"/>
  <c r="W60" i="41" s="1"/>
  <c r="V60" i="41"/>
  <c r="U60" i="41" s="1"/>
  <c r="T60" i="41"/>
  <c r="H60" i="41"/>
  <c r="J60" i="41" s="1"/>
  <c r="Z59" i="41"/>
  <c r="Y59" i="41" s="1"/>
  <c r="X59" i="41"/>
  <c r="W59" i="41" s="1"/>
  <c r="V59" i="41"/>
  <c r="U59" i="41" s="1"/>
  <c r="T59" i="41"/>
  <c r="S59" i="41" s="1"/>
  <c r="H59" i="41"/>
  <c r="J59" i="41" s="1"/>
  <c r="Z58" i="41"/>
  <c r="Y58" i="41" s="1"/>
  <c r="X58" i="41"/>
  <c r="W58" i="41" s="1"/>
  <c r="V58" i="41"/>
  <c r="U58" i="41" s="1"/>
  <c r="T58" i="41"/>
  <c r="H58" i="41"/>
  <c r="J58" i="41" s="1"/>
  <c r="Z57" i="41"/>
  <c r="Y57" i="41" s="1"/>
  <c r="X57" i="41"/>
  <c r="W57" i="41" s="1"/>
  <c r="V57" i="41"/>
  <c r="U57" i="41" s="1"/>
  <c r="T57" i="41"/>
  <c r="S57" i="41" s="1"/>
  <c r="H57" i="41"/>
  <c r="J57" i="41" s="1"/>
  <c r="Z56" i="41"/>
  <c r="Y56" i="41" s="1"/>
  <c r="X56" i="41"/>
  <c r="W56" i="41" s="1"/>
  <c r="V56" i="41"/>
  <c r="U56" i="41" s="1"/>
  <c r="T56" i="41"/>
  <c r="H56" i="41"/>
  <c r="J56" i="41" s="1"/>
  <c r="Z55" i="41"/>
  <c r="Y55" i="41" s="1"/>
  <c r="X55" i="41"/>
  <c r="W55" i="41" s="1"/>
  <c r="V55" i="41"/>
  <c r="U55" i="41" s="1"/>
  <c r="T55" i="41"/>
  <c r="S55" i="41" s="1"/>
  <c r="M55" i="41"/>
  <c r="Z54" i="41"/>
  <c r="Y54" i="41" s="1"/>
  <c r="X54" i="41"/>
  <c r="W54" i="41" s="1"/>
  <c r="V54" i="41"/>
  <c r="U54" i="41" s="1"/>
  <c r="T54" i="41"/>
  <c r="S54" i="41" s="1"/>
  <c r="Z53" i="41"/>
  <c r="Y53" i="41" s="1"/>
  <c r="X53" i="41"/>
  <c r="W53" i="41" s="1"/>
  <c r="V53" i="41"/>
  <c r="U53" i="41" s="1"/>
  <c r="T53" i="41"/>
  <c r="H53" i="41"/>
  <c r="J53" i="41" s="1"/>
  <c r="Z52" i="41"/>
  <c r="Y52" i="41" s="1"/>
  <c r="X52" i="41"/>
  <c r="W52" i="41" s="1"/>
  <c r="V52" i="41"/>
  <c r="U52" i="41" s="1"/>
  <c r="T52" i="41"/>
  <c r="S52" i="41" s="1"/>
  <c r="H52" i="41"/>
  <c r="J52" i="41" s="1"/>
  <c r="Z51" i="41"/>
  <c r="Y51" i="41" s="1"/>
  <c r="X51" i="41"/>
  <c r="W51" i="41" s="1"/>
  <c r="V51" i="41"/>
  <c r="U51" i="41" s="1"/>
  <c r="T51" i="41"/>
  <c r="H51" i="41"/>
  <c r="J51" i="41" s="1"/>
  <c r="Z50" i="41"/>
  <c r="Y50" i="41" s="1"/>
  <c r="X50" i="41"/>
  <c r="W50" i="41" s="1"/>
  <c r="V50" i="41"/>
  <c r="U50" i="41" s="1"/>
  <c r="T50" i="41"/>
  <c r="S50" i="41" s="1"/>
  <c r="H50" i="41"/>
  <c r="J50" i="41" s="1"/>
  <c r="Z49" i="41"/>
  <c r="Y49" i="41" s="1"/>
  <c r="X49" i="41"/>
  <c r="W49" i="41" s="1"/>
  <c r="V49" i="41"/>
  <c r="U49" i="41" s="1"/>
  <c r="T49" i="41"/>
  <c r="S49" i="41" s="1"/>
  <c r="H49" i="41"/>
  <c r="J49" i="41" s="1"/>
  <c r="Z48" i="41"/>
  <c r="Y48" i="41" s="1"/>
  <c r="X48" i="41"/>
  <c r="W48" i="41" s="1"/>
  <c r="V48" i="41"/>
  <c r="U48" i="41" s="1"/>
  <c r="T48" i="41"/>
  <c r="M48" i="41"/>
  <c r="Z47" i="41"/>
  <c r="Y47" i="41" s="1"/>
  <c r="X47" i="41"/>
  <c r="W47" i="41" s="1"/>
  <c r="V47" i="41"/>
  <c r="U47" i="41" s="1"/>
  <c r="T47" i="41"/>
  <c r="S47" i="41" s="1"/>
  <c r="Z46" i="41"/>
  <c r="Y46" i="41" s="1"/>
  <c r="X46" i="41"/>
  <c r="W46" i="41" s="1"/>
  <c r="V46" i="41"/>
  <c r="U46" i="41" s="1"/>
  <c r="T46" i="41"/>
  <c r="S46" i="41" s="1"/>
  <c r="H46" i="41"/>
  <c r="J46" i="41" s="1"/>
  <c r="Z45" i="41"/>
  <c r="Y45" i="41" s="1"/>
  <c r="X45" i="41"/>
  <c r="W45" i="41" s="1"/>
  <c r="V45" i="41"/>
  <c r="U45" i="41" s="1"/>
  <c r="T45" i="41"/>
  <c r="S45" i="41" s="1"/>
  <c r="H45" i="41"/>
  <c r="J45" i="41" s="1"/>
  <c r="Z44" i="41"/>
  <c r="Y44" i="41" s="1"/>
  <c r="X44" i="41"/>
  <c r="W44" i="41" s="1"/>
  <c r="V44" i="41"/>
  <c r="U44" i="41" s="1"/>
  <c r="T44" i="41"/>
  <c r="S44" i="41" s="1"/>
  <c r="H44" i="41"/>
  <c r="J44" i="41" s="1"/>
  <c r="Z43" i="41"/>
  <c r="Y43" i="41" s="1"/>
  <c r="X43" i="41"/>
  <c r="W43" i="41" s="1"/>
  <c r="V43" i="41"/>
  <c r="U43" i="41" s="1"/>
  <c r="T43" i="41"/>
  <c r="S43" i="41" s="1"/>
  <c r="H43" i="41"/>
  <c r="J43" i="41" s="1"/>
  <c r="Z42" i="41"/>
  <c r="Y42" i="41" s="1"/>
  <c r="X42" i="41"/>
  <c r="W42" i="41" s="1"/>
  <c r="V42" i="41"/>
  <c r="U42" i="41" s="1"/>
  <c r="T42" i="41"/>
  <c r="S42" i="41" s="1"/>
  <c r="H42" i="41"/>
  <c r="J42" i="41" s="1"/>
  <c r="Z41" i="41"/>
  <c r="Y41" i="41" s="1"/>
  <c r="X41" i="41"/>
  <c r="W41" i="41" s="1"/>
  <c r="V41" i="41"/>
  <c r="U41" i="41" s="1"/>
  <c r="T41" i="41"/>
  <c r="S41" i="41" s="1"/>
  <c r="M41" i="41"/>
  <c r="Z40" i="41"/>
  <c r="Y40" i="41" s="1"/>
  <c r="X40" i="41"/>
  <c r="W40" i="41" s="1"/>
  <c r="V40" i="41"/>
  <c r="U40" i="41" s="1"/>
  <c r="T40" i="41"/>
  <c r="Z39" i="41"/>
  <c r="Y39" i="41" s="1"/>
  <c r="X39" i="41"/>
  <c r="W39" i="41" s="1"/>
  <c r="V39" i="41"/>
  <c r="U39" i="41" s="1"/>
  <c r="T39" i="41"/>
  <c r="S39" i="41" s="1"/>
  <c r="H39" i="41"/>
  <c r="J39" i="41" s="1"/>
  <c r="Z38" i="41"/>
  <c r="Y38" i="41" s="1"/>
  <c r="X38" i="41"/>
  <c r="W38" i="41" s="1"/>
  <c r="V38" i="41"/>
  <c r="U38" i="41" s="1"/>
  <c r="T38" i="41"/>
  <c r="H38" i="41"/>
  <c r="J38" i="41" s="1"/>
  <c r="Z37" i="41"/>
  <c r="Y37" i="41" s="1"/>
  <c r="X37" i="41"/>
  <c r="W37" i="41" s="1"/>
  <c r="V37" i="41"/>
  <c r="U37" i="41" s="1"/>
  <c r="T37" i="41"/>
  <c r="S37" i="41" s="1"/>
  <c r="H37" i="41"/>
  <c r="J37" i="41" s="1"/>
  <c r="Z36" i="41"/>
  <c r="Y36" i="41" s="1"/>
  <c r="X36" i="41"/>
  <c r="W36" i="41" s="1"/>
  <c r="V36" i="41"/>
  <c r="U36" i="41" s="1"/>
  <c r="T36" i="41"/>
  <c r="H36" i="41"/>
  <c r="J36" i="41" s="1"/>
  <c r="Z35" i="41"/>
  <c r="Y35" i="41" s="1"/>
  <c r="X35" i="41"/>
  <c r="W35" i="41" s="1"/>
  <c r="V35" i="41"/>
  <c r="U35" i="41" s="1"/>
  <c r="T35" i="41"/>
  <c r="S35" i="41" s="1"/>
  <c r="H35" i="41"/>
  <c r="J35" i="41" s="1"/>
  <c r="Z34" i="41"/>
  <c r="Y34" i="41" s="1"/>
  <c r="X34" i="41"/>
  <c r="W34" i="41" s="1"/>
  <c r="V34" i="41"/>
  <c r="U34" i="41" s="1"/>
  <c r="T34" i="41"/>
  <c r="S34" i="41" s="1"/>
  <c r="M34" i="41"/>
  <c r="Z33" i="41"/>
  <c r="Y33" i="41" s="1"/>
  <c r="X33" i="41"/>
  <c r="W33" i="41" s="1"/>
  <c r="V33" i="41"/>
  <c r="U33" i="41" s="1"/>
  <c r="T33" i="41"/>
  <c r="Z32" i="41"/>
  <c r="Y32" i="41" s="1"/>
  <c r="X32" i="41"/>
  <c r="W32" i="41" s="1"/>
  <c r="V32" i="41"/>
  <c r="U32" i="41" s="1"/>
  <c r="T32" i="41"/>
  <c r="S32" i="41" s="1"/>
  <c r="H32" i="41"/>
  <c r="J32" i="41" s="1"/>
  <c r="Z31" i="41"/>
  <c r="Y31" i="41" s="1"/>
  <c r="X31" i="41"/>
  <c r="W31" i="41" s="1"/>
  <c r="V31" i="41"/>
  <c r="U31" i="41" s="1"/>
  <c r="T31" i="41"/>
  <c r="H31" i="41"/>
  <c r="J31" i="41" s="1"/>
  <c r="Z30" i="41"/>
  <c r="Y30" i="41" s="1"/>
  <c r="X30" i="41"/>
  <c r="W30" i="41" s="1"/>
  <c r="V30" i="41"/>
  <c r="T30" i="41"/>
  <c r="H30" i="41"/>
  <c r="J30" i="41" s="1"/>
  <c r="Z29" i="41"/>
  <c r="Y29" i="41" s="1"/>
  <c r="X29" i="41"/>
  <c r="W29" i="41" s="1"/>
  <c r="V29" i="41"/>
  <c r="T29" i="41"/>
  <c r="H29" i="41"/>
  <c r="J29" i="41" s="1"/>
  <c r="Z28" i="41"/>
  <c r="Y28" i="41" s="1"/>
  <c r="X28" i="41"/>
  <c r="W28" i="41" s="1"/>
  <c r="V28" i="41"/>
  <c r="T28" i="41"/>
  <c r="H28" i="41"/>
  <c r="J28" i="41" s="1"/>
  <c r="Z27" i="41"/>
  <c r="Y27" i="41" s="1"/>
  <c r="X27" i="41"/>
  <c r="W27" i="41" s="1"/>
  <c r="V27" i="41"/>
  <c r="U27" i="41" s="1"/>
  <c r="T27" i="41"/>
  <c r="M27" i="41"/>
  <c r="I32" i="41" s="1"/>
  <c r="Z26" i="41"/>
  <c r="Y26" i="41" s="1"/>
  <c r="X26" i="41"/>
  <c r="W26" i="41" s="1"/>
  <c r="V26" i="41"/>
  <c r="U26" i="41" s="1"/>
  <c r="T26" i="41"/>
  <c r="S26" i="41" s="1"/>
  <c r="Z25" i="41"/>
  <c r="Y25" i="41" s="1"/>
  <c r="X25" i="41"/>
  <c r="W25" i="41" s="1"/>
  <c r="V25" i="41"/>
  <c r="U25" i="41" s="1"/>
  <c r="T25" i="41"/>
  <c r="S25" i="41" s="1"/>
  <c r="H25" i="41"/>
  <c r="J25" i="41" s="1"/>
  <c r="Z24" i="41"/>
  <c r="Y24" i="41" s="1"/>
  <c r="X24" i="41"/>
  <c r="W24" i="41" s="1"/>
  <c r="V24" i="41"/>
  <c r="T24" i="41"/>
  <c r="H24" i="41"/>
  <c r="J24" i="41" s="1"/>
  <c r="Z23" i="41"/>
  <c r="Y23" i="41" s="1"/>
  <c r="X23" i="41"/>
  <c r="W23" i="41" s="1"/>
  <c r="V23" i="41"/>
  <c r="T23" i="41"/>
  <c r="H23" i="41"/>
  <c r="J23" i="41" s="1"/>
  <c r="Z22" i="41"/>
  <c r="Y22" i="41" s="1"/>
  <c r="X22" i="41"/>
  <c r="W22" i="41" s="1"/>
  <c r="V22" i="41"/>
  <c r="T22" i="41"/>
  <c r="H22" i="41"/>
  <c r="J22" i="41" s="1"/>
  <c r="Z21" i="41"/>
  <c r="Y21" i="41" s="1"/>
  <c r="X21" i="41"/>
  <c r="W21" i="41" s="1"/>
  <c r="V21" i="41"/>
  <c r="T21" i="41"/>
  <c r="H21" i="41"/>
  <c r="J21" i="41" s="1"/>
  <c r="Z20" i="41"/>
  <c r="Y20" i="41" s="1"/>
  <c r="X20" i="41"/>
  <c r="W20" i="41" s="1"/>
  <c r="V20" i="41"/>
  <c r="U20" i="41" s="1"/>
  <c r="T20" i="41"/>
  <c r="S20" i="41" s="1"/>
  <c r="M20" i="41"/>
  <c r="I25" i="41" s="1"/>
  <c r="Z19" i="41"/>
  <c r="Y19" i="41" s="1"/>
  <c r="X19" i="41"/>
  <c r="W19" i="41" s="1"/>
  <c r="V19" i="41"/>
  <c r="U19" i="41" s="1"/>
  <c r="T19" i="41"/>
  <c r="Z18" i="41"/>
  <c r="Y18" i="41" s="1"/>
  <c r="X18" i="41"/>
  <c r="W18" i="41" s="1"/>
  <c r="V18" i="41"/>
  <c r="U18" i="41" s="1"/>
  <c r="T18" i="41"/>
  <c r="S18" i="41" s="1"/>
  <c r="H18" i="41"/>
  <c r="J18" i="41" s="1"/>
  <c r="Z17" i="41"/>
  <c r="Y17" i="41" s="1"/>
  <c r="X17" i="41"/>
  <c r="W17" i="41" s="1"/>
  <c r="V17" i="41"/>
  <c r="T17" i="41"/>
  <c r="H17" i="41"/>
  <c r="J17" i="41" s="1"/>
  <c r="Z16" i="41"/>
  <c r="Y16" i="41" s="1"/>
  <c r="X16" i="41"/>
  <c r="W16" i="41" s="1"/>
  <c r="V16" i="41"/>
  <c r="T16" i="41"/>
  <c r="H16" i="41"/>
  <c r="J16" i="41" s="1"/>
  <c r="Z15" i="41"/>
  <c r="Y15" i="41" s="1"/>
  <c r="X15" i="41"/>
  <c r="W15" i="41" s="1"/>
  <c r="V15" i="41"/>
  <c r="T15" i="41"/>
  <c r="H15" i="41"/>
  <c r="J15" i="41" s="1"/>
  <c r="Z14" i="41"/>
  <c r="Y14" i="41" s="1"/>
  <c r="X14" i="41"/>
  <c r="W14" i="41" s="1"/>
  <c r="V14" i="41"/>
  <c r="T14" i="41"/>
  <c r="H14" i="41"/>
  <c r="J14" i="41" s="1"/>
  <c r="Z13" i="41"/>
  <c r="Y13" i="41" s="1"/>
  <c r="X13" i="41"/>
  <c r="W13" i="41" s="1"/>
  <c r="V13" i="41"/>
  <c r="U13" i="41" s="1"/>
  <c r="T13" i="41"/>
  <c r="M13" i="41"/>
  <c r="Z12" i="41"/>
  <c r="Y12" i="41" s="1"/>
  <c r="X12" i="41"/>
  <c r="W12" i="41" s="1"/>
  <c r="V12" i="41"/>
  <c r="U12" i="41" s="1"/>
  <c r="T12" i="41"/>
  <c r="S12" i="41" s="1"/>
  <c r="Z11" i="41"/>
  <c r="Y11" i="41" s="1"/>
  <c r="X11" i="41"/>
  <c r="W11" i="41" s="1"/>
  <c r="V11" i="41"/>
  <c r="U11" i="41" s="1"/>
  <c r="T11" i="41"/>
  <c r="S11" i="41" s="1"/>
  <c r="H11" i="41"/>
  <c r="J11" i="41" s="1"/>
  <c r="Z10" i="41"/>
  <c r="Y10" i="41" s="1"/>
  <c r="X10" i="41"/>
  <c r="W10" i="41" s="1"/>
  <c r="V10" i="41"/>
  <c r="T10" i="41"/>
  <c r="H10" i="41"/>
  <c r="J10" i="41" s="1"/>
  <c r="Z9" i="41"/>
  <c r="Y9" i="41" s="1"/>
  <c r="X9" i="41"/>
  <c r="W9" i="41" s="1"/>
  <c r="V9" i="41"/>
  <c r="T9" i="41"/>
  <c r="H9" i="41"/>
  <c r="J9" i="41" s="1"/>
  <c r="Z8" i="41"/>
  <c r="Y8" i="41" s="1"/>
  <c r="X8" i="41"/>
  <c r="W8" i="41" s="1"/>
  <c r="V8" i="41"/>
  <c r="T8" i="41"/>
  <c r="H8" i="41"/>
  <c r="J8" i="41" s="1"/>
  <c r="Z7" i="41"/>
  <c r="Y7" i="41" s="1"/>
  <c r="X7" i="41"/>
  <c r="W7" i="41" s="1"/>
  <c r="V7" i="41"/>
  <c r="T7" i="41"/>
  <c r="H7" i="41"/>
  <c r="J7" i="41" s="1"/>
  <c r="M6" i="41"/>
  <c r="I18" i="41" s="1"/>
  <c r="G1" i="41"/>
  <c r="E1" i="41"/>
  <c r="R50" i="43" l="1"/>
  <c r="R57" i="43"/>
  <c r="R59" i="43"/>
  <c r="R57" i="41"/>
  <c r="R59" i="41"/>
  <c r="R35" i="41"/>
  <c r="R37" i="41"/>
  <c r="R10" i="43"/>
  <c r="R13" i="43"/>
  <c r="R39" i="43"/>
  <c r="R44" i="43"/>
  <c r="R46" i="43"/>
  <c r="R49" i="43"/>
  <c r="R25" i="43"/>
  <c r="R35" i="43"/>
  <c r="R37" i="43"/>
  <c r="R54" i="43"/>
  <c r="R18" i="43"/>
  <c r="R32" i="43"/>
  <c r="R42" i="43"/>
  <c r="R52" i="43"/>
  <c r="R55" i="43"/>
  <c r="L28" i="43"/>
  <c r="R12" i="43"/>
  <c r="S34" i="43"/>
  <c r="R34" i="43" s="1"/>
  <c r="S38" i="43"/>
  <c r="R38" i="43" s="1"/>
  <c r="S40" i="43"/>
  <c r="R40" i="43" s="1"/>
  <c r="S43" i="43"/>
  <c r="R43" i="43" s="1"/>
  <c r="S48" i="43"/>
  <c r="R48" i="43" s="1"/>
  <c r="S53" i="43"/>
  <c r="R53" i="43" s="1"/>
  <c r="S56" i="43"/>
  <c r="R56" i="43" s="1"/>
  <c r="S60" i="43"/>
  <c r="R60" i="43" s="1"/>
  <c r="R11" i="43"/>
  <c r="S20" i="43"/>
  <c r="R20" i="43" s="1"/>
  <c r="S26" i="43"/>
  <c r="R26" i="43" s="1"/>
  <c r="L30" i="43"/>
  <c r="L32" i="43"/>
  <c r="S33" i="43"/>
  <c r="R33" i="43" s="1"/>
  <c r="S36" i="43"/>
  <c r="R36" i="43" s="1"/>
  <c r="S41" i="43"/>
  <c r="R41" i="43" s="1"/>
  <c r="S45" i="43"/>
  <c r="R45" i="43" s="1"/>
  <c r="S51" i="43"/>
  <c r="R51" i="43" s="1"/>
  <c r="S58" i="43"/>
  <c r="R58" i="43" s="1"/>
  <c r="K8" i="43"/>
  <c r="M8" i="43" s="1"/>
  <c r="L8" i="43"/>
  <c r="L10" i="43"/>
  <c r="K10" i="43"/>
  <c r="L15" i="43"/>
  <c r="K15" i="43"/>
  <c r="K21" i="43"/>
  <c r="M21" i="43" s="1"/>
  <c r="L21" i="43"/>
  <c r="K25" i="43"/>
  <c r="M25" i="43" s="1"/>
  <c r="L25" i="43"/>
  <c r="K7" i="43"/>
  <c r="L7" i="43"/>
  <c r="L9" i="43"/>
  <c r="K9" i="43"/>
  <c r="K11" i="43"/>
  <c r="M11" i="43" s="1"/>
  <c r="L11" i="43"/>
  <c r="K14" i="43"/>
  <c r="M14" i="43" s="1"/>
  <c r="L14" i="43"/>
  <c r="K17" i="43"/>
  <c r="L18" i="43"/>
  <c r="K23" i="43"/>
  <c r="M23" i="43" s="1"/>
  <c r="L23" i="43"/>
  <c r="I10" i="43"/>
  <c r="R19" i="43"/>
  <c r="I25" i="43"/>
  <c r="R27" i="43"/>
  <c r="L29" i="43"/>
  <c r="K29" i="43"/>
  <c r="L31" i="43"/>
  <c r="K31" i="43"/>
  <c r="R31" i="43"/>
  <c r="K37" i="43"/>
  <c r="L37" i="43"/>
  <c r="L38" i="43"/>
  <c r="K38" i="43"/>
  <c r="M38" i="43" s="1"/>
  <c r="K42" i="43"/>
  <c r="L42" i="43"/>
  <c r="L43" i="43"/>
  <c r="K43" i="43"/>
  <c r="M43" i="43" s="1"/>
  <c r="K46" i="43"/>
  <c r="L46" i="43"/>
  <c r="R47" i="43"/>
  <c r="K50" i="43"/>
  <c r="M50" i="43" s="1"/>
  <c r="L50" i="43"/>
  <c r="I11" i="43"/>
  <c r="L16" i="43"/>
  <c r="K16" i="43"/>
  <c r="M16" i="43" s="1"/>
  <c r="L17" i="43"/>
  <c r="M17" i="43"/>
  <c r="K18" i="43"/>
  <c r="M18" i="43" s="1"/>
  <c r="L22" i="43"/>
  <c r="K22" i="43"/>
  <c r="L24" i="43"/>
  <c r="K24" i="43"/>
  <c r="I32" i="43"/>
  <c r="K28" i="43"/>
  <c r="M28" i="43" s="1"/>
  <c r="K30" i="43"/>
  <c r="M30" i="43" s="1"/>
  <c r="I31" i="43"/>
  <c r="K32" i="43"/>
  <c r="M32" i="43" s="1"/>
  <c r="K35" i="43"/>
  <c r="L35" i="43"/>
  <c r="M35" i="43" s="1"/>
  <c r="L36" i="43"/>
  <c r="K36" i="43"/>
  <c r="M36" i="43" s="1"/>
  <c r="K39" i="43"/>
  <c r="L39" i="43"/>
  <c r="K44" i="43"/>
  <c r="L44" i="43"/>
  <c r="L45" i="43"/>
  <c r="K45" i="43"/>
  <c r="K49" i="43"/>
  <c r="L49" i="43"/>
  <c r="K52" i="43"/>
  <c r="L52" i="43"/>
  <c r="L51" i="43"/>
  <c r="K51" i="43"/>
  <c r="L53" i="43"/>
  <c r="K53" i="43"/>
  <c r="K57" i="43"/>
  <c r="L57" i="43"/>
  <c r="L58" i="43"/>
  <c r="K58" i="43"/>
  <c r="M53" i="43"/>
  <c r="L56" i="43"/>
  <c r="K56" i="43"/>
  <c r="K59" i="43"/>
  <c r="L59" i="43"/>
  <c r="L60" i="43"/>
  <c r="K60" i="43"/>
  <c r="R11" i="41"/>
  <c r="R18" i="41"/>
  <c r="R25" i="41"/>
  <c r="L35" i="41"/>
  <c r="R42" i="41"/>
  <c r="R46" i="41"/>
  <c r="R49" i="41"/>
  <c r="R54" i="41"/>
  <c r="R32" i="41"/>
  <c r="R39" i="41"/>
  <c r="R44" i="41"/>
  <c r="R52" i="41"/>
  <c r="R55" i="41"/>
  <c r="L56" i="41"/>
  <c r="S19" i="41"/>
  <c r="R19" i="41" s="1"/>
  <c r="S27" i="41"/>
  <c r="R27" i="41" s="1"/>
  <c r="S31" i="41"/>
  <c r="R31" i="41" s="1"/>
  <c r="S33" i="41"/>
  <c r="R33" i="41" s="1"/>
  <c r="S38" i="41"/>
  <c r="R38" i="41" s="1"/>
  <c r="S40" i="41"/>
  <c r="R40" i="41" s="1"/>
  <c r="S48" i="41"/>
  <c r="R48" i="41" s="1"/>
  <c r="S51" i="41"/>
  <c r="R51" i="41" s="1"/>
  <c r="S58" i="41"/>
  <c r="R58" i="41" s="1"/>
  <c r="S13" i="41"/>
  <c r="R13" i="41" s="1"/>
  <c r="R12" i="41"/>
  <c r="S36" i="41"/>
  <c r="R36" i="41" s="1"/>
  <c r="S53" i="41"/>
  <c r="R53" i="41" s="1"/>
  <c r="S56" i="41"/>
  <c r="R56" i="41" s="1"/>
  <c r="S60" i="41"/>
  <c r="R60" i="41" s="1"/>
  <c r="L8" i="41"/>
  <c r="K8" i="41"/>
  <c r="M8" i="41" s="1"/>
  <c r="L10" i="41"/>
  <c r="K10" i="41"/>
  <c r="M10" i="41" s="1"/>
  <c r="L15" i="41"/>
  <c r="K15" i="41"/>
  <c r="M15" i="41" s="1"/>
  <c r="L17" i="41"/>
  <c r="K17" i="41"/>
  <c r="M17" i="41" s="1"/>
  <c r="K23" i="41"/>
  <c r="L23" i="41"/>
  <c r="L24" i="41"/>
  <c r="K24" i="41"/>
  <c r="K28" i="41"/>
  <c r="L28" i="41"/>
  <c r="L29" i="41"/>
  <c r="K29" i="41"/>
  <c r="K32" i="41"/>
  <c r="L32" i="41"/>
  <c r="K39" i="41"/>
  <c r="L39" i="41"/>
  <c r="K7" i="41"/>
  <c r="L7" i="41"/>
  <c r="K9" i="41"/>
  <c r="L9" i="41"/>
  <c r="K11" i="41"/>
  <c r="L11" i="41"/>
  <c r="K14" i="41"/>
  <c r="L14" i="41"/>
  <c r="K16" i="41"/>
  <c r="L16" i="41"/>
  <c r="K18" i="41"/>
  <c r="L18" i="41"/>
  <c r="R20" i="41"/>
  <c r="K21" i="41"/>
  <c r="L21" i="41"/>
  <c r="L22" i="41"/>
  <c r="K22" i="41"/>
  <c r="K25" i="41"/>
  <c r="L25" i="41"/>
  <c r="R26" i="41"/>
  <c r="K30" i="41"/>
  <c r="L30" i="41"/>
  <c r="L31" i="41"/>
  <c r="K31" i="41"/>
  <c r="R34" i="41"/>
  <c r="K37" i="41"/>
  <c r="L37" i="41"/>
  <c r="I31" i="41"/>
  <c r="L36" i="41"/>
  <c r="K36" i="41"/>
  <c r="L38" i="41"/>
  <c r="K38" i="41"/>
  <c r="K42" i="41"/>
  <c r="K44" i="41"/>
  <c r="K49" i="41"/>
  <c r="L49" i="41"/>
  <c r="L50" i="41"/>
  <c r="K50" i="41"/>
  <c r="K52" i="41"/>
  <c r="L52" i="41"/>
  <c r="I11" i="41"/>
  <c r="K35" i="41"/>
  <c r="M35" i="41" s="1"/>
  <c r="M38" i="41"/>
  <c r="R41" i="41"/>
  <c r="L42" i="41"/>
  <c r="L43" i="41"/>
  <c r="K43" i="41"/>
  <c r="R43" i="41"/>
  <c r="L44" i="41"/>
  <c r="L45" i="41"/>
  <c r="K45" i="41"/>
  <c r="M45" i="41" s="1"/>
  <c r="R45" i="41"/>
  <c r="K46" i="41"/>
  <c r="L46" i="41"/>
  <c r="R47" i="41"/>
  <c r="R50" i="41"/>
  <c r="L51" i="41"/>
  <c r="K51" i="41"/>
  <c r="L53" i="41"/>
  <c r="K53" i="41"/>
  <c r="L59" i="41"/>
  <c r="K59" i="41"/>
  <c r="K60" i="41"/>
  <c r="L60" i="41"/>
  <c r="M51" i="41"/>
  <c r="K56" i="41"/>
  <c r="M56" i="41" s="1"/>
  <c r="L57" i="41"/>
  <c r="K57" i="41"/>
  <c r="K58" i="41"/>
  <c r="L58" i="41"/>
  <c r="M29" i="43" l="1"/>
  <c r="M60" i="43"/>
  <c r="M56" i="43"/>
  <c r="M57" i="43"/>
  <c r="M49" i="43"/>
  <c r="M44" i="43"/>
  <c r="M59" i="43"/>
  <c r="M58" i="43"/>
  <c r="M51" i="43"/>
  <c r="M52" i="43"/>
  <c r="M45" i="43"/>
  <c r="M39" i="43"/>
  <c r="M24" i="43"/>
  <c r="M22" i="43"/>
  <c r="M46" i="43"/>
  <c r="M42" i="43"/>
  <c r="M37" i="43"/>
  <c r="M9" i="43"/>
  <c r="I9" i="43" s="1"/>
  <c r="M7" i="43"/>
  <c r="M15" i="43"/>
  <c r="I16" i="43" s="1"/>
  <c r="M10" i="43"/>
  <c r="I22" i="43"/>
  <c r="I46" i="43"/>
  <c r="I44" i="43"/>
  <c r="I42" i="43"/>
  <c r="I45" i="43"/>
  <c r="I43" i="43"/>
  <c r="I7" i="43"/>
  <c r="I52" i="43"/>
  <c r="I50" i="43"/>
  <c r="I53" i="43"/>
  <c r="I51" i="43"/>
  <c r="I49" i="43"/>
  <c r="I39" i="43"/>
  <c r="I37" i="43"/>
  <c r="I35" i="43"/>
  <c r="I38" i="43"/>
  <c r="I36" i="43"/>
  <c r="I23" i="43"/>
  <c r="I14" i="43"/>
  <c r="I21" i="43"/>
  <c r="I8" i="43"/>
  <c r="I59" i="43"/>
  <c r="I57" i="43"/>
  <c r="I60" i="43"/>
  <c r="I58" i="43"/>
  <c r="I56" i="43"/>
  <c r="M31" i="43"/>
  <c r="I30" i="43" s="1"/>
  <c r="M60" i="41"/>
  <c r="M43" i="41"/>
  <c r="M37" i="41"/>
  <c r="M30" i="41"/>
  <c r="M14" i="41"/>
  <c r="M52" i="41"/>
  <c r="M49" i="41"/>
  <c r="M22" i="41"/>
  <c r="M18" i="41"/>
  <c r="M9" i="41"/>
  <c r="M23" i="41"/>
  <c r="M32" i="41"/>
  <c r="M28" i="41"/>
  <c r="M58" i="41"/>
  <c r="M57" i="41"/>
  <c r="M42" i="41"/>
  <c r="M59" i="41"/>
  <c r="M53" i="41"/>
  <c r="M46" i="41"/>
  <c r="M50" i="41"/>
  <c r="M44" i="41"/>
  <c r="M36" i="41"/>
  <c r="M31" i="41"/>
  <c r="M25" i="41"/>
  <c r="M21" i="41"/>
  <c r="M16" i="41"/>
  <c r="M11" i="41"/>
  <c r="M7" i="41"/>
  <c r="M39" i="41"/>
  <c r="M29" i="41"/>
  <c r="I30" i="41" s="1"/>
  <c r="M24" i="41"/>
  <c r="I52" i="41"/>
  <c r="I53" i="41"/>
  <c r="I51" i="41"/>
  <c r="I49" i="41"/>
  <c r="I50" i="41"/>
  <c r="I46" i="41"/>
  <c r="I44" i="41"/>
  <c r="I42" i="41"/>
  <c r="I45" i="41"/>
  <c r="I43" i="41"/>
  <c r="I14" i="41"/>
  <c r="I28" i="41"/>
  <c r="I23" i="41"/>
  <c r="I15" i="41"/>
  <c r="I10" i="41"/>
  <c r="I8" i="41"/>
  <c r="I60" i="41"/>
  <c r="I58" i="41"/>
  <c r="I59" i="41"/>
  <c r="I57" i="41"/>
  <c r="I56" i="41"/>
  <c r="I39" i="41"/>
  <c r="I37" i="41"/>
  <c r="I35" i="41"/>
  <c r="I38" i="41"/>
  <c r="I36" i="41"/>
  <c r="I21" i="41"/>
  <c r="I16" i="41"/>
  <c r="I7" i="41"/>
  <c r="I29" i="41"/>
  <c r="I24" i="41"/>
  <c r="I17" i="41"/>
  <c r="I15" i="43" l="1"/>
  <c r="I24" i="43"/>
  <c r="I29" i="43"/>
  <c r="B154" i="43"/>
  <c r="C153" i="43" s="1"/>
  <c r="E151" i="43" s="1"/>
  <c r="H152" i="43" s="1"/>
  <c r="B116" i="43"/>
  <c r="C115" i="43" s="1"/>
  <c r="E113" i="43" s="1"/>
  <c r="H114" i="43" s="1"/>
  <c r="B148" i="43"/>
  <c r="C148" i="43" s="1"/>
  <c r="B144" i="43"/>
  <c r="C144" i="43" s="1"/>
  <c r="B142" i="43"/>
  <c r="C161" i="43" s="1"/>
  <c r="B140" i="43"/>
  <c r="C141" i="43" s="1"/>
  <c r="E155" i="43" s="1"/>
  <c r="H156" i="43" s="1"/>
  <c r="B112" i="43"/>
  <c r="C111" i="43" s="1"/>
  <c r="E119" i="43" s="1"/>
  <c r="H121" i="43" s="1"/>
  <c r="B110" i="43"/>
  <c r="C127" i="43" s="1"/>
  <c r="E133" i="43" s="1"/>
  <c r="H135" i="43" s="1"/>
  <c r="B108" i="43"/>
  <c r="C107" i="43" s="1"/>
  <c r="E117" i="43" s="1"/>
  <c r="H118" i="43" s="1"/>
  <c r="B106" i="43"/>
  <c r="C125" i="43" s="1"/>
  <c r="E124" i="43" s="1"/>
  <c r="H129" i="43" s="1"/>
  <c r="B102" i="43"/>
  <c r="C103" i="43" s="1"/>
  <c r="E105" i="43" s="1"/>
  <c r="H109" i="43" s="1"/>
  <c r="I28" i="43"/>
  <c r="B152" i="43" s="1"/>
  <c r="C167" i="43" s="1"/>
  <c r="I22" i="41"/>
  <c r="I9" i="41"/>
  <c r="B152" i="41"/>
  <c r="C167" i="41" s="1"/>
  <c r="E166" i="41" s="1"/>
  <c r="H164" i="41" s="1"/>
  <c r="B150" i="41"/>
  <c r="C149" i="41" s="1"/>
  <c r="E157" i="41" s="1"/>
  <c r="H156" i="41" s="1"/>
  <c r="B148" i="41"/>
  <c r="C165" i="41" s="1"/>
  <c r="E171" i="41" s="1"/>
  <c r="B146" i="41"/>
  <c r="C145" i="41" s="1"/>
  <c r="E143" i="41" s="1"/>
  <c r="H147" i="41" s="1"/>
  <c r="B144" i="41"/>
  <c r="C163" i="41" s="1"/>
  <c r="E163" i="41" s="1"/>
  <c r="B140" i="41"/>
  <c r="C141" i="41" s="1"/>
  <c r="E155" i="41" s="1"/>
  <c r="H159" i="41" s="1"/>
  <c r="B114" i="41"/>
  <c r="C115" i="41" s="1"/>
  <c r="E113" i="41" s="1"/>
  <c r="H109" i="41" s="1"/>
  <c r="B112" i="41"/>
  <c r="C127" i="41" s="1"/>
  <c r="E128" i="41" s="1"/>
  <c r="H129" i="41" s="1"/>
  <c r="B110" i="41"/>
  <c r="C111" i="41" s="1"/>
  <c r="E119" i="41" s="1"/>
  <c r="H121" i="41" s="1"/>
  <c r="B108" i="41"/>
  <c r="C107" i="41" s="1"/>
  <c r="E117" i="41" s="1"/>
  <c r="H118" i="41" s="1"/>
  <c r="B106" i="41"/>
  <c r="C125" i="41" s="1"/>
  <c r="E124" i="41" s="1"/>
  <c r="H126" i="41" s="1"/>
  <c r="B104" i="41"/>
  <c r="C123" i="41" s="1"/>
  <c r="E131" i="41" s="1"/>
  <c r="H135" i="41" s="1"/>
  <c r="B102" i="41"/>
  <c r="C103" i="41" s="1"/>
  <c r="E105" i="41" s="1"/>
  <c r="H114" i="41" s="1"/>
  <c r="B154" i="41"/>
  <c r="C153" i="41" s="1"/>
  <c r="E151" i="41" s="1"/>
  <c r="H152" i="41" s="1"/>
  <c r="B116" i="41"/>
  <c r="C129" i="41" s="1"/>
  <c r="E133" i="41" s="1"/>
  <c r="H132" i="41" s="1"/>
  <c r="B303" i="43" l="1"/>
  <c r="B302" i="43"/>
  <c r="B301" i="43"/>
  <c r="B300" i="43"/>
  <c r="B114" i="43"/>
  <c r="C129" i="43" s="1"/>
  <c r="E128" i="43" s="1"/>
  <c r="H126" i="43" s="1"/>
  <c r="C165" i="43"/>
  <c r="E165" i="43" s="1"/>
  <c r="C149" i="43"/>
  <c r="E157" i="43" s="1"/>
  <c r="H159" i="43" s="1"/>
  <c r="B104" i="43"/>
  <c r="C123" i="43" s="1"/>
  <c r="E131" i="43" s="1"/>
  <c r="H132" i="43" s="1"/>
  <c r="C163" i="43"/>
  <c r="E163" i="43" s="1"/>
  <c r="C145" i="43"/>
  <c r="E143" i="43" s="1"/>
  <c r="H147" i="43" s="1"/>
  <c r="B312" i="41"/>
  <c r="B310" i="41"/>
  <c r="B308" i="41"/>
  <c r="B306" i="41"/>
  <c r="B304" i="41"/>
  <c r="B302" i="41"/>
  <c r="B300" i="41"/>
  <c r="B311" i="41"/>
  <c r="B309" i="41"/>
  <c r="B307" i="41"/>
  <c r="B305" i="41"/>
  <c r="B303" i="41"/>
  <c r="B301" i="41"/>
  <c r="E169" i="41"/>
  <c r="G169" i="41" s="1"/>
  <c r="E162" i="41"/>
  <c r="H167" i="41" s="1"/>
  <c r="G171" i="41"/>
  <c r="AN20" i="16" l="1"/>
  <c r="AN22" i="16"/>
  <c r="AN11" i="16"/>
  <c r="AN21" i="16"/>
  <c r="AN23" i="16"/>
  <c r="AN41" i="16"/>
  <c r="AN56" i="16"/>
  <c r="AN57" i="16"/>
  <c r="B305" i="43"/>
  <c r="B307" i="43"/>
  <c r="B309" i="43"/>
  <c r="B311" i="43"/>
  <c r="E161" i="43"/>
  <c r="B304" i="43"/>
  <c r="B306" i="43"/>
  <c r="B308" i="43"/>
  <c r="B310" i="43"/>
  <c r="E167" i="43"/>
  <c r="E171" i="43" s="1"/>
  <c r="G171" i="43" s="1"/>
  <c r="H170" i="41"/>
  <c r="B314" i="41" s="1"/>
  <c r="H173" i="41"/>
  <c r="B313" i="41"/>
  <c r="AN8" i="16" l="1"/>
  <c r="AN64" i="16"/>
  <c r="AN33" i="16"/>
  <c r="AN17" i="16"/>
  <c r="AN13" i="16"/>
  <c r="AN9" i="16"/>
  <c r="AN34" i="16"/>
  <c r="AN18" i="16"/>
  <c r="AN14" i="16"/>
  <c r="AN10" i="16"/>
  <c r="AN53" i="16"/>
  <c r="AN62" i="16"/>
  <c r="AN15" i="16"/>
  <c r="AN28" i="16"/>
  <c r="AN16" i="16"/>
  <c r="AN12" i="16"/>
  <c r="AN7" i="16"/>
  <c r="E166" i="43"/>
  <c r="H167" i="43" s="1"/>
  <c r="E169" i="43"/>
  <c r="G169" i="43" s="1"/>
  <c r="E162" i="43"/>
  <c r="H164" i="43" s="1"/>
  <c r="B312" i="43" l="1"/>
  <c r="B313" i="43"/>
  <c r="H173" i="43"/>
  <c r="H170" i="43"/>
  <c r="AN59" i="16" l="1"/>
  <c r="AN51" i="16"/>
  <c r="AN43" i="16"/>
  <c r="AN60" i="16"/>
  <c r="AN48" i="16"/>
  <c r="AN37" i="16"/>
  <c r="AN29" i="16"/>
  <c r="AN26" i="16"/>
  <c r="AN61" i="16"/>
  <c r="AN49" i="16"/>
  <c r="AN66" i="16"/>
  <c r="AN58" i="16"/>
  <c r="AN50" i="16"/>
  <c r="AN42" i="16"/>
  <c r="AN35" i="16"/>
  <c r="AN27" i="16"/>
  <c r="AN36" i="16"/>
  <c r="AN63" i="16"/>
  <c r="AN55" i="16"/>
  <c r="AN47" i="16"/>
  <c r="AN52" i="16"/>
  <c r="AN44" i="16"/>
  <c r="AN25" i="16"/>
  <c r="AN38" i="16"/>
  <c r="AN30" i="16"/>
  <c r="AN65" i="16"/>
  <c r="AN45" i="16"/>
  <c r="AN54" i="16"/>
  <c r="AN46" i="16"/>
  <c r="AN39" i="16"/>
  <c r="AN31" i="16"/>
  <c r="AN19" i="16"/>
  <c r="AN40" i="16"/>
  <c r="AN32" i="16"/>
  <c r="AN24" i="16"/>
  <c r="C314" i="39"/>
  <c r="C313" i="39"/>
  <c r="C312" i="39"/>
  <c r="C311" i="39"/>
  <c r="C310" i="39"/>
  <c r="C309" i="39"/>
  <c r="C308" i="39"/>
  <c r="C307" i="39"/>
  <c r="C306" i="39"/>
  <c r="C305" i="39"/>
  <c r="C304" i="39"/>
  <c r="C303" i="39"/>
  <c r="C302" i="39"/>
  <c r="C301" i="39"/>
  <c r="C300" i="39"/>
  <c r="C167" i="39"/>
  <c r="E167" i="39" s="1"/>
  <c r="Z60" i="39"/>
  <c r="Y60" i="39" s="1"/>
  <c r="X60" i="39"/>
  <c r="W60" i="39" s="1"/>
  <c r="V60" i="39"/>
  <c r="U60" i="39" s="1"/>
  <c r="T60" i="39"/>
  <c r="H60" i="39"/>
  <c r="J60" i="39" s="1"/>
  <c r="Z59" i="39"/>
  <c r="Y59" i="39" s="1"/>
  <c r="X59" i="39"/>
  <c r="W59" i="39" s="1"/>
  <c r="V59" i="39"/>
  <c r="U59" i="39" s="1"/>
  <c r="T59" i="39"/>
  <c r="S59" i="39" s="1"/>
  <c r="H59" i="39"/>
  <c r="J59" i="39" s="1"/>
  <c r="Z58" i="39"/>
  <c r="Y58" i="39" s="1"/>
  <c r="X58" i="39"/>
  <c r="W58" i="39" s="1"/>
  <c r="V58" i="39"/>
  <c r="U58" i="39" s="1"/>
  <c r="T58" i="39"/>
  <c r="H58" i="39"/>
  <c r="J58" i="39" s="1"/>
  <c r="Z57" i="39"/>
  <c r="Y57" i="39" s="1"/>
  <c r="X57" i="39"/>
  <c r="W57" i="39" s="1"/>
  <c r="V57" i="39"/>
  <c r="U57" i="39" s="1"/>
  <c r="T57" i="39"/>
  <c r="S57" i="39" s="1"/>
  <c r="H57" i="39"/>
  <c r="J57" i="39" s="1"/>
  <c r="Z56" i="39"/>
  <c r="Y56" i="39" s="1"/>
  <c r="X56" i="39"/>
  <c r="W56" i="39" s="1"/>
  <c r="V56" i="39"/>
  <c r="U56" i="39" s="1"/>
  <c r="T56" i="39"/>
  <c r="H56" i="39"/>
  <c r="J56" i="39" s="1"/>
  <c r="Z55" i="39"/>
  <c r="Y55" i="39" s="1"/>
  <c r="X55" i="39"/>
  <c r="W55" i="39" s="1"/>
  <c r="V55" i="39"/>
  <c r="U55" i="39" s="1"/>
  <c r="T55" i="39"/>
  <c r="S55" i="39" s="1"/>
  <c r="M55" i="39"/>
  <c r="Z54" i="39"/>
  <c r="Y54" i="39" s="1"/>
  <c r="X54" i="39"/>
  <c r="W54" i="39" s="1"/>
  <c r="V54" i="39"/>
  <c r="U54" i="39" s="1"/>
  <c r="T54" i="39"/>
  <c r="S54" i="39" s="1"/>
  <c r="Z53" i="39"/>
  <c r="Y53" i="39" s="1"/>
  <c r="X53" i="39"/>
  <c r="W53" i="39" s="1"/>
  <c r="V53" i="39"/>
  <c r="U53" i="39" s="1"/>
  <c r="T53" i="39"/>
  <c r="H53" i="39"/>
  <c r="J53" i="39" s="1"/>
  <c r="Z52" i="39"/>
  <c r="Y52" i="39" s="1"/>
  <c r="X52" i="39"/>
  <c r="W52" i="39" s="1"/>
  <c r="V52" i="39"/>
  <c r="U52" i="39" s="1"/>
  <c r="T52" i="39"/>
  <c r="S52" i="39" s="1"/>
  <c r="H52" i="39"/>
  <c r="J52" i="39" s="1"/>
  <c r="Z51" i="39"/>
  <c r="Y51" i="39" s="1"/>
  <c r="X51" i="39"/>
  <c r="W51" i="39" s="1"/>
  <c r="V51" i="39"/>
  <c r="U51" i="39" s="1"/>
  <c r="T51" i="39"/>
  <c r="S51" i="39" s="1"/>
  <c r="H51" i="39"/>
  <c r="J51" i="39" s="1"/>
  <c r="Z50" i="39"/>
  <c r="Y50" i="39" s="1"/>
  <c r="X50" i="39"/>
  <c r="W50" i="39" s="1"/>
  <c r="V50" i="39"/>
  <c r="U50" i="39" s="1"/>
  <c r="T50" i="39"/>
  <c r="H50" i="39"/>
  <c r="J50" i="39" s="1"/>
  <c r="Z49" i="39"/>
  <c r="Y49" i="39" s="1"/>
  <c r="X49" i="39"/>
  <c r="W49" i="39" s="1"/>
  <c r="V49" i="39"/>
  <c r="U49" i="39" s="1"/>
  <c r="T49" i="39"/>
  <c r="S49" i="39" s="1"/>
  <c r="H49" i="39"/>
  <c r="J49" i="39" s="1"/>
  <c r="Z48" i="39"/>
  <c r="Y48" i="39" s="1"/>
  <c r="X48" i="39"/>
  <c r="W48" i="39" s="1"/>
  <c r="V48" i="39"/>
  <c r="U48" i="39" s="1"/>
  <c r="T48" i="39"/>
  <c r="M48" i="39"/>
  <c r="Z47" i="39"/>
  <c r="Y47" i="39" s="1"/>
  <c r="X47" i="39"/>
  <c r="W47" i="39" s="1"/>
  <c r="V47" i="39"/>
  <c r="U47" i="39" s="1"/>
  <c r="T47" i="39"/>
  <c r="S47" i="39" s="1"/>
  <c r="Z46" i="39"/>
  <c r="Y46" i="39" s="1"/>
  <c r="X46" i="39"/>
  <c r="W46" i="39" s="1"/>
  <c r="V46" i="39"/>
  <c r="U46" i="39" s="1"/>
  <c r="T46" i="39"/>
  <c r="S46" i="39" s="1"/>
  <c r="H46" i="39"/>
  <c r="J46" i="39" s="1"/>
  <c r="Z45" i="39"/>
  <c r="Y45" i="39" s="1"/>
  <c r="X45" i="39"/>
  <c r="W45" i="39" s="1"/>
  <c r="V45" i="39"/>
  <c r="U45" i="39" s="1"/>
  <c r="T45" i="39"/>
  <c r="H45" i="39"/>
  <c r="J45" i="39" s="1"/>
  <c r="Z44" i="39"/>
  <c r="Y44" i="39" s="1"/>
  <c r="X44" i="39"/>
  <c r="W44" i="39" s="1"/>
  <c r="V44" i="39"/>
  <c r="U44" i="39" s="1"/>
  <c r="T44" i="39"/>
  <c r="S44" i="39" s="1"/>
  <c r="H44" i="39"/>
  <c r="J44" i="39" s="1"/>
  <c r="Z43" i="39"/>
  <c r="Y43" i="39" s="1"/>
  <c r="X43" i="39"/>
  <c r="W43" i="39" s="1"/>
  <c r="V43" i="39"/>
  <c r="U43" i="39" s="1"/>
  <c r="T43" i="39"/>
  <c r="S43" i="39" s="1"/>
  <c r="H43" i="39"/>
  <c r="J43" i="39" s="1"/>
  <c r="Z42" i="39"/>
  <c r="Y42" i="39" s="1"/>
  <c r="X42" i="39"/>
  <c r="W42" i="39" s="1"/>
  <c r="V42" i="39"/>
  <c r="U42" i="39" s="1"/>
  <c r="T42" i="39"/>
  <c r="S42" i="39" s="1"/>
  <c r="H42" i="39"/>
  <c r="J42" i="39" s="1"/>
  <c r="Z41" i="39"/>
  <c r="Y41" i="39" s="1"/>
  <c r="X41" i="39"/>
  <c r="W41" i="39" s="1"/>
  <c r="V41" i="39"/>
  <c r="U41" i="39" s="1"/>
  <c r="T41" i="39"/>
  <c r="S41" i="39" s="1"/>
  <c r="M41" i="39"/>
  <c r="Z40" i="39"/>
  <c r="Y40" i="39" s="1"/>
  <c r="X40" i="39"/>
  <c r="W40" i="39" s="1"/>
  <c r="V40" i="39"/>
  <c r="U40" i="39" s="1"/>
  <c r="T40" i="39"/>
  <c r="Z39" i="39"/>
  <c r="Y39" i="39" s="1"/>
  <c r="X39" i="39"/>
  <c r="W39" i="39" s="1"/>
  <c r="V39" i="39"/>
  <c r="U39" i="39" s="1"/>
  <c r="T39" i="39"/>
  <c r="S39" i="39" s="1"/>
  <c r="H39" i="39"/>
  <c r="J39" i="39" s="1"/>
  <c r="Z38" i="39"/>
  <c r="Y38" i="39" s="1"/>
  <c r="X38" i="39"/>
  <c r="W38" i="39" s="1"/>
  <c r="V38" i="39"/>
  <c r="U38" i="39" s="1"/>
  <c r="T38" i="39"/>
  <c r="H38" i="39"/>
  <c r="J38" i="39" s="1"/>
  <c r="Z37" i="39"/>
  <c r="Y37" i="39" s="1"/>
  <c r="X37" i="39"/>
  <c r="W37" i="39" s="1"/>
  <c r="V37" i="39"/>
  <c r="U37" i="39" s="1"/>
  <c r="T37" i="39"/>
  <c r="S37" i="39" s="1"/>
  <c r="H37" i="39"/>
  <c r="J37" i="39" s="1"/>
  <c r="Z36" i="39"/>
  <c r="Y36" i="39" s="1"/>
  <c r="X36" i="39"/>
  <c r="W36" i="39" s="1"/>
  <c r="V36" i="39"/>
  <c r="U36" i="39" s="1"/>
  <c r="T36" i="39"/>
  <c r="H36" i="39"/>
  <c r="J36" i="39" s="1"/>
  <c r="Z35" i="39"/>
  <c r="Y35" i="39" s="1"/>
  <c r="X35" i="39"/>
  <c r="W35" i="39" s="1"/>
  <c r="V35" i="39"/>
  <c r="U35" i="39" s="1"/>
  <c r="T35" i="39"/>
  <c r="S35" i="39" s="1"/>
  <c r="H35" i="39"/>
  <c r="J35" i="39" s="1"/>
  <c r="Z34" i="39"/>
  <c r="Y34" i="39" s="1"/>
  <c r="X34" i="39"/>
  <c r="W34" i="39" s="1"/>
  <c r="V34" i="39"/>
  <c r="U34" i="39" s="1"/>
  <c r="T34" i="39"/>
  <c r="M34" i="39"/>
  <c r="Z33" i="39"/>
  <c r="Y33" i="39" s="1"/>
  <c r="X33" i="39"/>
  <c r="W33" i="39" s="1"/>
  <c r="V33" i="39"/>
  <c r="U33" i="39" s="1"/>
  <c r="T33" i="39"/>
  <c r="S33" i="39" s="1"/>
  <c r="Z32" i="39"/>
  <c r="Y32" i="39" s="1"/>
  <c r="X32" i="39"/>
  <c r="W32" i="39" s="1"/>
  <c r="V32" i="39"/>
  <c r="U32" i="39" s="1"/>
  <c r="T32" i="39"/>
  <c r="S32" i="39" s="1"/>
  <c r="H32" i="39"/>
  <c r="J32" i="39" s="1"/>
  <c r="Z31" i="39"/>
  <c r="Y31" i="39" s="1"/>
  <c r="X31" i="39"/>
  <c r="W31" i="39" s="1"/>
  <c r="V31" i="39"/>
  <c r="T31" i="39"/>
  <c r="H31" i="39"/>
  <c r="J31" i="39" s="1"/>
  <c r="Z30" i="39"/>
  <c r="Y30" i="39" s="1"/>
  <c r="X30" i="39"/>
  <c r="W30" i="39" s="1"/>
  <c r="V30" i="39"/>
  <c r="T30" i="39"/>
  <c r="H30" i="39"/>
  <c r="J30" i="39" s="1"/>
  <c r="Z29" i="39"/>
  <c r="X29" i="39"/>
  <c r="V29" i="39"/>
  <c r="U29" i="39" s="1"/>
  <c r="T29" i="39"/>
  <c r="H29" i="39"/>
  <c r="J29" i="39" s="1"/>
  <c r="Z28" i="39"/>
  <c r="Y28" i="39" s="1"/>
  <c r="X28" i="39"/>
  <c r="W28" i="39" s="1"/>
  <c r="V28" i="39"/>
  <c r="T28" i="39"/>
  <c r="H28" i="39"/>
  <c r="J28" i="39" s="1"/>
  <c r="Z27" i="39"/>
  <c r="Y27" i="39" s="1"/>
  <c r="X27" i="39"/>
  <c r="W27" i="39" s="1"/>
  <c r="V27" i="39"/>
  <c r="U27" i="39" s="1"/>
  <c r="T27" i="39"/>
  <c r="S27" i="39" s="1"/>
  <c r="M27" i="39"/>
  <c r="I32" i="39" s="1"/>
  <c r="Z26" i="39"/>
  <c r="Y26" i="39" s="1"/>
  <c r="X26" i="39"/>
  <c r="W26" i="39" s="1"/>
  <c r="V26" i="39"/>
  <c r="U26" i="39" s="1"/>
  <c r="T26" i="39"/>
  <c r="Z25" i="39"/>
  <c r="Y25" i="39" s="1"/>
  <c r="X25" i="39"/>
  <c r="W25" i="39" s="1"/>
  <c r="V25" i="39"/>
  <c r="U25" i="39" s="1"/>
  <c r="T25" i="39"/>
  <c r="S25" i="39" s="1"/>
  <c r="H25" i="39"/>
  <c r="J25" i="39" s="1"/>
  <c r="Z24" i="39"/>
  <c r="Y24" i="39" s="1"/>
  <c r="X24" i="39"/>
  <c r="W24" i="39" s="1"/>
  <c r="V24" i="39"/>
  <c r="T24" i="39"/>
  <c r="H24" i="39"/>
  <c r="J24" i="39" s="1"/>
  <c r="Z23" i="39"/>
  <c r="Y23" i="39" s="1"/>
  <c r="X23" i="39"/>
  <c r="W23" i="39" s="1"/>
  <c r="V23" i="39"/>
  <c r="T23" i="39"/>
  <c r="H23" i="39"/>
  <c r="J23" i="39" s="1"/>
  <c r="Z22" i="39"/>
  <c r="Y22" i="39" s="1"/>
  <c r="X22" i="39"/>
  <c r="W22" i="39" s="1"/>
  <c r="V22" i="39"/>
  <c r="T22" i="39"/>
  <c r="H22" i="39"/>
  <c r="J22" i="39" s="1"/>
  <c r="Z21" i="39"/>
  <c r="Y21" i="39" s="1"/>
  <c r="X21" i="39"/>
  <c r="W21" i="39" s="1"/>
  <c r="V21" i="39"/>
  <c r="T21" i="39"/>
  <c r="H21" i="39"/>
  <c r="J21" i="39" s="1"/>
  <c r="Z20" i="39"/>
  <c r="Y20" i="39" s="1"/>
  <c r="X20" i="39"/>
  <c r="W20" i="39" s="1"/>
  <c r="V20" i="39"/>
  <c r="U20" i="39" s="1"/>
  <c r="T20" i="39"/>
  <c r="M20" i="39"/>
  <c r="I25" i="39" s="1"/>
  <c r="Z19" i="39"/>
  <c r="Y19" i="39" s="1"/>
  <c r="X19" i="39"/>
  <c r="W19" i="39" s="1"/>
  <c r="V19" i="39"/>
  <c r="U19" i="39" s="1"/>
  <c r="T19" i="39"/>
  <c r="S19" i="39" s="1"/>
  <c r="Z18" i="39"/>
  <c r="Y18" i="39" s="1"/>
  <c r="X18" i="39"/>
  <c r="W18" i="39" s="1"/>
  <c r="V18" i="39"/>
  <c r="U18" i="39" s="1"/>
  <c r="T18" i="39"/>
  <c r="S18" i="39" s="1"/>
  <c r="H18" i="39"/>
  <c r="J18" i="39" s="1"/>
  <c r="Z17" i="39"/>
  <c r="Y17" i="39" s="1"/>
  <c r="X17" i="39"/>
  <c r="W17" i="39" s="1"/>
  <c r="V17" i="39"/>
  <c r="T17" i="39"/>
  <c r="H17" i="39"/>
  <c r="J17" i="39" s="1"/>
  <c r="Z16" i="39"/>
  <c r="Y16" i="39" s="1"/>
  <c r="X16" i="39"/>
  <c r="W16" i="39" s="1"/>
  <c r="V16" i="39"/>
  <c r="T16" i="39"/>
  <c r="H16" i="39"/>
  <c r="J16" i="39" s="1"/>
  <c r="Z15" i="39"/>
  <c r="Y15" i="39" s="1"/>
  <c r="X15" i="39"/>
  <c r="W15" i="39" s="1"/>
  <c r="V15" i="39"/>
  <c r="T15" i="39"/>
  <c r="H15" i="39"/>
  <c r="J15" i="39" s="1"/>
  <c r="Z14" i="39"/>
  <c r="Y14" i="39" s="1"/>
  <c r="X14" i="39"/>
  <c r="W14" i="39" s="1"/>
  <c r="V14" i="39"/>
  <c r="T14" i="39"/>
  <c r="H14" i="39"/>
  <c r="J14" i="39" s="1"/>
  <c r="Z13" i="39"/>
  <c r="Y13" i="39" s="1"/>
  <c r="X13" i="39"/>
  <c r="W13" i="39" s="1"/>
  <c r="V13" i="39"/>
  <c r="U13" i="39" s="1"/>
  <c r="T13" i="39"/>
  <c r="S13" i="39" s="1"/>
  <c r="M13" i="39"/>
  <c r="Z12" i="39"/>
  <c r="Y12" i="39" s="1"/>
  <c r="X12" i="39"/>
  <c r="W12" i="39" s="1"/>
  <c r="V12" i="39"/>
  <c r="U12" i="39" s="1"/>
  <c r="T12" i="39"/>
  <c r="S12" i="39" s="1"/>
  <c r="Z11" i="39"/>
  <c r="Y11" i="39" s="1"/>
  <c r="X11" i="39"/>
  <c r="W11" i="39" s="1"/>
  <c r="V11" i="39"/>
  <c r="U11" i="39" s="1"/>
  <c r="T11" i="39"/>
  <c r="S11" i="39" s="1"/>
  <c r="H11" i="39"/>
  <c r="J11" i="39" s="1"/>
  <c r="Z10" i="39"/>
  <c r="Y10" i="39" s="1"/>
  <c r="X10" i="39"/>
  <c r="W10" i="39" s="1"/>
  <c r="V10" i="39"/>
  <c r="U10" i="39" s="1"/>
  <c r="T10" i="39"/>
  <c r="H10" i="39"/>
  <c r="J10" i="39" s="1"/>
  <c r="Z9" i="39"/>
  <c r="Y9" i="39" s="1"/>
  <c r="X9" i="39"/>
  <c r="W9" i="39" s="1"/>
  <c r="V9" i="39"/>
  <c r="T9" i="39"/>
  <c r="H9" i="39"/>
  <c r="J9" i="39" s="1"/>
  <c r="Z8" i="39"/>
  <c r="Y8" i="39" s="1"/>
  <c r="X8" i="39"/>
  <c r="W8" i="39" s="1"/>
  <c r="V8" i="39"/>
  <c r="T8" i="39"/>
  <c r="H8" i="39"/>
  <c r="J8" i="39" s="1"/>
  <c r="Z7" i="39"/>
  <c r="Y7" i="39" s="1"/>
  <c r="X7" i="39"/>
  <c r="W7" i="39" s="1"/>
  <c r="V7" i="39"/>
  <c r="T7" i="39"/>
  <c r="H7" i="39"/>
  <c r="J7" i="39" s="1"/>
  <c r="M6" i="39"/>
  <c r="I18" i="39" s="1"/>
  <c r="G1" i="39"/>
  <c r="E1" i="39"/>
  <c r="C306" i="40"/>
  <c r="C305" i="40"/>
  <c r="C304" i="40"/>
  <c r="C303" i="40"/>
  <c r="C302" i="40"/>
  <c r="C301" i="40"/>
  <c r="C300" i="40"/>
  <c r="H120" i="40"/>
  <c r="H117" i="40"/>
  <c r="H114" i="40"/>
  <c r="H111" i="40"/>
  <c r="H108" i="40"/>
  <c r="H105" i="40"/>
  <c r="H102" i="40"/>
  <c r="B306" i="40" s="1"/>
  <c r="Z13" i="40"/>
  <c r="X13" i="40"/>
  <c r="V13" i="40"/>
  <c r="T13" i="40"/>
  <c r="J13" i="40"/>
  <c r="Z12" i="40"/>
  <c r="X12" i="40"/>
  <c r="V12" i="40"/>
  <c r="T12" i="40"/>
  <c r="J12" i="40"/>
  <c r="Z11" i="40"/>
  <c r="X11" i="40"/>
  <c r="V11" i="40"/>
  <c r="T11" i="40"/>
  <c r="J11" i="40"/>
  <c r="Z10" i="40"/>
  <c r="X10" i="40"/>
  <c r="V10" i="40"/>
  <c r="T10" i="40"/>
  <c r="J10" i="40"/>
  <c r="Z9" i="40"/>
  <c r="X9" i="40"/>
  <c r="V9" i="40"/>
  <c r="T9" i="40"/>
  <c r="J9" i="40"/>
  <c r="Z8" i="40"/>
  <c r="X8" i="40"/>
  <c r="V8" i="40"/>
  <c r="T8" i="40"/>
  <c r="J8" i="40"/>
  <c r="Z7" i="40"/>
  <c r="X7" i="40"/>
  <c r="V7" i="40"/>
  <c r="T7" i="40"/>
  <c r="J7" i="40"/>
  <c r="G1" i="40"/>
  <c r="E1" i="40"/>
  <c r="A4" i="29"/>
  <c r="A2" i="29"/>
  <c r="C150" i="29"/>
  <c r="C146" i="29"/>
  <c r="H60" i="29"/>
  <c r="J60" i="29" s="1"/>
  <c r="H59" i="29"/>
  <c r="J59" i="29" s="1"/>
  <c r="H58" i="29"/>
  <c r="J58" i="29" s="1"/>
  <c r="H57" i="29"/>
  <c r="J57" i="29" s="1"/>
  <c r="H56" i="29"/>
  <c r="J56" i="29" s="1"/>
  <c r="L56" i="29" s="1"/>
  <c r="M55" i="29"/>
  <c r="H53" i="29"/>
  <c r="J53" i="29" s="1"/>
  <c r="H52" i="29"/>
  <c r="J52" i="29" s="1"/>
  <c r="H51" i="29"/>
  <c r="J51" i="29" s="1"/>
  <c r="H50" i="29"/>
  <c r="J50" i="29" s="1"/>
  <c r="H49" i="29"/>
  <c r="J49" i="29" s="1"/>
  <c r="M48" i="29"/>
  <c r="H46" i="29"/>
  <c r="J46" i="29" s="1"/>
  <c r="H45" i="29"/>
  <c r="J45" i="29" s="1"/>
  <c r="H44" i="29"/>
  <c r="J44" i="29" s="1"/>
  <c r="H43" i="29"/>
  <c r="J43" i="29" s="1"/>
  <c r="H42" i="29"/>
  <c r="J42" i="29" s="1"/>
  <c r="M41" i="29"/>
  <c r="H39" i="29"/>
  <c r="J39" i="29" s="1"/>
  <c r="H38" i="29"/>
  <c r="J38" i="29" s="1"/>
  <c r="H37" i="29"/>
  <c r="J37" i="29" s="1"/>
  <c r="H36" i="29"/>
  <c r="J36" i="29" s="1"/>
  <c r="H35" i="29"/>
  <c r="J35" i="29" s="1"/>
  <c r="M34" i="29"/>
  <c r="H32" i="29"/>
  <c r="J32" i="29" s="1"/>
  <c r="H31" i="29"/>
  <c r="J31" i="29" s="1"/>
  <c r="H30" i="29"/>
  <c r="J30" i="29" s="1"/>
  <c r="H29" i="29"/>
  <c r="J29" i="29" s="1"/>
  <c r="H28" i="29"/>
  <c r="J28" i="29" s="1"/>
  <c r="M27" i="29"/>
  <c r="H25" i="29"/>
  <c r="J25" i="29" s="1"/>
  <c r="H24" i="29"/>
  <c r="J24" i="29" s="1"/>
  <c r="H23" i="29"/>
  <c r="J23" i="29" s="1"/>
  <c r="H22" i="29"/>
  <c r="J22" i="29" s="1"/>
  <c r="H21" i="29"/>
  <c r="J21" i="29" s="1"/>
  <c r="M20" i="29"/>
  <c r="I25" i="29" s="1"/>
  <c r="H18" i="29"/>
  <c r="J18" i="29" s="1"/>
  <c r="H17" i="29"/>
  <c r="J17" i="29" s="1"/>
  <c r="H16" i="29"/>
  <c r="J16" i="29" s="1"/>
  <c r="H15" i="29"/>
  <c r="J15" i="29" s="1"/>
  <c r="H14" i="29"/>
  <c r="J14" i="29" s="1"/>
  <c r="M13" i="29"/>
  <c r="H11" i="29"/>
  <c r="J11" i="29" s="1"/>
  <c r="H10" i="29"/>
  <c r="J10" i="29" s="1"/>
  <c r="H9" i="29"/>
  <c r="J9" i="29" s="1"/>
  <c r="H8" i="29"/>
  <c r="J8" i="29" s="1"/>
  <c r="H7" i="29"/>
  <c r="J7" i="29" s="1"/>
  <c r="M6" i="29"/>
  <c r="I18" i="29" s="1"/>
  <c r="G1" i="29"/>
  <c r="E1" i="29"/>
  <c r="A4" i="30"/>
  <c r="A2" i="30"/>
  <c r="A1" i="30"/>
  <c r="H204" i="30"/>
  <c r="J204" i="30" s="1"/>
  <c r="H203" i="30"/>
  <c r="J203" i="30" s="1"/>
  <c r="H202" i="30"/>
  <c r="J202" i="30" s="1"/>
  <c r="H201" i="30"/>
  <c r="J201" i="30" s="1"/>
  <c r="H200" i="30"/>
  <c r="J200" i="30" s="1"/>
  <c r="H167" i="30"/>
  <c r="H164" i="30"/>
  <c r="H135" i="30"/>
  <c r="E133" i="30"/>
  <c r="H132" i="30"/>
  <c r="H129" i="30"/>
  <c r="E128" i="30"/>
  <c r="H126" i="30"/>
  <c r="H60" i="30"/>
  <c r="J60" i="30" s="1"/>
  <c r="H59" i="30"/>
  <c r="J59" i="30" s="1"/>
  <c r="H58" i="30"/>
  <c r="J58" i="30" s="1"/>
  <c r="H57" i="30"/>
  <c r="J57" i="30" s="1"/>
  <c r="H56" i="30"/>
  <c r="J56" i="30" s="1"/>
  <c r="L56" i="30" s="1"/>
  <c r="M55" i="30"/>
  <c r="H53" i="30"/>
  <c r="J53" i="30" s="1"/>
  <c r="H52" i="30"/>
  <c r="J52" i="30" s="1"/>
  <c r="H51" i="30"/>
  <c r="J51" i="30" s="1"/>
  <c r="H50" i="30"/>
  <c r="J50" i="30" s="1"/>
  <c r="H49" i="30"/>
  <c r="J49" i="30" s="1"/>
  <c r="M48" i="30"/>
  <c r="H46" i="30"/>
  <c r="J46" i="30" s="1"/>
  <c r="H45" i="30"/>
  <c r="J45" i="30" s="1"/>
  <c r="H44" i="30"/>
  <c r="J44" i="30" s="1"/>
  <c r="H43" i="30"/>
  <c r="J43" i="30" s="1"/>
  <c r="H42" i="30"/>
  <c r="J42" i="30" s="1"/>
  <c r="M41" i="30"/>
  <c r="H39" i="30"/>
  <c r="J39" i="30" s="1"/>
  <c r="H38" i="30"/>
  <c r="J38" i="30" s="1"/>
  <c r="H37" i="30"/>
  <c r="J37" i="30" s="1"/>
  <c r="H36" i="30"/>
  <c r="J36" i="30" s="1"/>
  <c r="H35" i="30"/>
  <c r="J35" i="30" s="1"/>
  <c r="M34" i="30"/>
  <c r="H32" i="30"/>
  <c r="J32" i="30" s="1"/>
  <c r="H31" i="30"/>
  <c r="J31" i="30" s="1"/>
  <c r="H30" i="30"/>
  <c r="J30" i="30" s="1"/>
  <c r="H29" i="30"/>
  <c r="J29" i="30" s="1"/>
  <c r="H28" i="30"/>
  <c r="J28" i="30" s="1"/>
  <c r="M27" i="30"/>
  <c r="H25" i="30"/>
  <c r="J25" i="30" s="1"/>
  <c r="H24" i="30"/>
  <c r="J24" i="30" s="1"/>
  <c r="H23" i="30"/>
  <c r="J23" i="30" s="1"/>
  <c r="H22" i="30"/>
  <c r="J22" i="30" s="1"/>
  <c r="H21" i="30"/>
  <c r="J21" i="30" s="1"/>
  <c r="M20" i="30"/>
  <c r="H18" i="30"/>
  <c r="J18" i="30" s="1"/>
  <c r="H17" i="30"/>
  <c r="J17" i="30" s="1"/>
  <c r="H16" i="30"/>
  <c r="J16" i="30" s="1"/>
  <c r="H15" i="30"/>
  <c r="J15" i="30" s="1"/>
  <c r="H14" i="30"/>
  <c r="J14" i="30" s="1"/>
  <c r="M13" i="30"/>
  <c r="H11" i="30"/>
  <c r="J11" i="30" s="1"/>
  <c r="H10" i="30"/>
  <c r="J10" i="30" s="1"/>
  <c r="H9" i="30"/>
  <c r="J9" i="30" s="1"/>
  <c r="H8" i="30"/>
  <c r="J8" i="30" s="1"/>
  <c r="H7" i="30"/>
  <c r="J7" i="30" s="1"/>
  <c r="M6" i="30"/>
  <c r="G1" i="30"/>
  <c r="E1" i="30"/>
  <c r="T7" i="31"/>
  <c r="V7" i="31"/>
  <c r="X7" i="31"/>
  <c r="Z7" i="31"/>
  <c r="C313" i="31"/>
  <c r="C312" i="31"/>
  <c r="C311" i="31"/>
  <c r="C310" i="31"/>
  <c r="C309" i="31"/>
  <c r="C308" i="31"/>
  <c r="C307" i="31"/>
  <c r="C306" i="31"/>
  <c r="C305" i="31"/>
  <c r="C304" i="31"/>
  <c r="C303" i="31"/>
  <c r="C302" i="31"/>
  <c r="C301" i="31"/>
  <c r="C300" i="31"/>
  <c r="C150" i="31"/>
  <c r="C146" i="31"/>
  <c r="Z60" i="31"/>
  <c r="X60" i="31"/>
  <c r="V60" i="31"/>
  <c r="T60" i="31"/>
  <c r="H60" i="31"/>
  <c r="J60" i="31" s="1"/>
  <c r="Z59" i="31"/>
  <c r="X59" i="31"/>
  <c r="V59" i="31"/>
  <c r="T59" i="31"/>
  <c r="H59" i="31"/>
  <c r="J59" i="31" s="1"/>
  <c r="Z58" i="31"/>
  <c r="X58" i="31"/>
  <c r="V58" i="31"/>
  <c r="T58" i="31"/>
  <c r="H58" i="31"/>
  <c r="J58" i="31" s="1"/>
  <c r="Z57" i="31"/>
  <c r="X57" i="31"/>
  <c r="V57" i="31"/>
  <c r="T57" i="31"/>
  <c r="H57" i="31"/>
  <c r="J57" i="31" s="1"/>
  <c r="Z56" i="31"/>
  <c r="X56" i="31"/>
  <c r="V56" i="31"/>
  <c r="T56" i="31"/>
  <c r="H56" i="31"/>
  <c r="J56" i="31" s="1"/>
  <c r="Z55" i="31"/>
  <c r="X55" i="31"/>
  <c r="V55" i="31"/>
  <c r="T55" i="31"/>
  <c r="M55" i="31"/>
  <c r="Z54" i="31"/>
  <c r="X54" i="31"/>
  <c r="V54" i="31"/>
  <c r="T54" i="31"/>
  <c r="Z53" i="31"/>
  <c r="X53" i="31"/>
  <c r="V53" i="31"/>
  <c r="T53" i="31"/>
  <c r="H53" i="31"/>
  <c r="J53" i="31" s="1"/>
  <c r="Z52" i="31"/>
  <c r="X52" i="31"/>
  <c r="V52" i="31"/>
  <c r="T52" i="31"/>
  <c r="H52" i="31"/>
  <c r="J52" i="31" s="1"/>
  <c r="Z51" i="31"/>
  <c r="X51" i="31"/>
  <c r="V51" i="31"/>
  <c r="T51" i="31"/>
  <c r="H51" i="31"/>
  <c r="J51" i="31" s="1"/>
  <c r="Z50" i="31"/>
  <c r="X50" i="31"/>
  <c r="V50" i="31"/>
  <c r="T50" i="31"/>
  <c r="H50" i="31"/>
  <c r="J50" i="31" s="1"/>
  <c r="Z49" i="31"/>
  <c r="X49" i="31"/>
  <c r="V49" i="31"/>
  <c r="T49" i="31"/>
  <c r="H49" i="31"/>
  <c r="J49" i="31" s="1"/>
  <c r="Z48" i="31"/>
  <c r="X48" i="31"/>
  <c r="V48" i="31"/>
  <c r="T48" i="31"/>
  <c r="M48" i="31"/>
  <c r="Z47" i="31"/>
  <c r="X47" i="31"/>
  <c r="V47" i="31"/>
  <c r="T47" i="31"/>
  <c r="Z46" i="31"/>
  <c r="X46" i="31"/>
  <c r="V46" i="31"/>
  <c r="T46" i="31"/>
  <c r="H46" i="31"/>
  <c r="J46" i="31" s="1"/>
  <c r="Z45" i="31"/>
  <c r="X45" i="31"/>
  <c r="V45" i="31"/>
  <c r="T45" i="31"/>
  <c r="H45" i="31"/>
  <c r="J45" i="31" s="1"/>
  <c r="Z44" i="31"/>
  <c r="X44" i="31"/>
  <c r="V44" i="31"/>
  <c r="T44" i="31"/>
  <c r="H44" i="31"/>
  <c r="J44" i="31" s="1"/>
  <c r="Z43" i="31"/>
  <c r="X43" i="31"/>
  <c r="V43" i="31"/>
  <c r="T43" i="31"/>
  <c r="H43" i="31"/>
  <c r="J43" i="31" s="1"/>
  <c r="Z42" i="31"/>
  <c r="X42" i="31"/>
  <c r="V42" i="31"/>
  <c r="T42" i="31"/>
  <c r="H42" i="31"/>
  <c r="J42" i="31" s="1"/>
  <c r="Z41" i="31"/>
  <c r="X41" i="31"/>
  <c r="V41" i="31"/>
  <c r="T41" i="31"/>
  <c r="M41" i="31"/>
  <c r="Z40" i="31"/>
  <c r="X40" i="31"/>
  <c r="V40" i="31"/>
  <c r="T40" i="31"/>
  <c r="Z39" i="31"/>
  <c r="X39" i="31"/>
  <c r="V39" i="31"/>
  <c r="T39" i="31"/>
  <c r="H39" i="31"/>
  <c r="J39" i="31" s="1"/>
  <c r="Z38" i="31"/>
  <c r="X38" i="31"/>
  <c r="V38" i="31"/>
  <c r="T38" i="31"/>
  <c r="H38" i="31"/>
  <c r="J38" i="31" s="1"/>
  <c r="Z37" i="31"/>
  <c r="X37" i="31"/>
  <c r="V37" i="31"/>
  <c r="T37" i="31"/>
  <c r="H37" i="31"/>
  <c r="J37" i="31" s="1"/>
  <c r="Z36" i="31"/>
  <c r="X36" i="31"/>
  <c r="V36" i="31"/>
  <c r="T36" i="31"/>
  <c r="H36" i="31"/>
  <c r="J36" i="31" s="1"/>
  <c r="Z35" i="31"/>
  <c r="X35" i="31"/>
  <c r="V35" i="31"/>
  <c r="T35" i="31"/>
  <c r="H35" i="31"/>
  <c r="J35" i="31" s="1"/>
  <c r="Z34" i="31"/>
  <c r="X34" i="31"/>
  <c r="V34" i="31"/>
  <c r="T34" i="31"/>
  <c r="M34" i="31"/>
  <c r="Z33" i="31"/>
  <c r="X33" i="31"/>
  <c r="V33" i="31"/>
  <c r="T33" i="31"/>
  <c r="Z32" i="31"/>
  <c r="X32" i="31"/>
  <c r="V32" i="31"/>
  <c r="T32" i="31"/>
  <c r="H32" i="31"/>
  <c r="J32" i="31" s="1"/>
  <c r="Z31" i="31"/>
  <c r="X31" i="31"/>
  <c r="V31" i="31"/>
  <c r="T31" i="31"/>
  <c r="H31" i="31"/>
  <c r="J31" i="31" s="1"/>
  <c r="Z30" i="31"/>
  <c r="X30" i="31"/>
  <c r="V30" i="31"/>
  <c r="T30" i="31"/>
  <c r="H30" i="31"/>
  <c r="J30" i="31" s="1"/>
  <c r="Z29" i="31"/>
  <c r="X29" i="31"/>
  <c r="V29" i="31"/>
  <c r="T29" i="31"/>
  <c r="H29" i="31"/>
  <c r="J29" i="31" s="1"/>
  <c r="Z28" i="31"/>
  <c r="X28" i="31"/>
  <c r="V28" i="31"/>
  <c r="T28" i="31"/>
  <c r="H28" i="31"/>
  <c r="J28" i="31" s="1"/>
  <c r="Z27" i="31"/>
  <c r="X27" i="31"/>
  <c r="V27" i="31"/>
  <c r="T27" i="31"/>
  <c r="M27" i="31"/>
  <c r="Z26" i="31"/>
  <c r="X26" i="31"/>
  <c r="V26" i="31"/>
  <c r="T26" i="31"/>
  <c r="Z25" i="31"/>
  <c r="X25" i="31"/>
  <c r="V25" i="31"/>
  <c r="T25" i="31"/>
  <c r="H25" i="31"/>
  <c r="J25" i="31" s="1"/>
  <c r="Z24" i="31"/>
  <c r="X24" i="31"/>
  <c r="V24" i="31"/>
  <c r="T24" i="31"/>
  <c r="H24" i="31"/>
  <c r="J24" i="31" s="1"/>
  <c r="Z23" i="31"/>
  <c r="X23" i="31"/>
  <c r="V23" i="31"/>
  <c r="T23" i="31"/>
  <c r="H23" i="31"/>
  <c r="J23" i="31" s="1"/>
  <c r="Z22" i="31"/>
  <c r="X22" i="31"/>
  <c r="V22" i="31"/>
  <c r="T22" i="31"/>
  <c r="H22" i="31"/>
  <c r="J22" i="31" s="1"/>
  <c r="Z21" i="31"/>
  <c r="X21" i="31"/>
  <c r="V21" i="31"/>
  <c r="T21" i="31"/>
  <c r="H21" i="31"/>
  <c r="J21" i="31" s="1"/>
  <c r="Z20" i="31"/>
  <c r="X20" i="31"/>
  <c r="V20" i="31"/>
  <c r="T20" i="31"/>
  <c r="M20" i="31"/>
  <c r="Z19" i="31"/>
  <c r="X19" i="31"/>
  <c r="V19" i="31"/>
  <c r="T19" i="31"/>
  <c r="Z18" i="31"/>
  <c r="X18" i="31"/>
  <c r="V18" i="31"/>
  <c r="T18" i="31"/>
  <c r="H18" i="31"/>
  <c r="J18" i="31" s="1"/>
  <c r="Z17" i="31"/>
  <c r="X17" i="31"/>
  <c r="V17" i="31"/>
  <c r="T17" i="31"/>
  <c r="H17" i="31"/>
  <c r="J17" i="31" s="1"/>
  <c r="Z16" i="31"/>
  <c r="X16" i="31"/>
  <c r="V16" i="31"/>
  <c r="T16" i="31"/>
  <c r="H16" i="31"/>
  <c r="J16" i="31" s="1"/>
  <c r="Z15" i="31"/>
  <c r="X15" i="31"/>
  <c r="V15" i="31"/>
  <c r="T15" i="31"/>
  <c r="H15" i="31"/>
  <c r="J15" i="31" s="1"/>
  <c r="Z14" i="31"/>
  <c r="X14" i="31"/>
  <c r="V14" i="31"/>
  <c r="T14" i="31"/>
  <c r="H14" i="31"/>
  <c r="J14" i="31" s="1"/>
  <c r="Z13" i="31"/>
  <c r="X13" i="31"/>
  <c r="V13" i="31"/>
  <c r="T13" i="31"/>
  <c r="M13" i="31"/>
  <c r="Z12" i="31"/>
  <c r="X12" i="31"/>
  <c r="V12" i="31"/>
  <c r="T12" i="31"/>
  <c r="Z11" i="31"/>
  <c r="X11" i="31"/>
  <c r="V11" i="31"/>
  <c r="T11" i="31"/>
  <c r="H11" i="31"/>
  <c r="J11" i="31" s="1"/>
  <c r="Z10" i="31"/>
  <c r="X10" i="31"/>
  <c r="V10" i="31"/>
  <c r="T10" i="31"/>
  <c r="H10" i="31"/>
  <c r="J10" i="31" s="1"/>
  <c r="Z9" i="31"/>
  <c r="X9" i="31"/>
  <c r="V9" i="31"/>
  <c r="T9" i="31"/>
  <c r="H9" i="31"/>
  <c r="J9" i="31" s="1"/>
  <c r="Z8" i="31"/>
  <c r="X8" i="31"/>
  <c r="V8" i="31"/>
  <c r="T8" i="31"/>
  <c r="H8" i="31"/>
  <c r="J8" i="31" s="1"/>
  <c r="H7" i="31"/>
  <c r="J7" i="31" s="1"/>
  <c r="M6" i="31"/>
  <c r="I10" i="31" s="1"/>
  <c r="G1" i="31"/>
  <c r="E1" i="31"/>
  <c r="H117" i="32"/>
  <c r="H114" i="32"/>
  <c r="H111" i="32"/>
  <c r="H108" i="32"/>
  <c r="H105" i="32"/>
  <c r="H102" i="32"/>
  <c r="B305" i="32" s="1"/>
  <c r="I12" i="32"/>
  <c r="I11" i="32"/>
  <c r="I10" i="32"/>
  <c r="I9" i="32"/>
  <c r="I8" i="32"/>
  <c r="I7" i="32"/>
  <c r="G1" i="32"/>
  <c r="E1" i="32"/>
  <c r="A4" i="33"/>
  <c r="A2" i="33"/>
  <c r="B307" i="33"/>
  <c r="AE18" i="33"/>
  <c r="AC18" i="33"/>
  <c r="AA18" i="33"/>
  <c r="V18" i="33"/>
  <c r="R18" i="33"/>
  <c r="J18" i="33"/>
  <c r="F18" i="33"/>
  <c r="AE17" i="33"/>
  <c r="AC17" i="33"/>
  <c r="AF17" i="33" s="1"/>
  <c r="AA17" i="33"/>
  <c r="V17" i="33"/>
  <c r="N17" i="33"/>
  <c r="J17" i="33"/>
  <c r="F17" i="33"/>
  <c r="AE16" i="33"/>
  <c r="AC16" i="33"/>
  <c r="AA16" i="33"/>
  <c r="R16" i="33"/>
  <c r="N16" i="33"/>
  <c r="J16" i="33"/>
  <c r="F16" i="33"/>
  <c r="AE15" i="33"/>
  <c r="AC15" i="33"/>
  <c r="AF15" i="33" s="1"/>
  <c r="AA15" i="33"/>
  <c r="V15" i="33"/>
  <c r="R15" i="33"/>
  <c r="N15" i="33"/>
  <c r="J15" i="33"/>
  <c r="F15" i="33"/>
  <c r="AE14" i="33"/>
  <c r="AC14" i="33"/>
  <c r="AF14" i="33" s="1"/>
  <c r="AA14" i="33"/>
  <c r="V14" i="33"/>
  <c r="R14" i="33"/>
  <c r="N14" i="33"/>
  <c r="J14" i="33"/>
  <c r="F14" i="33"/>
  <c r="AE13" i="33"/>
  <c r="AC13" i="33"/>
  <c r="AA13" i="33"/>
  <c r="V13" i="33"/>
  <c r="R13" i="33"/>
  <c r="N13" i="33"/>
  <c r="J13" i="33"/>
  <c r="F13" i="33"/>
  <c r="AE12" i="33"/>
  <c r="AC12" i="33"/>
  <c r="AA12" i="33"/>
  <c r="V12" i="33"/>
  <c r="R12" i="33"/>
  <c r="N12" i="33"/>
  <c r="J12" i="33"/>
  <c r="AE11" i="33"/>
  <c r="AC11" i="33"/>
  <c r="AA11" i="33"/>
  <c r="V11" i="33"/>
  <c r="R11" i="33"/>
  <c r="N11" i="33"/>
  <c r="F11" i="33"/>
  <c r="AE10" i="33"/>
  <c r="AC10" i="33"/>
  <c r="AA10" i="33"/>
  <c r="V10" i="33"/>
  <c r="R10" i="33"/>
  <c r="N10" i="33"/>
  <c r="J10" i="33"/>
  <c r="F10" i="33"/>
  <c r="AE9" i="33"/>
  <c r="AC9" i="33"/>
  <c r="AA9" i="33"/>
  <c r="V9" i="33"/>
  <c r="R9" i="33"/>
  <c r="N9" i="33"/>
  <c r="J9" i="33"/>
  <c r="F9" i="33"/>
  <c r="AE8" i="33"/>
  <c r="AC8" i="33"/>
  <c r="AA8" i="33"/>
  <c r="V8" i="33"/>
  <c r="R8" i="33"/>
  <c r="N8" i="33"/>
  <c r="J8" i="33"/>
  <c r="F8" i="33"/>
  <c r="J1" i="33"/>
  <c r="F1" i="33"/>
  <c r="C312" i="34"/>
  <c r="C311" i="34"/>
  <c r="C310" i="34"/>
  <c r="C309" i="34"/>
  <c r="C308" i="34"/>
  <c r="C307" i="34"/>
  <c r="C306" i="34"/>
  <c r="C305" i="34"/>
  <c r="B305" i="34"/>
  <c r="C304" i="34"/>
  <c r="B304" i="34"/>
  <c r="C303" i="34"/>
  <c r="C302" i="34"/>
  <c r="C301" i="34"/>
  <c r="C300" i="34"/>
  <c r="AP20" i="34"/>
  <c r="AN20" i="34"/>
  <c r="AL20" i="34"/>
  <c r="AJ20" i="34"/>
  <c r="AE20" i="34"/>
  <c r="AC20" i="34"/>
  <c r="AF20" i="34" s="1"/>
  <c r="AA20" i="34"/>
  <c r="V20" i="34"/>
  <c r="R20" i="34"/>
  <c r="N20" i="34"/>
  <c r="F20" i="34"/>
  <c r="AP19" i="34"/>
  <c r="AN19" i="34"/>
  <c r="AL19" i="34"/>
  <c r="AJ19" i="34"/>
  <c r="AE19" i="34"/>
  <c r="AC19" i="34"/>
  <c r="AF19" i="34" s="1"/>
  <c r="AA19" i="34"/>
  <c r="V19" i="34"/>
  <c r="R19" i="34"/>
  <c r="N19" i="34"/>
  <c r="J19" i="34"/>
  <c r="F19" i="34"/>
  <c r="AP18" i="34"/>
  <c r="AN18" i="34"/>
  <c r="AL18" i="34"/>
  <c r="AJ18" i="34"/>
  <c r="AE18" i="34"/>
  <c r="AC18" i="34"/>
  <c r="AA18" i="34"/>
  <c r="V18" i="34"/>
  <c r="R18" i="34"/>
  <c r="N18" i="34"/>
  <c r="J18" i="34"/>
  <c r="F18" i="34"/>
  <c r="AP17" i="34"/>
  <c r="AN17" i="34"/>
  <c r="AL17" i="34"/>
  <c r="AJ17" i="34"/>
  <c r="AE17" i="34"/>
  <c r="AC17" i="34"/>
  <c r="AA17" i="34"/>
  <c r="V17" i="34"/>
  <c r="N17" i="34"/>
  <c r="J17" i="34"/>
  <c r="F17" i="34"/>
  <c r="AP16" i="34"/>
  <c r="AN16" i="34"/>
  <c r="AL16" i="34"/>
  <c r="AJ16" i="34"/>
  <c r="AE16" i="34"/>
  <c r="AC16" i="34"/>
  <c r="AA16" i="34"/>
  <c r="V16" i="34"/>
  <c r="R16" i="34"/>
  <c r="J16" i="34"/>
  <c r="F16" i="34"/>
  <c r="AP15" i="34"/>
  <c r="AN15" i="34"/>
  <c r="AL15" i="34"/>
  <c r="AJ15" i="34"/>
  <c r="AE15" i="34"/>
  <c r="AC15" i="34"/>
  <c r="AA15" i="34"/>
  <c r="V15" i="34"/>
  <c r="R15" i="34"/>
  <c r="N15" i="34"/>
  <c r="J15" i="34"/>
  <c r="F15" i="34"/>
  <c r="AP14" i="34"/>
  <c r="AN14" i="34"/>
  <c r="AL14" i="34"/>
  <c r="AJ14" i="34"/>
  <c r="AE14" i="34"/>
  <c r="AC14" i="34"/>
  <c r="AA14" i="34"/>
  <c r="V14" i="34"/>
  <c r="R14" i="34"/>
  <c r="N14" i="34"/>
  <c r="J14" i="34"/>
  <c r="AP13" i="34"/>
  <c r="AN13" i="34"/>
  <c r="AL13" i="34"/>
  <c r="AJ13" i="34"/>
  <c r="AE13" i="34"/>
  <c r="AC13" i="34"/>
  <c r="AA13" i="34"/>
  <c r="R13" i="34"/>
  <c r="N13" i="34"/>
  <c r="J13" i="34"/>
  <c r="F13" i="34"/>
  <c r="AP12" i="34"/>
  <c r="AN12" i="34"/>
  <c r="AL12" i="34"/>
  <c r="AJ12" i="34"/>
  <c r="AE12" i="34"/>
  <c r="AC12" i="34"/>
  <c r="AA12" i="34"/>
  <c r="V12" i="34"/>
  <c r="R12" i="34"/>
  <c r="N12" i="34"/>
  <c r="J12" i="34"/>
  <c r="F12" i="34"/>
  <c r="AP11" i="34"/>
  <c r="AN11" i="34"/>
  <c r="AL11" i="34"/>
  <c r="AJ11" i="34"/>
  <c r="AE11" i="34"/>
  <c r="AC11" i="34"/>
  <c r="AA11" i="34"/>
  <c r="V11" i="34"/>
  <c r="R11" i="34"/>
  <c r="N11" i="34"/>
  <c r="J11" i="34"/>
  <c r="F11" i="34"/>
  <c r="AP10" i="34"/>
  <c r="AN10" i="34"/>
  <c r="AL10" i="34"/>
  <c r="AJ10" i="34"/>
  <c r="AE10" i="34"/>
  <c r="AC10" i="34"/>
  <c r="AA10" i="34"/>
  <c r="V10" i="34"/>
  <c r="R10" i="34"/>
  <c r="N10" i="34"/>
  <c r="J10" i="34"/>
  <c r="F10" i="34"/>
  <c r="AP9" i="34"/>
  <c r="AN9" i="34"/>
  <c r="AL9" i="34"/>
  <c r="AJ9" i="34"/>
  <c r="AE9" i="34"/>
  <c r="AC9" i="34"/>
  <c r="AA9" i="34"/>
  <c r="V9" i="34"/>
  <c r="R9" i="34"/>
  <c r="N9" i="34"/>
  <c r="J9" i="34"/>
  <c r="F9" i="34"/>
  <c r="AP8" i="34"/>
  <c r="AN8" i="34"/>
  <c r="AM8" i="34" s="1"/>
  <c r="AL8" i="34"/>
  <c r="AJ8" i="34"/>
  <c r="AE8" i="34"/>
  <c r="AC8" i="34"/>
  <c r="AA8" i="34"/>
  <c r="V8" i="34"/>
  <c r="R8" i="34"/>
  <c r="N8" i="34"/>
  <c r="J8" i="34"/>
  <c r="F8" i="34"/>
  <c r="J1" i="34"/>
  <c r="F1" i="34"/>
  <c r="A4" i="17"/>
  <c r="A2" i="17"/>
  <c r="A1" i="17"/>
  <c r="C313" i="17"/>
  <c r="C312" i="17"/>
  <c r="C311" i="17"/>
  <c r="C310" i="17"/>
  <c r="C309" i="17"/>
  <c r="C308" i="17"/>
  <c r="C307" i="17"/>
  <c r="C306" i="17"/>
  <c r="C305" i="17"/>
  <c r="C304" i="17"/>
  <c r="C303" i="17"/>
  <c r="C302" i="17"/>
  <c r="C301" i="17"/>
  <c r="C300" i="17"/>
  <c r="C150" i="17"/>
  <c r="C146" i="17"/>
  <c r="Z60" i="17"/>
  <c r="Y60" i="17" s="1"/>
  <c r="X60" i="17"/>
  <c r="W60" i="17" s="1"/>
  <c r="V60" i="17"/>
  <c r="U60" i="17" s="1"/>
  <c r="T60" i="17"/>
  <c r="H60" i="17"/>
  <c r="J60" i="17" s="1"/>
  <c r="Z59" i="17"/>
  <c r="Y59" i="17" s="1"/>
  <c r="X59" i="17"/>
  <c r="W59" i="17" s="1"/>
  <c r="V59" i="17"/>
  <c r="U59" i="17" s="1"/>
  <c r="T59" i="17"/>
  <c r="S59" i="17" s="1"/>
  <c r="H59" i="17"/>
  <c r="J59" i="17" s="1"/>
  <c r="Z58" i="17"/>
  <c r="Y58" i="17" s="1"/>
  <c r="X58" i="17"/>
  <c r="W58" i="17" s="1"/>
  <c r="V58" i="17"/>
  <c r="U58" i="17" s="1"/>
  <c r="T58" i="17"/>
  <c r="H58" i="17"/>
  <c r="J58" i="17" s="1"/>
  <c r="Z57" i="17"/>
  <c r="Y57" i="17" s="1"/>
  <c r="X57" i="17"/>
  <c r="W57" i="17" s="1"/>
  <c r="V57" i="17"/>
  <c r="U57" i="17" s="1"/>
  <c r="T57" i="17"/>
  <c r="S57" i="17" s="1"/>
  <c r="H57" i="17"/>
  <c r="J57" i="17" s="1"/>
  <c r="Z56" i="17"/>
  <c r="Y56" i="17" s="1"/>
  <c r="X56" i="17"/>
  <c r="W56" i="17" s="1"/>
  <c r="V56" i="17"/>
  <c r="U56" i="17" s="1"/>
  <c r="T56" i="17"/>
  <c r="H56" i="17"/>
  <c r="J56" i="17" s="1"/>
  <c r="Z55" i="17"/>
  <c r="Y55" i="17" s="1"/>
  <c r="X55" i="17"/>
  <c r="W55" i="17" s="1"/>
  <c r="V55" i="17"/>
  <c r="U55" i="17" s="1"/>
  <c r="T55" i="17"/>
  <c r="S55" i="17" s="1"/>
  <c r="M55" i="17"/>
  <c r="Z54" i="17"/>
  <c r="Y54" i="17" s="1"/>
  <c r="X54" i="17"/>
  <c r="W54" i="17" s="1"/>
  <c r="V54" i="17"/>
  <c r="U54" i="17" s="1"/>
  <c r="T54" i="17"/>
  <c r="S54" i="17" s="1"/>
  <c r="Z53" i="17"/>
  <c r="Y53" i="17" s="1"/>
  <c r="X53" i="17"/>
  <c r="W53" i="17" s="1"/>
  <c r="V53" i="17"/>
  <c r="U53" i="17" s="1"/>
  <c r="T53" i="17"/>
  <c r="H53" i="17"/>
  <c r="J53" i="17" s="1"/>
  <c r="Z52" i="17"/>
  <c r="Y52" i="17" s="1"/>
  <c r="X52" i="17"/>
  <c r="W52" i="17" s="1"/>
  <c r="V52" i="17"/>
  <c r="U52" i="17" s="1"/>
  <c r="T52" i="17"/>
  <c r="S52" i="17" s="1"/>
  <c r="H52" i="17"/>
  <c r="J52" i="17" s="1"/>
  <c r="Z51" i="17"/>
  <c r="Y51" i="17" s="1"/>
  <c r="X51" i="17"/>
  <c r="W51" i="17" s="1"/>
  <c r="V51" i="17"/>
  <c r="U51" i="17" s="1"/>
  <c r="T51" i="17"/>
  <c r="H51" i="17"/>
  <c r="J51" i="17" s="1"/>
  <c r="Z50" i="17"/>
  <c r="Y50" i="17" s="1"/>
  <c r="X50" i="17"/>
  <c r="W50" i="17" s="1"/>
  <c r="V50" i="17"/>
  <c r="U50" i="17" s="1"/>
  <c r="T50" i="17"/>
  <c r="S50" i="17" s="1"/>
  <c r="H50" i="17"/>
  <c r="J50" i="17" s="1"/>
  <c r="Z49" i="17"/>
  <c r="Y49" i="17" s="1"/>
  <c r="X49" i="17"/>
  <c r="W49" i="17" s="1"/>
  <c r="V49" i="17"/>
  <c r="U49" i="17" s="1"/>
  <c r="T49" i="17"/>
  <c r="S49" i="17" s="1"/>
  <c r="H49" i="17"/>
  <c r="J49" i="17" s="1"/>
  <c r="Z48" i="17"/>
  <c r="Y48" i="17" s="1"/>
  <c r="X48" i="17"/>
  <c r="W48" i="17" s="1"/>
  <c r="V48" i="17"/>
  <c r="U48" i="17" s="1"/>
  <c r="T48" i="17"/>
  <c r="M48" i="17"/>
  <c r="Z47" i="17"/>
  <c r="Y47" i="17" s="1"/>
  <c r="X47" i="17"/>
  <c r="W47" i="17" s="1"/>
  <c r="V47" i="17"/>
  <c r="U47" i="17" s="1"/>
  <c r="T47" i="17"/>
  <c r="Z46" i="17"/>
  <c r="Y46" i="17" s="1"/>
  <c r="X46" i="17"/>
  <c r="W46" i="17" s="1"/>
  <c r="V46" i="17"/>
  <c r="U46" i="17" s="1"/>
  <c r="T46" i="17"/>
  <c r="S46" i="17" s="1"/>
  <c r="H46" i="17"/>
  <c r="J46" i="17" s="1"/>
  <c r="Z45" i="17"/>
  <c r="Y45" i="17" s="1"/>
  <c r="X45" i="17"/>
  <c r="W45" i="17" s="1"/>
  <c r="V45" i="17"/>
  <c r="U45" i="17" s="1"/>
  <c r="T45" i="17"/>
  <c r="H45" i="17"/>
  <c r="J45" i="17" s="1"/>
  <c r="Z44" i="17"/>
  <c r="Y44" i="17" s="1"/>
  <c r="X44" i="17"/>
  <c r="W44" i="17" s="1"/>
  <c r="V44" i="17"/>
  <c r="U44" i="17" s="1"/>
  <c r="T44" i="17"/>
  <c r="S44" i="17" s="1"/>
  <c r="H44" i="17"/>
  <c r="J44" i="17" s="1"/>
  <c r="Z43" i="17"/>
  <c r="Y43" i="17" s="1"/>
  <c r="X43" i="17"/>
  <c r="W43" i="17" s="1"/>
  <c r="V43" i="17"/>
  <c r="U43" i="17" s="1"/>
  <c r="T43" i="17"/>
  <c r="H43" i="17"/>
  <c r="J43" i="17" s="1"/>
  <c r="Z42" i="17"/>
  <c r="Y42" i="17" s="1"/>
  <c r="X42" i="17"/>
  <c r="W42" i="17" s="1"/>
  <c r="V42" i="17"/>
  <c r="U42" i="17" s="1"/>
  <c r="T42" i="17"/>
  <c r="S42" i="17" s="1"/>
  <c r="H42" i="17"/>
  <c r="J42" i="17" s="1"/>
  <c r="Z41" i="17"/>
  <c r="Y41" i="17" s="1"/>
  <c r="X41" i="17"/>
  <c r="W41" i="17" s="1"/>
  <c r="V41" i="17"/>
  <c r="U41" i="17" s="1"/>
  <c r="T41" i="17"/>
  <c r="M41" i="17"/>
  <c r="Z40" i="17"/>
  <c r="Y40" i="17" s="1"/>
  <c r="X40" i="17"/>
  <c r="W40" i="17" s="1"/>
  <c r="V40" i="17"/>
  <c r="U40" i="17" s="1"/>
  <c r="T40" i="17"/>
  <c r="S40" i="17" s="1"/>
  <c r="Z39" i="17"/>
  <c r="Y39" i="17" s="1"/>
  <c r="X39" i="17"/>
  <c r="W39" i="17" s="1"/>
  <c r="V39" i="17"/>
  <c r="U39" i="17" s="1"/>
  <c r="T39" i="17"/>
  <c r="S39" i="17" s="1"/>
  <c r="H39" i="17"/>
  <c r="J39" i="17" s="1"/>
  <c r="Z38" i="17"/>
  <c r="Y38" i="17" s="1"/>
  <c r="X38" i="17"/>
  <c r="W38" i="17" s="1"/>
  <c r="V38" i="17"/>
  <c r="U38" i="17" s="1"/>
  <c r="T38" i="17"/>
  <c r="H38" i="17"/>
  <c r="J38" i="17" s="1"/>
  <c r="Z37" i="17"/>
  <c r="Y37" i="17" s="1"/>
  <c r="X37" i="17"/>
  <c r="W37" i="17" s="1"/>
  <c r="V37" i="17"/>
  <c r="U37" i="17" s="1"/>
  <c r="T37" i="17"/>
  <c r="S37" i="17" s="1"/>
  <c r="H37" i="17"/>
  <c r="J37" i="17" s="1"/>
  <c r="Z36" i="17"/>
  <c r="Y36" i="17" s="1"/>
  <c r="X36" i="17"/>
  <c r="W36" i="17" s="1"/>
  <c r="V36" i="17"/>
  <c r="U36" i="17" s="1"/>
  <c r="T36" i="17"/>
  <c r="H36" i="17"/>
  <c r="J36" i="17" s="1"/>
  <c r="Z35" i="17"/>
  <c r="Y35" i="17" s="1"/>
  <c r="X35" i="17"/>
  <c r="W35" i="17" s="1"/>
  <c r="V35" i="17"/>
  <c r="U35" i="17" s="1"/>
  <c r="T35" i="17"/>
  <c r="S35" i="17" s="1"/>
  <c r="H35" i="17"/>
  <c r="J35" i="17" s="1"/>
  <c r="Z34" i="17"/>
  <c r="Y34" i="17" s="1"/>
  <c r="X34" i="17"/>
  <c r="W34" i="17" s="1"/>
  <c r="V34" i="17"/>
  <c r="U34" i="17" s="1"/>
  <c r="T34" i="17"/>
  <c r="M34" i="17"/>
  <c r="Z33" i="17"/>
  <c r="Y33" i="17" s="1"/>
  <c r="X33" i="17"/>
  <c r="W33" i="17" s="1"/>
  <c r="V33" i="17"/>
  <c r="U33" i="17" s="1"/>
  <c r="T33" i="17"/>
  <c r="Z32" i="17"/>
  <c r="Y32" i="17" s="1"/>
  <c r="X32" i="17"/>
  <c r="W32" i="17" s="1"/>
  <c r="V32" i="17"/>
  <c r="U32" i="17" s="1"/>
  <c r="T32" i="17"/>
  <c r="S32" i="17" s="1"/>
  <c r="H32" i="17"/>
  <c r="J32" i="17" s="1"/>
  <c r="Z31" i="17"/>
  <c r="Y31" i="17" s="1"/>
  <c r="X31" i="17"/>
  <c r="W31" i="17" s="1"/>
  <c r="V31" i="17"/>
  <c r="T31" i="17"/>
  <c r="H31" i="17"/>
  <c r="J31" i="17" s="1"/>
  <c r="Z30" i="17"/>
  <c r="Y30" i="17" s="1"/>
  <c r="X30" i="17"/>
  <c r="W30" i="17" s="1"/>
  <c r="V30" i="17"/>
  <c r="T30" i="17"/>
  <c r="H30" i="17"/>
  <c r="J30" i="17" s="1"/>
  <c r="Z29" i="17"/>
  <c r="Y29" i="17" s="1"/>
  <c r="X29" i="17"/>
  <c r="W29" i="17" s="1"/>
  <c r="V29" i="17"/>
  <c r="T29" i="17"/>
  <c r="H29" i="17"/>
  <c r="J29" i="17" s="1"/>
  <c r="Z28" i="17"/>
  <c r="Y28" i="17" s="1"/>
  <c r="X28" i="17"/>
  <c r="W28" i="17" s="1"/>
  <c r="V28" i="17"/>
  <c r="T28" i="17"/>
  <c r="H28" i="17"/>
  <c r="J28" i="17" s="1"/>
  <c r="Z27" i="17"/>
  <c r="Y27" i="17" s="1"/>
  <c r="X27" i="17"/>
  <c r="W27" i="17" s="1"/>
  <c r="V27" i="17"/>
  <c r="U27" i="17" s="1"/>
  <c r="T27" i="17"/>
  <c r="S27" i="17" s="1"/>
  <c r="M27" i="17"/>
  <c r="Z26" i="17"/>
  <c r="Y26" i="17" s="1"/>
  <c r="X26" i="17"/>
  <c r="W26" i="17" s="1"/>
  <c r="V26" i="17"/>
  <c r="U26" i="17" s="1"/>
  <c r="T26" i="17"/>
  <c r="Z25" i="17"/>
  <c r="Y25" i="17" s="1"/>
  <c r="X25" i="17"/>
  <c r="W25" i="17" s="1"/>
  <c r="V25" i="17"/>
  <c r="U25" i="17" s="1"/>
  <c r="T25" i="17"/>
  <c r="S25" i="17" s="1"/>
  <c r="H25" i="17"/>
  <c r="J25" i="17" s="1"/>
  <c r="Z24" i="17"/>
  <c r="Y24" i="17" s="1"/>
  <c r="X24" i="17"/>
  <c r="W24" i="17" s="1"/>
  <c r="V24" i="17"/>
  <c r="T24" i="17"/>
  <c r="H24" i="17"/>
  <c r="J24" i="17" s="1"/>
  <c r="Z23" i="17"/>
  <c r="Y23" i="17" s="1"/>
  <c r="X23" i="17"/>
  <c r="W23" i="17" s="1"/>
  <c r="V23" i="17"/>
  <c r="T23" i="17"/>
  <c r="H23" i="17"/>
  <c r="J23" i="17" s="1"/>
  <c r="Z22" i="17"/>
  <c r="Y22" i="17" s="1"/>
  <c r="X22" i="17"/>
  <c r="W22" i="17" s="1"/>
  <c r="V22" i="17"/>
  <c r="T22" i="17"/>
  <c r="H22" i="17"/>
  <c r="J22" i="17" s="1"/>
  <c r="Z21" i="17"/>
  <c r="Y21" i="17" s="1"/>
  <c r="X21" i="17"/>
  <c r="W21" i="17" s="1"/>
  <c r="V21" i="17"/>
  <c r="T21" i="17"/>
  <c r="H21" i="17"/>
  <c r="J21" i="17" s="1"/>
  <c r="Z20" i="17"/>
  <c r="Y20" i="17" s="1"/>
  <c r="X20" i="17"/>
  <c r="W20" i="17" s="1"/>
  <c r="V20" i="17"/>
  <c r="U20" i="17" s="1"/>
  <c r="T20" i="17"/>
  <c r="M20" i="17"/>
  <c r="Z19" i="17"/>
  <c r="Y19" i="17" s="1"/>
  <c r="X19" i="17"/>
  <c r="W19" i="17" s="1"/>
  <c r="V19" i="17"/>
  <c r="U19" i="17" s="1"/>
  <c r="T19" i="17"/>
  <c r="Z18" i="17"/>
  <c r="Y18" i="17" s="1"/>
  <c r="X18" i="17"/>
  <c r="W18" i="17" s="1"/>
  <c r="V18" i="17"/>
  <c r="U18" i="17" s="1"/>
  <c r="T18" i="17"/>
  <c r="S18" i="17" s="1"/>
  <c r="H18" i="17"/>
  <c r="J18" i="17" s="1"/>
  <c r="Z17" i="17"/>
  <c r="Y17" i="17" s="1"/>
  <c r="X17" i="17"/>
  <c r="W17" i="17" s="1"/>
  <c r="V17" i="17"/>
  <c r="T17" i="17"/>
  <c r="H17" i="17"/>
  <c r="J17" i="17" s="1"/>
  <c r="Z16" i="17"/>
  <c r="Y16" i="17" s="1"/>
  <c r="X16" i="17"/>
  <c r="W16" i="17" s="1"/>
  <c r="V16" i="17"/>
  <c r="T16" i="17"/>
  <c r="J16" i="17"/>
  <c r="Z15" i="17"/>
  <c r="Y15" i="17" s="1"/>
  <c r="X15" i="17"/>
  <c r="W15" i="17" s="1"/>
  <c r="V15" i="17"/>
  <c r="T15" i="17"/>
  <c r="J15" i="17"/>
  <c r="Z14" i="17"/>
  <c r="Y14" i="17" s="1"/>
  <c r="X14" i="17"/>
  <c r="W14" i="17" s="1"/>
  <c r="V14" i="17"/>
  <c r="T14" i="17"/>
  <c r="J14" i="17"/>
  <c r="Z13" i="17"/>
  <c r="Y13" i="17" s="1"/>
  <c r="X13" i="17"/>
  <c r="W13" i="17" s="1"/>
  <c r="V13" i="17"/>
  <c r="U13" i="17" s="1"/>
  <c r="T13" i="17"/>
  <c r="S13" i="17" s="1"/>
  <c r="M13" i="17"/>
  <c r="I18" i="17" s="1"/>
  <c r="Z12" i="17"/>
  <c r="Y12" i="17" s="1"/>
  <c r="X12" i="17"/>
  <c r="W12" i="17" s="1"/>
  <c r="V12" i="17"/>
  <c r="U12" i="17" s="1"/>
  <c r="T12" i="17"/>
  <c r="S12" i="17" s="1"/>
  <c r="Z11" i="17"/>
  <c r="Y11" i="17" s="1"/>
  <c r="X11" i="17"/>
  <c r="W11" i="17" s="1"/>
  <c r="V11" i="17"/>
  <c r="U11" i="17" s="1"/>
  <c r="T11" i="17"/>
  <c r="S11" i="17" s="1"/>
  <c r="H11" i="17"/>
  <c r="J11" i="17" s="1"/>
  <c r="Z10" i="17"/>
  <c r="Y10" i="17" s="1"/>
  <c r="X10" i="17"/>
  <c r="W10" i="17" s="1"/>
  <c r="V10" i="17"/>
  <c r="U10" i="17" s="1"/>
  <c r="T10" i="17"/>
  <c r="S10" i="17" s="1"/>
  <c r="H10" i="17"/>
  <c r="J10" i="17" s="1"/>
  <c r="Z9" i="17"/>
  <c r="Y9" i="17" s="1"/>
  <c r="X9" i="17"/>
  <c r="W9" i="17" s="1"/>
  <c r="V9" i="17"/>
  <c r="T9" i="17"/>
  <c r="H9" i="17"/>
  <c r="J9" i="17" s="1"/>
  <c r="Z8" i="17"/>
  <c r="Y8" i="17" s="1"/>
  <c r="X8" i="17"/>
  <c r="W8" i="17" s="1"/>
  <c r="V8" i="17"/>
  <c r="T8" i="17"/>
  <c r="H8" i="17"/>
  <c r="J8" i="17" s="1"/>
  <c r="H7" i="17"/>
  <c r="J7" i="17" s="1"/>
  <c r="M6" i="17"/>
  <c r="I11" i="17" s="1"/>
  <c r="G1" i="17"/>
  <c r="E1" i="17"/>
  <c r="A4" i="26"/>
  <c r="A2" i="26"/>
  <c r="A1" i="26"/>
  <c r="H117" i="26"/>
  <c r="H114" i="26"/>
  <c r="H111" i="26"/>
  <c r="H108" i="26"/>
  <c r="H105" i="26"/>
  <c r="H102" i="26"/>
  <c r="B305" i="26" s="1"/>
  <c r="I12" i="26"/>
  <c r="I11" i="26"/>
  <c r="I10" i="26"/>
  <c r="I9" i="26"/>
  <c r="I8" i="26"/>
  <c r="I7" i="26"/>
  <c r="E1" i="26"/>
  <c r="C1" i="26"/>
  <c r="AJ9" i="27"/>
  <c r="AL9" i="27"/>
  <c r="AN9" i="27"/>
  <c r="AM9" i="27" s="1"/>
  <c r="AP9" i="27"/>
  <c r="AO9" i="27" s="1"/>
  <c r="AJ10" i="27"/>
  <c r="AL10" i="27"/>
  <c r="AN10" i="27"/>
  <c r="AM10" i="27" s="1"/>
  <c r="AP10" i="27"/>
  <c r="AO10" i="27" s="1"/>
  <c r="AJ11" i="27"/>
  <c r="AL11" i="27"/>
  <c r="AN11" i="27"/>
  <c r="AM11" i="27" s="1"/>
  <c r="AP11" i="27"/>
  <c r="AO11" i="27" s="1"/>
  <c r="AJ12" i="27"/>
  <c r="AL12" i="27"/>
  <c r="AN12" i="27"/>
  <c r="AM12" i="27" s="1"/>
  <c r="AP12" i="27"/>
  <c r="AO12" i="27" s="1"/>
  <c r="AJ13" i="27"/>
  <c r="AL13" i="27"/>
  <c r="AN13" i="27"/>
  <c r="AM13" i="27" s="1"/>
  <c r="AP13" i="27"/>
  <c r="AO13" i="27" s="1"/>
  <c r="AJ14" i="27"/>
  <c r="AL14" i="27"/>
  <c r="AN14" i="27"/>
  <c r="AM14" i="27" s="1"/>
  <c r="AP14" i="27"/>
  <c r="AO14" i="27" s="1"/>
  <c r="AJ15" i="27"/>
  <c r="AL15" i="27"/>
  <c r="AN15" i="27"/>
  <c r="AM15" i="27" s="1"/>
  <c r="AP15" i="27"/>
  <c r="AO15" i="27" s="1"/>
  <c r="AJ16" i="27"/>
  <c r="AL16" i="27"/>
  <c r="AN16" i="27"/>
  <c r="AM16" i="27" s="1"/>
  <c r="AP16" i="27"/>
  <c r="AO16" i="27" s="1"/>
  <c r="AJ17" i="27"/>
  <c r="AL17" i="27"/>
  <c r="AN17" i="27"/>
  <c r="AM17" i="27" s="1"/>
  <c r="AP17" i="27"/>
  <c r="AO17" i="27" s="1"/>
  <c r="AJ18" i="27"/>
  <c r="AL18" i="27"/>
  <c r="AN18" i="27"/>
  <c r="AM18" i="27" s="1"/>
  <c r="AP18" i="27"/>
  <c r="AO18" i="27" s="1"/>
  <c r="AJ19" i="27"/>
  <c r="AL19" i="27"/>
  <c r="AN19" i="27"/>
  <c r="AM19" i="27" s="1"/>
  <c r="AP19" i="27"/>
  <c r="AO19" i="27" s="1"/>
  <c r="AJ20" i="27"/>
  <c r="AL20" i="27"/>
  <c r="AN20" i="27"/>
  <c r="AM20" i="27" s="1"/>
  <c r="AP20" i="27"/>
  <c r="AO20" i="27" s="1"/>
  <c r="AP8" i="27"/>
  <c r="AO8" i="27" s="1"/>
  <c r="AN8" i="27"/>
  <c r="AM8" i="27" s="1"/>
  <c r="AL8" i="27"/>
  <c r="AJ8" i="27"/>
  <c r="A4" i="27"/>
  <c r="A2" i="27"/>
  <c r="A1" i="27"/>
  <c r="C312" i="27"/>
  <c r="C311" i="27"/>
  <c r="C310" i="27"/>
  <c r="C309" i="27"/>
  <c r="C308" i="27"/>
  <c r="C307" i="27"/>
  <c r="C306" i="27"/>
  <c r="C305" i="27"/>
  <c r="C304" i="27"/>
  <c r="B304" i="27"/>
  <c r="C303" i="27"/>
  <c r="C302" i="27"/>
  <c r="C301" i="27"/>
  <c r="C300" i="27"/>
  <c r="AE20" i="27"/>
  <c r="AC20" i="27"/>
  <c r="AF20" i="27" s="1"/>
  <c r="AA20" i="27"/>
  <c r="AE19" i="27"/>
  <c r="AC19" i="27"/>
  <c r="AF19" i="27" s="1"/>
  <c r="AA19" i="27"/>
  <c r="AE18" i="27"/>
  <c r="AC18" i="27"/>
  <c r="AA18" i="27"/>
  <c r="AE17" i="27"/>
  <c r="AC17" i="27"/>
  <c r="AA17" i="27"/>
  <c r="AE16" i="27"/>
  <c r="AC16" i="27"/>
  <c r="AA16" i="27"/>
  <c r="AE15" i="27"/>
  <c r="AC15" i="27"/>
  <c r="AA15" i="27"/>
  <c r="AE14" i="27"/>
  <c r="AC14" i="27"/>
  <c r="AA14" i="27"/>
  <c r="AE13" i="27"/>
  <c r="AC13" i="27"/>
  <c r="AA13" i="27"/>
  <c r="AE12" i="27"/>
  <c r="AC12" i="27"/>
  <c r="AA12" i="27"/>
  <c r="AE11" i="27"/>
  <c r="AC11" i="27"/>
  <c r="AA11" i="27"/>
  <c r="AE10" i="27"/>
  <c r="AC10" i="27"/>
  <c r="AA10" i="27"/>
  <c r="AE9" i="27"/>
  <c r="AC9" i="27"/>
  <c r="AA9" i="27"/>
  <c r="AE8" i="27"/>
  <c r="AC8" i="27"/>
  <c r="AA8" i="27"/>
  <c r="J1" i="27"/>
  <c r="F1" i="27"/>
  <c r="A4" i="28"/>
  <c r="A2" i="28"/>
  <c r="A1" i="28"/>
  <c r="H11" i="28"/>
  <c r="J11" i="28" s="1"/>
  <c r="H10" i="28"/>
  <c r="J10" i="28" s="1"/>
  <c r="H9" i="28"/>
  <c r="J9" i="28" s="1"/>
  <c r="H8" i="28"/>
  <c r="J8" i="28" s="1"/>
  <c r="H7" i="28"/>
  <c r="J7" i="28" s="1"/>
  <c r="M6" i="28"/>
  <c r="G1" i="28"/>
  <c r="E1" i="28"/>
  <c r="A4" i="23"/>
  <c r="A2" i="23"/>
  <c r="A1" i="23"/>
  <c r="C312" i="23"/>
  <c r="C311" i="23"/>
  <c r="B310" i="23"/>
  <c r="B308" i="23"/>
  <c r="C306" i="23"/>
  <c r="B305" i="23"/>
  <c r="C303" i="23"/>
  <c r="C302" i="23"/>
  <c r="C301" i="23"/>
  <c r="C300" i="23"/>
  <c r="AP20" i="23"/>
  <c r="AO20" i="23" s="1"/>
  <c r="AN20" i="23"/>
  <c r="AM20" i="23" s="1"/>
  <c r="AL20" i="23"/>
  <c r="AJ20" i="23"/>
  <c r="AE20" i="23"/>
  <c r="AC20" i="23"/>
  <c r="AA20" i="23"/>
  <c r="AP19" i="23"/>
  <c r="AO19" i="23" s="1"/>
  <c r="AN19" i="23"/>
  <c r="AM19" i="23" s="1"/>
  <c r="AL19" i="23"/>
  <c r="AJ19" i="23"/>
  <c r="AE19" i="23"/>
  <c r="AC19" i="23"/>
  <c r="AA19" i="23"/>
  <c r="AP18" i="23"/>
  <c r="AO18" i="23" s="1"/>
  <c r="AN18" i="23"/>
  <c r="AM18" i="23" s="1"/>
  <c r="AL18" i="23"/>
  <c r="AJ18" i="23"/>
  <c r="AE18" i="23"/>
  <c r="AC18" i="23"/>
  <c r="AA18" i="23"/>
  <c r="AP17" i="23"/>
  <c r="AO17" i="23" s="1"/>
  <c r="AN17" i="23"/>
  <c r="AM17" i="23" s="1"/>
  <c r="AL17" i="23"/>
  <c r="AJ17" i="23"/>
  <c r="AE17" i="23"/>
  <c r="AC17" i="23"/>
  <c r="AA17" i="23"/>
  <c r="AP16" i="23"/>
  <c r="AO16" i="23" s="1"/>
  <c r="AN16" i="23"/>
  <c r="AM16" i="23" s="1"/>
  <c r="AL16" i="23"/>
  <c r="AJ16" i="23"/>
  <c r="AE16" i="23"/>
  <c r="AC16" i="23"/>
  <c r="AA16" i="23"/>
  <c r="AP15" i="23"/>
  <c r="AO15" i="23" s="1"/>
  <c r="AN15" i="23"/>
  <c r="AM15" i="23" s="1"/>
  <c r="AL15" i="23"/>
  <c r="AJ15" i="23"/>
  <c r="AE15" i="23"/>
  <c r="AC15" i="23"/>
  <c r="AA15" i="23"/>
  <c r="AP14" i="23"/>
  <c r="AO14" i="23" s="1"/>
  <c r="AN14" i="23"/>
  <c r="AM14" i="23" s="1"/>
  <c r="AL14" i="23"/>
  <c r="AJ14" i="23"/>
  <c r="AE14" i="23"/>
  <c r="AC14" i="23"/>
  <c r="AA14" i="23"/>
  <c r="AP13" i="23"/>
  <c r="AO13" i="23" s="1"/>
  <c r="AN13" i="23"/>
  <c r="AM13" i="23" s="1"/>
  <c r="AL13" i="23"/>
  <c r="AJ13" i="23"/>
  <c r="AE13" i="23"/>
  <c r="AC13" i="23"/>
  <c r="AA13" i="23"/>
  <c r="AP12" i="23"/>
  <c r="AO12" i="23" s="1"/>
  <c r="AN12" i="23"/>
  <c r="AM12" i="23" s="1"/>
  <c r="AL12" i="23"/>
  <c r="AJ12" i="23"/>
  <c r="AE12" i="23"/>
  <c r="AC12" i="23"/>
  <c r="AA12" i="23"/>
  <c r="AP11" i="23"/>
  <c r="AO11" i="23" s="1"/>
  <c r="AN11" i="23"/>
  <c r="AM11" i="23" s="1"/>
  <c r="AL11" i="23"/>
  <c r="AJ11" i="23"/>
  <c r="AE11" i="23"/>
  <c r="AC11" i="23"/>
  <c r="AA11" i="23"/>
  <c r="AP10" i="23"/>
  <c r="AO10" i="23" s="1"/>
  <c r="AN10" i="23"/>
  <c r="AM10" i="23" s="1"/>
  <c r="AL10" i="23"/>
  <c r="AJ10" i="23"/>
  <c r="AE10" i="23"/>
  <c r="AC10" i="23"/>
  <c r="AA10" i="23"/>
  <c r="AP9" i="23"/>
  <c r="AO9" i="23" s="1"/>
  <c r="AN9" i="23"/>
  <c r="AM9" i="23" s="1"/>
  <c r="AL9" i="23"/>
  <c r="AJ9" i="23"/>
  <c r="AE9" i="23"/>
  <c r="AC9" i="23"/>
  <c r="AA9" i="23"/>
  <c r="AP8" i="23"/>
  <c r="AO8" i="23" s="1"/>
  <c r="AN8" i="23"/>
  <c r="AM8" i="23" s="1"/>
  <c r="AL8" i="23"/>
  <c r="AJ8" i="23"/>
  <c r="AE8" i="23"/>
  <c r="AC8" i="23"/>
  <c r="AF8" i="23" s="1"/>
  <c r="AA8" i="23"/>
  <c r="J1" i="23"/>
  <c r="F1" i="23"/>
  <c r="Z12" i="24"/>
  <c r="Y12" i="24" s="1"/>
  <c r="X12" i="24"/>
  <c r="W12" i="24" s="1"/>
  <c r="V12" i="24"/>
  <c r="T12" i="24"/>
  <c r="Z11" i="24"/>
  <c r="Y11" i="24"/>
  <c r="X11" i="24"/>
  <c r="W11" i="24"/>
  <c r="V11" i="24"/>
  <c r="T11" i="24"/>
  <c r="Z10" i="24"/>
  <c r="Y10" i="24" s="1"/>
  <c r="X10" i="24"/>
  <c r="W10" i="24" s="1"/>
  <c r="V10" i="24"/>
  <c r="T10" i="24"/>
  <c r="Z9" i="24"/>
  <c r="Y9" i="24"/>
  <c r="X9" i="24"/>
  <c r="W9" i="24"/>
  <c r="V9" i="24"/>
  <c r="T9" i="24"/>
  <c r="Z8" i="24"/>
  <c r="Y8" i="24" s="1"/>
  <c r="X8" i="24"/>
  <c r="W8" i="24" s="1"/>
  <c r="V8" i="24"/>
  <c r="T8" i="24"/>
  <c r="Z7" i="24"/>
  <c r="Y7" i="24"/>
  <c r="X7" i="24"/>
  <c r="W7" i="24"/>
  <c r="V7" i="24"/>
  <c r="T7" i="24"/>
  <c r="A4" i="24"/>
  <c r="A2" i="24"/>
  <c r="A1" i="24"/>
  <c r="H117" i="24"/>
  <c r="H114" i="24"/>
  <c r="H111" i="24"/>
  <c r="H108" i="24"/>
  <c r="H105" i="24"/>
  <c r="H102" i="24"/>
  <c r="B305" i="24" s="1"/>
  <c r="I12" i="24"/>
  <c r="I11" i="24"/>
  <c r="I10" i="24"/>
  <c r="I9" i="24"/>
  <c r="I8" i="24"/>
  <c r="I7" i="24"/>
  <c r="G1" i="24"/>
  <c r="E1" i="24"/>
  <c r="R50" i="17" l="1"/>
  <c r="R57" i="39"/>
  <c r="R59" i="39"/>
  <c r="R50" i="31"/>
  <c r="R57" i="31"/>
  <c r="R59" i="31"/>
  <c r="R35" i="17"/>
  <c r="R37" i="17"/>
  <c r="R39" i="17"/>
  <c r="R11" i="31"/>
  <c r="R25" i="31"/>
  <c r="R37" i="31"/>
  <c r="R51" i="31"/>
  <c r="R60" i="31"/>
  <c r="R11" i="39"/>
  <c r="R25" i="39"/>
  <c r="R39" i="39"/>
  <c r="R37" i="39"/>
  <c r="L42" i="39"/>
  <c r="R57" i="17"/>
  <c r="R59" i="17"/>
  <c r="R44" i="39"/>
  <c r="R49" i="39"/>
  <c r="R51" i="39"/>
  <c r="R54" i="39"/>
  <c r="R32" i="39"/>
  <c r="R42" i="39"/>
  <c r="I10" i="39"/>
  <c r="R18" i="39"/>
  <c r="R35" i="39"/>
  <c r="L44" i="39"/>
  <c r="R46" i="39"/>
  <c r="R52" i="39"/>
  <c r="R55" i="39"/>
  <c r="L56" i="39"/>
  <c r="S20" i="39"/>
  <c r="R20" i="39" s="1"/>
  <c r="S26" i="39"/>
  <c r="R26" i="39" s="1"/>
  <c r="S34" i="39"/>
  <c r="R34" i="39" s="1"/>
  <c r="S36" i="39"/>
  <c r="R36" i="39" s="1"/>
  <c r="S38" i="39"/>
  <c r="R38" i="39" s="1"/>
  <c r="S40" i="39"/>
  <c r="R40" i="39" s="1"/>
  <c r="S48" i="39"/>
  <c r="R48" i="39" s="1"/>
  <c r="S53" i="39"/>
  <c r="R53" i="39" s="1"/>
  <c r="S56" i="39"/>
  <c r="R56" i="39" s="1"/>
  <c r="S60" i="39"/>
  <c r="R60" i="39" s="1"/>
  <c r="S10" i="39"/>
  <c r="R10" i="39" s="1"/>
  <c r="R13" i="39"/>
  <c r="S45" i="39"/>
  <c r="R45" i="39" s="1"/>
  <c r="S50" i="39"/>
  <c r="R50" i="39" s="1"/>
  <c r="S58" i="39"/>
  <c r="R58" i="39" s="1"/>
  <c r="L8" i="39"/>
  <c r="K8" i="39"/>
  <c r="M8" i="39" s="1"/>
  <c r="L10" i="39"/>
  <c r="K10" i="39"/>
  <c r="M10" i="39" s="1"/>
  <c r="K11" i="39"/>
  <c r="L11" i="39"/>
  <c r="K14" i="39"/>
  <c r="L14" i="39"/>
  <c r="K16" i="39"/>
  <c r="L16" i="39"/>
  <c r="K18" i="39"/>
  <c r="L18" i="39"/>
  <c r="K21" i="39"/>
  <c r="L21" i="39"/>
  <c r="L22" i="39"/>
  <c r="K22" i="39"/>
  <c r="K25" i="39"/>
  <c r="L25" i="39"/>
  <c r="K30" i="39"/>
  <c r="L30" i="39"/>
  <c r="L31" i="39"/>
  <c r="K31" i="39"/>
  <c r="K39" i="39"/>
  <c r="L39" i="39"/>
  <c r="K7" i="39"/>
  <c r="L7" i="39"/>
  <c r="K9" i="39"/>
  <c r="L9" i="39"/>
  <c r="R12" i="39"/>
  <c r="L15" i="39"/>
  <c r="K15" i="39"/>
  <c r="L17" i="39"/>
  <c r="K17" i="39"/>
  <c r="R19" i="39"/>
  <c r="K23" i="39"/>
  <c r="L23" i="39"/>
  <c r="L24" i="39"/>
  <c r="K24" i="39"/>
  <c r="R27" i="39"/>
  <c r="K28" i="39"/>
  <c r="L28" i="39"/>
  <c r="L29" i="39"/>
  <c r="K29" i="39"/>
  <c r="K32" i="39"/>
  <c r="L32" i="39"/>
  <c r="R33" i="39"/>
  <c r="K35" i="39"/>
  <c r="K37" i="39"/>
  <c r="R41" i="39"/>
  <c r="L43" i="39"/>
  <c r="K43" i="39"/>
  <c r="R43" i="39"/>
  <c r="L45" i="39"/>
  <c r="K45" i="39"/>
  <c r="K49" i="39"/>
  <c r="L49" i="39"/>
  <c r="L50" i="39"/>
  <c r="K50" i="39"/>
  <c r="K52" i="39"/>
  <c r="L52" i="39"/>
  <c r="I11" i="39"/>
  <c r="L35" i="39"/>
  <c r="L36" i="39"/>
  <c r="K36" i="39"/>
  <c r="L37" i="39"/>
  <c r="L38" i="39"/>
  <c r="K38" i="39"/>
  <c r="K42" i="39"/>
  <c r="M42" i="39" s="1"/>
  <c r="K44" i="39"/>
  <c r="M44" i="39" s="1"/>
  <c r="K46" i="39"/>
  <c r="L46" i="39"/>
  <c r="R47" i="39"/>
  <c r="K51" i="39"/>
  <c r="L51" i="39"/>
  <c r="L53" i="39"/>
  <c r="K53" i="39"/>
  <c r="L59" i="39"/>
  <c r="K59" i="39"/>
  <c r="K60" i="39"/>
  <c r="L60" i="39"/>
  <c r="K56" i="39"/>
  <c r="M56" i="39" s="1"/>
  <c r="L57" i="39"/>
  <c r="K57" i="39"/>
  <c r="M57" i="39" s="1"/>
  <c r="K58" i="39"/>
  <c r="L58" i="39"/>
  <c r="M58" i="39" s="1"/>
  <c r="B300" i="40"/>
  <c r="B301" i="40"/>
  <c r="B302" i="40"/>
  <c r="B303" i="40"/>
  <c r="B304" i="40"/>
  <c r="B305" i="40"/>
  <c r="L38" i="29"/>
  <c r="L35" i="29"/>
  <c r="L36" i="29"/>
  <c r="K7" i="29"/>
  <c r="M7" i="29" s="1"/>
  <c r="L7" i="29"/>
  <c r="K9" i="29"/>
  <c r="M9" i="29" s="1"/>
  <c r="L9" i="29"/>
  <c r="K11" i="29"/>
  <c r="M11" i="29" s="1"/>
  <c r="L11" i="29"/>
  <c r="L14" i="29"/>
  <c r="K14" i="29"/>
  <c r="K16" i="29"/>
  <c r="L16" i="29"/>
  <c r="L22" i="29"/>
  <c r="K22" i="29"/>
  <c r="K23" i="29"/>
  <c r="L23" i="29"/>
  <c r="L29" i="29"/>
  <c r="K29" i="29"/>
  <c r="K30" i="29"/>
  <c r="L30" i="29"/>
  <c r="L8" i="29"/>
  <c r="K8" i="29"/>
  <c r="L10" i="29"/>
  <c r="K10" i="29"/>
  <c r="L15" i="29"/>
  <c r="K15" i="29"/>
  <c r="M15" i="29" s="1"/>
  <c r="L17" i="29"/>
  <c r="K17" i="29"/>
  <c r="M17" i="29" s="1"/>
  <c r="K18" i="29"/>
  <c r="L18" i="29"/>
  <c r="K21" i="29"/>
  <c r="M21" i="29" s="1"/>
  <c r="L21" i="29"/>
  <c r="L24" i="29"/>
  <c r="K24" i="29"/>
  <c r="K25" i="29"/>
  <c r="M25" i="29" s="1"/>
  <c r="L25" i="29"/>
  <c r="K28" i="29"/>
  <c r="L28" i="29"/>
  <c r="K31" i="29"/>
  <c r="M31" i="29" s="1"/>
  <c r="L31" i="29"/>
  <c r="I10" i="29"/>
  <c r="I17" i="29"/>
  <c r="I32" i="29"/>
  <c r="K35" i="29"/>
  <c r="M35" i="29" s="1"/>
  <c r="L37" i="29"/>
  <c r="K37" i="29"/>
  <c r="L39" i="29"/>
  <c r="K39" i="29"/>
  <c r="L43" i="29"/>
  <c r="K43" i="29"/>
  <c r="M43" i="29" s="1"/>
  <c r="K44" i="29"/>
  <c r="L44" i="29"/>
  <c r="M44" i="29" s="1"/>
  <c r="L50" i="29"/>
  <c r="K50" i="29"/>
  <c r="M50" i="29" s="1"/>
  <c r="L51" i="29"/>
  <c r="K51" i="29"/>
  <c r="M51" i="29" s="1"/>
  <c r="I11" i="29"/>
  <c r="L32" i="29"/>
  <c r="K32" i="29"/>
  <c r="K36" i="29"/>
  <c r="M36" i="29" s="1"/>
  <c r="M37" i="29"/>
  <c r="K38" i="29"/>
  <c r="M38" i="29" s="1"/>
  <c r="K42" i="29"/>
  <c r="L42" i="29"/>
  <c r="L45" i="29"/>
  <c r="K45" i="29"/>
  <c r="M45" i="29" s="1"/>
  <c r="K46" i="29"/>
  <c r="L46" i="29"/>
  <c r="M46" i="29" s="1"/>
  <c r="K49" i="29"/>
  <c r="L49" i="29"/>
  <c r="K52" i="29"/>
  <c r="L52" i="29"/>
  <c r="M52" i="29" s="1"/>
  <c r="K56" i="29"/>
  <c r="M56" i="29" s="1"/>
  <c r="K57" i="29"/>
  <c r="M57" i="29" s="1"/>
  <c r="L57" i="29"/>
  <c r="L58" i="29"/>
  <c r="K58" i="29"/>
  <c r="L53" i="29"/>
  <c r="K53" i="29"/>
  <c r="K59" i="29"/>
  <c r="L59" i="29"/>
  <c r="L60" i="29"/>
  <c r="K60" i="29"/>
  <c r="K8" i="30"/>
  <c r="L8" i="30"/>
  <c r="K10" i="30"/>
  <c r="M10" i="30" s="1"/>
  <c r="L10" i="30"/>
  <c r="K15" i="30"/>
  <c r="M15" i="30" s="1"/>
  <c r="L15" i="30"/>
  <c r="L16" i="30"/>
  <c r="K16" i="30"/>
  <c r="K22" i="30"/>
  <c r="M22" i="30" s="1"/>
  <c r="L22" i="30"/>
  <c r="L23" i="30"/>
  <c r="K23" i="30"/>
  <c r="K29" i="30"/>
  <c r="L29" i="30"/>
  <c r="L30" i="30"/>
  <c r="K30" i="30"/>
  <c r="K38" i="30"/>
  <c r="M38" i="30" s="1"/>
  <c r="L38" i="30"/>
  <c r="L7" i="30"/>
  <c r="K7" i="30"/>
  <c r="L9" i="30"/>
  <c r="K9" i="30"/>
  <c r="L11" i="30"/>
  <c r="K11" i="30"/>
  <c r="L14" i="30"/>
  <c r="K14" i="30"/>
  <c r="K17" i="30"/>
  <c r="M17" i="30" s="1"/>
  <c r="L17" i="30"/>
  <c r="L18" i="30"/>
  <c r="K18" i="30"/>
  <c r="L21" i="30"/>
  <c r="K21" i="30"/>
  <c r="M21" i="30" s="1"/>
  <c r="K24" i="30"/>
  <c r="M24" i="30" s="1"/>
  <c r="L24" i="30"/>
  <c r="L25" i="30"/>
  <c r="K25" i="30"/>
  <c r="M25" i="30" s="1"/>
  <c r="L28" i="30"/>
  <c r="K28" i="30"/>
  <c r="M28" i="30" s="1"/>
  <c r="K31" i="30"/>
  <c r="L31" i="30"/>
  <c r="L32" i="30"/>
  <c r="K32" i="30"/>
  <c r="K36" i="30"/>
  <c r="L42" i="30"/>
  <c r="K42" i="30"/>
  <c r="K45" i="30"/>
  <c r="L45" i="30"/>
  <c r="L46" i="30"/>
  <c r="K46" i="30"/>
  <c r="L49" i="30"/>
  <c r="K49" i="30"/>
  <c r="M49" i="30" s="1"/>
  <c r="K52" i="30"/>
  <c r="L52" i="30"/>
  <c r="L35" i="30"/>
  <c r="K35" i="30"/>
  <c r="L36" i="30"/>
  <c r="M36" i="30" s="1"/>
  <c r="L37" i="30"/>
  <c r="K37" i="30"/>
  <c r="L39" i="30"/>
  <c r="K39" i="30"/>
  <c r="K43" i="30"/>
  <c r="M43" i="30" s="1"/>
  <c r="L43" i="30"/>
  <c r="L44" i="30"/>
  <c r="K44" i="30"/>
  <c r="K50" i="30"/>
  <c r="M50" i="30" s="1"/>
  <c r="L50" i="30"/>
  <c r="L51" i="30"/>
  <c r="K51" i="30"/>
  <c r="L53" i="30"/>
  <c r="K53" i="30"/>
  <c r="L59" i="30"/>
  <c r="K59" i="30"/>
  <c r="K60" i="30"/>
  <c r="M60" i="30" s="1"/>
  <c r="L60" i="30"/>
  <c r="K201" i="30"/>
  <c r="L201" i="30"/>
  <c r="K203" i="30"/>
  <c r="M203" i="30" s="1"/>
  <c r="L203" i="30"/>
  <c r="M53" i="30"/>
  <c r="K56" i="30"/>
  <c r="M56" i="30" s="1"/>
  <c r="L57" i="30"/>
  <c r="K57" i="30"/>
  <c r="K58" i="30"/>
  <c r="L58" i="30"/>
  <c r="L200" i="30"/>
  <c r="K200" i="30"/>
  <c r="L202" i="30"/>
  <c r="K202" i="30"/>
  <c r="K204" i="30"/>
  <c r="L204" i="30"/>
  <c r="L28" i="31"/>
  <c r="R32" i="31"/>
  <c r="R38" i="31"/>
  <c r="R46" i="31"/>
  <c r="R42" i="31"/>
  <c r="R48" i="31"/>
  <c r="R54" i="31"/>
  <c r="R34" i="31"/>
  <c r="R39" i="31"/>
  <c r="R40" i="31"/>
  <c r="R43" i="31"/>
  <c r="R49" i="31"/>
  <c r="R52" i="31"/>
  <c r="R55" i="31"/>
  <c r="R58" i="31"/>
  <c r="R18" i="31"/>
  <c r="L30" i="31"/>
  <c r="L32" i="31"/>
  <c r="R35" i="31"/>
  <c r="R44" i="31"/>
  <c r="R10" i="31"/>
  <c r="R12" i="31"/>
  <c r="R20" i="31"/>
  <c r="R26" i="31"/>
  <c r="R33" i="31"/>
  <c r="R36" i="31"/>
  <c r="R41" i="31"/>
  <c r="R45" i="31"/>
  <c r="R53" i="31"/>
  <c r="R56" i="31"/>
  <c r="K8" i="31"/>
  <c r="M8" i="31" s="1"/>
  <c r="L8" i="31"/>
  <c r="K10" i="31"/>
  <c r="M10" i="31" s="1"/>
  <c r="L10" i="31"/>
  <c r="L11" i="31"/>
  <c r="K11" i="31"/>
  <c r="K21" i="31"/>
  <c r="M21" i="31" s="1"/>
  <c r="L21" i="31"/>
  <c r="K25" i="31"/>
  <c r="M25" i="31" s="1"/>
  <c r="L25" i="31"/>
  <c r="L7" i="31"/>
  <c r="K7" i="31"/>
  <c r="L9" i="31"/>
  <c r="K9" i="31"/>
  <c r="M9" i="31" s="1"/>
  <c r="R13" i="31"/>
  <c r="L14" i="31"/>
  <c r="K14" i="31"/>
  <c r="K15" i="31"/>
  <c r="M15" i="31" s="1"/>
  <c r="L15" i="31"/>
  <c r="L16" i="31"/>
  <c r="L18" i="31"/>
  <c r="K23" i="31"/>
  <c r="L23" i="31"/>
  <c r="I18" i="31"/>
  <c r="I11" i="31"/>
  <c r="L17" i="31"/>
  <c r="K17" i="31"/>
  <c r="M17" i="31" s="1"/>
  <c r="R17" i="31"/>
  <c r="R19" i="31"/>
  <c r="I25" i="31"/>
  <c r="R27" i="31"/>
  <c r="L29" i="31"/>
  <c r="K29" i="31"/>
  <c r="L31" i="31"/>
  <c r="K31" i="31"/>
  <c r="K37" i="31"/>
  <c r="L37" i="31"/>
  <c r="L38" i="31"/>
  <c r="K38" i="31"/>
  <c r="K42" i="31"/>
  <c r="L42" i="31"/>
  <c r="L43" i="31"/>
  <c r="K43" i="31"/>
  <c r="K46" i="31"/>
  <c r="L46" i="31"/>
  <c r="R47" i="31"/>
  <c r="K50" i="31"/>
  <c r="L50" i="31"/>
  <c r="K16" i="31"/>
  <c r="M16" i="31" s="1"/>
  <c r="I17" i="31"/>
  <c r="M18" i="31"/>
  <c r="K18" i="31"/>
  <c r="L22" i="31"/>
  <c r="K22" i="31"/>
  <c r="L24" i="31"/>
  <c r="K24" i="31"/>
  <c r="I32" i="31"/>
  <c r="K28" i="31"/>
  <c r="M28" i="31" s="1"/>
  <c r="K30" i="31"/>
  <c r="M30" i="31" s="1"/>
  <c r="K32" i="31"/>
  <c r="M32" i="31" s="1"/>
  <c r="K35" i="31"/>
  <c r="L35" i="31"/>
  <c r="L36" i="31"/>
  <c r="K36" i="31"/>
  <c r="K39" i="31"/>
  <c r="L39" i="31"/>
  <c r="K44" i="31"/>
  <c r="L44" i="31"/>
  <c r="L45" i="31"/>
  <c r="K45" i="31"/>
  <c r="K49" i="31"/>
  <c r="L49" i="31"/>
  <c r="K52" i="31"/>
  <c r="L52" i="31"/>
  <c r="L51" i="31"/>
  <c r="K51" i="31"/>
  <c r="L53" i="31"/>
  <c r="K53" i="31"/>
  <c r="K57" i="31"/>
  <c r="L57" i="31"/>
  <c r="L58" i="31"/>
  <c r="K58" i="31"/>
  <c r="L56" i="31"/>
  <c r="K56" i="31"/>
  <c r="K59" i="31"/>
  <c r="L59" i="31"/>
  <c r="L60" i="31"/>
  <c r="K60" i="31"/>
  <c r="B300" i="32"/>
  <c r="B302" i="32"/>
  <c r="B304" i="32"/>
  <c r="B301" i="32"/>
  <c r="B303" i="32"/>
  <c r="AF9" i="33"/>
  <c r="AF10" i="33"/>
  <c r="AF12" i="33"/>
  <c r="AF13" i="33"/>
  <c r="AF16" i="33"/>
  <c r="AF18" i="33"/>
  <c r="AF8" i="33"/>
  <c r="AF11" i="33"/>
  <c r="AF13" i="34"/>
  <c r="AF14" i="34"/>
  <c r="AF16" i="34"/>
  <c r="AF9" i="34"/>
  <c r="AF10" i="34"/>
  <c r="AF11" i="34"/>
  <c r="AF12" i="34"/>
  <c r="AF15" i="34"/>
  <c r="AF17" i="34"/>
  <c r="AF18" i="34"/>
  <c r="AF8" i="34"/>
  <c r="R44" i="17"/>
  <c r="R46" i="17"/>
  <c r="R49" i="17"/>
  <c r="R25" i="17"/>
  <c r="R54" i="17"/>
  <c r="R18" i="17"/>
  <c r="R32" i="17"/>
  <c r="R42" i="17"/>
  <c r="R52" i="17"/>
  <c r="R55" i="17"/>
  <c r="L18" i="17"/>
  <c r="L28" i="17"/>
  <c r="R11" i="17"/>
  <c r="L16" i="17"/>
  <c r="S19" i="17"/>
  <c r="R19" i="17" s="1"/>
  <c r="S34" i="17"/>
  <c r="R34" i="17" s="1"/>
  <c r="S38" i="17"/>
  <c r="R38" i="17" s="1"/>
  <c r="S43" i="17"/>
  <c r="R43" i="17" s="1"/>
  <c r="S48" i="17"/>
  <c r="R48" i="17" s="1"/>
  <c r="S53" i="17"/>
  <c r="R53" i="17" s="1"/>
  <c r="S56" i="17"/>
  <c r="R56" i="17" s="1"/>
  <c r="S60" i="17"/>
  <c r="R60" i="17" s="1"/>
  <c r="I10" i="17"/>
  <c r="R13" i="17"/>
  <c r="K15" i="17"/>
  <c r="S20" i="17"/>
  <c r="R20" i="17" s="1"/>
  <c r="S26" i="17"/>
  <c r="R26" i="17" s="1"/>
  <c r="L30" i="17"/>
  <c r="L32" i="17"/>
  <c r="S33" i="17"/>
  <c r="R33" i="17" s="1"/>
  <c r="S36" i="17"/>
  <c r="R36" i="17" s="1"/>
  <c r="S41" i="17"/>
  <c r="R41" i="17" s="1"/>
  <c r="S45" i="17"/>
  <c r="R45" i="17" s="1"/>
  <c r="S47" i="17"/>
  <c r="R47" i="17" s="1"/>
  <c r="S51" i="17"/>
  <c r="R51" i="17" s="1"/>
  <c r="S58" i="17"/>
  <c r="R58" i="17" s="1"/>
  <c r="K7" i="17"/>
  <c r="L7" i="17"/>
  <c r="K9" i="17"/>
  <c r="L9" i="17"/>
  <c r="K21" i="17"/>
  <c r="L21" i="17"/>
  <c r="K25" i="17"/>
  <c r="L25" i="17"/>
  <c r="K8" i="17"/>
  <c r="L8" i="17"/>
  <c r="L10" i="17"/>
  <c r="K10" i="17"/>
  <c r="R10" i="17"/>
  <c r="L11" i="17"/>
  <c r="K11" i="17"/>
  <c r="R12" i="17"/>
  <c r="K23" i="17"/>
  <c r="L23" i="17"/>
  <c r="K14" i="17"/>
  <c r="L15" i="17"/>
  <c r="M15" i="17" s="1"/>
  <c r="L17" i="17"/>
  <c r="K17" i="17"/>
  <c r="I25" i="17"/>
  <c r="R27" i="17"/>
  <c r="L29" i="17"/>
  <c r="K29" i="17"/>
  <c r="L31" i="17"/>
  <c r="K31" i="17"/>
  <c r="K37" i="17"/>
  <c r="L37" i="17"/>
  <c r="L38" i="17"/>
  <c r="K38" i="17"/>
  <c r="K42" i="17"/>
  <c r="L42" i="17"/>
  <c r="L43" i="17"/>
  <c r="K43" i="17"/>
  <c r="K46" i="17"/>
  <c r="L46" i="17"/>
  <c r="K50" i="17"/>
  <c r="L50" i="17"/>
  <c r="L14" i="17"/>
  <c r="K16" i="17"/>
  <c r="M16" i="17" s="1"/>
  <c r="I17" i="17"/>
  <c r="K18" i="17"/>
  <c r="M18" i="17" s="1"/>
  <c r="L22" i="17"/>
  <c r="K22" i="17"/>
  <c r="L24" i="17"/>
  <c r="K24" i="17"/>
  <c r="I32" i="17"/>
  <c r="K28" i="17"/>
  <c r="M28" i="17" s="1"/>
  <c r="K30" i="17"/>
  <c r="M30" i="17" s="1"/>
  <c r="M31" i="17"/>
  <c r="K32" i="17"/>
  <c r="M32" i="17" s="1"/>
  <c r="K35" i="17"/>
  <c r="L35" i="17"/>
  <c r="L36" i="17"/>
  <c r="K36" i="17"/>
  <c r="K39" i="17"/>
  <c r="L39" i="17"/>
  <c r="R40" i="17"/>
  <c r="K44" i="17"/>
  <c r="L44" i="17"/>
  <c r="L45" i="17"/>
  <c r="K45" i="17"/>
  <c r="K49" i="17"/>
  <c r="L49" i="17"/>
  <c r="K52" i="17"/>
  <c r="L52" i="17"/>
  <c r="L51" i="17"/>
  <c r="K51" i="17"/>
  <c r="L53" i="17"/>
  <c r="K53" i="17"/>
  <c r="K57" i="17"/>
  <c r="L57" i="17"/>
  <c r="L58" i="17"/>
  <c r="K58" i="17"/>
  <c r="L56" i="17"/>
  <c r="K56" i="17"/>
  <c r="K59" i="17"/>
  <c r="L59" i="17"/>
  <c r="L60" i="17"/>
  <c r="K60" i="17"/>
  <c r="B300" i="26"/>
  <c r="B302" i="26"/>
  <c r="B304" i="26"/>
  <c r="B301" i="26"/>
  <c r="B303" i="26"/>
  <c r="AF8" i="27"/>
  <c r="AF9" i="27"/>
  <c r="AF10" i="27"/>
  <c r="AF11" i="27"/>
  <c r="AF12" i="27"/>
  <c r="AF13" i="27"/>
  <c r="AF14" i="27"/>
  <c r="AF15" i="27"/>
  <c r="AF16" i="27"/>
  <c r="AF17" i="27"/>
  <c r="AF18" i="27"/>
  <c r="K8" i="28"/>
  <c r="M8" i="28" s="1"/>
  <c r="L8" i="28"/>
  <c r="L10" i="28"/>
  <c r="K10" i="28"/>
  <c r="K7" i="28"/>
  <c r="M7" i="28" s="1"/>
  <c r="L7" i="28"/>
  <c r="L9" i="28"/>
  <c r="K9" i="28"/>
  <c r="L11" i="28"/>
  <c r="K11" i="28"/>
  <c r="M11" i="28" s="1"/>
  <c r="I11" i="28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B300" i="24"/>
  <c r="B302" i="24"/>
  <c r="B304" i="24"/>
  <c r="B301" i="24"/>
  <c r="B303" i="24"/>
  <c r="M60" i="39" l="1"/>
  <c r="M59" i="39"/>
  <c r="M45" i="39"/>
  <c r="M32" i="39"/>
  <c r="M29" i="39"/>
  <c r="M25" i="39"/>
  <c r="M21" i="39"/>
  <c r="M18" i="39"/>
  <c r="M16" i="39"/>
  <c r="M14" i="39"/>
  <c r="M11" i="39"/>
  <c r="M24" i="39"/>
  <c r="M17" i="39"/>
  <c r="I17" i="39" s="1"/>
  <c r="M15" i="39"/>
  <c r="M9" i="39"/>
  <c r="M31" i="39"/>
  <c r="M53" i="39"/>
  <c r="M51" i="39"/>
  <c r="M38" i="39"/>
  <c r="M52" i="39"/>
  <c r="M49" i="39"/>
  <c r="M37" i="39"/>
  <c r="M46" i="39"/>
  <c r="M36" i="39"/>
  <c r="M50" i="39"/>
  <c r="M35" i="39"/>
  <c r="M28" i="39"/>
  <c r="M23" i="39"/>
  <c r="M7" i="39"/>
  <c r="I9" i="39" s="1"/>
  <c r="M39" i="39"/>
  <c r="M30" i="39"/>
  <c r="M22" i="39"/>
  <c r="I24" i="39" s="1"/>
  <c r="I52" i="39"/>
  <c r="I53" i="39"/>
  <c r="I51" i="39"/>
  <c r="I49" i="39"/>
  <c r="I50" i="39"/>
  <c r="I15" i="39"/>
  <c r="I21" i="39"/>
  <c r="I16" i="39"/>
  <c r="I14" i="39"/>
  <c r="I8" i="39"/>
  <c r="I60" i="39"/>
  <c r="I58" i="39"/>
  <c r="I59" i="39"/>
  <c r="I57" i="39"/>
  <c r="I56" i="39"/>
  <c r="I46" i="39"/>
  <c r="I44" i="39"/>
  <c r="I42" i="39"/>
  <c r="I45" i="39"/>
  <c r="I43" i="39"/>
  <c r="I39" i="39"/>
  <c r="I37" i="39"/>
  <c r="I35" i="39"/>
  <c r="I38" i="39"/>
  <c r="I36" i="39"/>
  <c r="I29" i="39"/>
  <c r="I31" i="39"/>
  <c r="I28" i="39"/>
  <c r="I23" i="39"/>
  <c r="I7" i="39"/>
  <c r="I30" i="39"/>
  <c r="I22" i="39"/>
  <c r="M43" i="39"/>
  <c r="M30" i="29"/>
  <c r="M60" i="29"/>
  <c r="M53" i="29"/>
  <c r="M32" i="29"/>
  <c r="M23" i="29"/>
  <c r="M16" i="29"/>
  <c r="M10" i="29"/>
  <c r="M59" i="29"/>
  <c r="M58" i="29"/>
  <c r="M49" i="29"/>
  <c r="M42" i="29"/>
  <c r="M39" i="29"/>
  <c r="M28" i="29"/>
  <c r="M24" i="29"/>
  <c r="M18" i="29"/>
  <c r="M8" i="29"/>
  <c r="I8" i="29" s="1"/>
  <c r="M29" i="29"/>
  <c r="M22" i="29"/>
  <c r="M14" i="29"/>
  <c r="I31" i="29"/>
  <c r="I15" i="29"/>
  <c r="I28" i="29"/>
  <c r="I24" i="29"/>
  <c r="I29" i="29"/>
  <c r="I22" i="29"/>
  <c r="I14" i="29"/>
  <c r="I59" i="29"/>
  <c r="I57" i="29"/>
  <c r="I60" i="29"/>
  <c r="I58" i="29"/>
  <c r="I56" i="29"/>
  <c r="I52" i="29"/>
  <c r="I51" i="29"/>
  <c r="I49" i="29"/>
  <c r="I53" i="29"/>
  <c r="I50" i="29"/>
  <c r="I46" i="29"/>
  <c r="I44" i="29"/>
  <c r="I42" i="29"/>
  <c r="I45" i="29"/>
  <c r="I43" i="29"/>
  <c r="I21" i="29"/>
  <c r="I30" i="29"/>
  <c r="I23" i="29"/>
  <c r="I16" i="29"/>
  <c r="I9" i="29"/>
  <c r="I7" i="29"/>
  <c r="I38" i="29"/>
  <c r="I36" i="29"/>
  <c r="I39" i="29"/>
  <c r="I37" i="29"/>
  <c r="I35" i="29"/>
  <c r="M204" i="30"/>
  <c r="M202" i="30"/>
  <c r="M200" i="30"/>
  <c r="M45" i="30"/>
  <c r="M58" i="30"/>
  <c r="M18" i="30"/>
  <c r="M14" i="30"/>
  <c r="M11" i="30"/>
  <c r="M9" i="30"/>
  <c r="M7" i="30"/>
  <c r="M30" i="30"/>
  <c r="M29" i="30"/>
  <c r="I28" i="30" s="1"/>
  <c r="M23" i="30"/>
  <c r="I25" i="30" s="1"/>
  <c r="M16" i="30"/>
  <c r="M57" i="30"/>
  <c r="M201" i="30"/>
  <c r="M59" i="30"/>
  <c r="M51" i="30"/>
  <c r="M44" i="30"/>
  <c r="M39" i="30"/>
  <c r="M37" i="30"/>
  <c r="M35" i="30"/>
  <c r="M52" i="30"/>
  <c r="M46" i="30"/>
  <c r="M42" i="30"/>
  <c r="M32" i="30"/>
  <c r="M31" i="30"/>
  <c r="M8" i="30"/>
  <c r="I60" i="30"/>
  <c r="I58" i="30"/>
  <c r="I59" i="30"/>
  <c r="I57" i="30"/>
  <c r="I56" i="30"/>
  <c r="I45" i="30"/>
  <c r="I43" i="30"/>
  <c r="I46" i="30"/>
  <c r="I44" i="30"/>
  <c r="I42" i="30"/>
  <c r="I32" i="30"/>
  <c r="I31" i="30"/>
  <c r="I24" i="30"/>
  <c r="I17" i="30"/>
  <c r="I23" i="30"/>
  <c r="I16" i="30"/>
  <c r="I8" i="30"/>
  <c r="I38" i="30"/>
  <c r="I36" i="30"/>
  <c r="I39" i="30"/>
  <c r="I37" i="30"/>
  <c r="I35" i="30"/>
  <c r="I21" i="30"/>
  <c r="I14" i="30"/>
  <c r="I9" i="30"/>
  <c r="I7" i="30"/>
  <c r="I30" i="30"/>
  <c r="I29" i="30"/>
  <c r="I22" i="30"/>
  <c r="I15" i="30"/>
  <c r="I10" i="30"/>
  <c r="I52" i="30"/>
  <c r="I53" i="30"/>
  <c r="I50" i="30"/>
  <c r="I51" i="30"/>
  <c r="I49" i="30"/>
  <c r="M50" i="31"/>
  <c r="M43" i="31"/>
  <c r="M38" i="31"/>
  <c r="M31" i="31"/>
  <c r="I30" i="31" s="1"/>
  <c r="M29" i="31"/>
  <c r="M53" i="31"/>
  <c r="M36" i="31"/>
  <c r="M60" i="31"/>
  <c r="M59" i="31"/>
  <c r="M56" i="31"/>
  <c r="M57" i="31"/>
  <c r="M49" i="31"/>
  <c r="M44" i="31"/>
  <c r="M35" i="31"/>
  <c r="M58" i="31"/>
  <c r="M51" i="31"/>
  <c r="M52" i="31"/>
  <c r="M45" i="31"/>
  <c r="M39" i="31"/>
  <c r="I31" i="31"/>
  <c r="I28" i="31"/>
  <c r="M24" i="31"/>
  <c r="M22" i="31"/>
  <c r="M46" i="31"/>
  <c r="M42" i="31"/>
  <c r="M37" i="31"/>
  <c r="M23" i="31"/>
  <c r="M14" i="31"/>
  <c r="I16" i="31" s="1"/>
  <c r="M7" i="31"/>
  <c r="M11" i="31"/>
  <c r="I7" i="31" s="1"/>
  <c r="I52" i="31"/>
  <c r="I50" i="31"/>
  <c r="I53" i="31"/>
  <c r="I51" i="31"/>
  <c r="I49" i="31"/>
  <c r="I39" i="31"/>
  <c r="I37" i="31"/>
  <c r="I35" i="31"/>
  <c r="I38" i="31"/>
  <c r="I36" i="31"/>
  <c r="I22" i="31"/>
  <c r="I46" i="31"/>
  <c r="I44" i="31"/>
  <c r="I42" i="31"/>
  <c r="I45" i="31"/>
  <c r="I43" i="31"/>
  <c r="I23" i="31"/>
  <c r="I14" i="31"/>
  <c r="I29" i="31"/>
  <c r="I15" i="31"/>
  <c r="I21" i="31"/>
  <c r="I8" i="31"/>
  <c r="I59" i="31"/>
  <c r="I57" i="31"/>
  <c r="I60" i="31"/>
  <c r="I58" i="31"/>
  <c r="I56" i="31"/>
  <c r="M60" i="17"/>
  <c r="M59" i="17"/>
  <c r="M56" i="17"/>
  <c r="M58" i="17"/>
  <c r="M53" i="17"/>
  <c r="M51" i="17"/>
  <c r="M52" i="17"/>
  <c r="M45" i="17"/>
  <c r="M39" i="17"/>
  <c r="M35" i="17"/>
  <c r="M43" i="17"/>
  <c r="M50" i="17"/>
  <c r="M42" i="17"/>
  <c r="M38" i="17"/>
  <c r="M24" i="17"/>
  <c r="M22" i="17"/>
  <c r="M29" i="17"/>
  <c r="M11" i="17"/>
  <c r="M8" i="17"/>
  <c r="M25" i="17"/>
  <c r="M21" i="17"/>
  <c r="M9" i="17"/>
  <c r="M14" i="17"/>
  <c r="M7" i="17"/>
  <c r="M57" i="17"/>
  <c r="M49" i="17"/>
  <c r="M44" i="17"/>
  <c r="M36" i="17"/>
  <c r="M46" i="17"/>
  <c r="M37" i="17"/>
  <c r="M23" i="17"/>
  <c r="I24" i="17" s="1"/>
  <c r="M10" i="17"/>
  <c r="I39" i="17"/>
  <c r="I37" i="17"/>
  <c r="I35" i="17"/>
  <c r="I38" i="17"/>
  <c r="I36" i="17"/>
  <c r="I52" i="17"/>
  <c r="I50" i="17"/>
  <c r="I53" i="17"/>
  <c r="I51" i="17"/>
  <c r="I49" i="17"/>
  <c r="I30" i="17"/>
  <c r="I23" i="17"/>
  <c r="I28" i="17"/>
  <c r="I31" i="17"/>
  <c r="I29" i="17"/>
  <c r="I46" i="17"/>
  <c r="I44" i="17"/>
  <c r="I42" i="17"/>
  <c r="I45" i="17"/>
  <c r="I43" i="17"/>
  <c r="I8" i="17"/>
  <c r="I21" i="17"/>
  <c r="I9" i="17"/>
  <c r="I7" i="17"/>
  <c r="M17" i="17"/>
  <c r="I59" i="17"/>
  <c r="I57" i="17"/>
  <c r="I60" i="17"/>
  <c r="I58" i="17"/>
  <c r="I56" i="17"/>
  <c r="M9" i="28"/>
  <c r="I9" i="28" s="1"/>
  <c r="M10" i="28"/>
  <c r="I7" i="28"/>
  <c r="I10" i="28"/>
  <c r="H110" i="28"/>
  <c r="I8" i="28"/>
  <c r="H107" i="28" s="1"/>
  <c r="B152" i="39" l="1"/>
  <c r="C153" i="39" s="1"/>
  <c r="E151" i="39" s="1"/>
  <c r="H147" i="39" s="1"/>
  <c r="B150" i="39"/>
  <c r="C165" i="39" s="1"/>
  <c r="E165" i="39" s="1"/>
  <c r="B148" i="39"/>
  <c r="C149" i="39" s="1"/>
  <c r="E157" i="39" s="1"/>
  <c r="H156" i="39" s="1"/>
  <c r="B146" i="39"/>
  <c r="C163" i="39" s="1"/>
  <c r="E169" i="39" s="1"/>
  <c r="B144" i="39"/>
  <c r="C145" i="39" s="1"/>
  <c r="E143" i="39" s="1"/>
  <c r="H152" i="39" s="1"/>
  <c r="B142" i="39"/>
  <c r="C161" i="39" s="1"/>
  <c r="E162" i="39" s="1"/>
  <c r="H164" i="39" s="1"/>
  <c r="B140" i="39"/>
  <c r="C141" i="39" s="1"/>
  <c r="E155" i="39" s="1"/>
  <c r="H159" i="39" s="1"/>
  <c r="B114" i="39"/>
  <c r="C115" i="39" s="1"/>
  <c r="E119" i="39" s="1"/>
  <c r="H121" i="39" s="1"/>
  <c r="B112" i="39"/>
  <c r="C127" i="39" s="1"/>
  <c r="E128" i="39" s="1"/>
  <c r="H126" i="39" s="1"/>
  <c r="B110" i="39"/>
  <c r="C111" i="39" s="1"/>
  <c r="E113" i="39" s="1"/>
  <c r="H114" i="39" s="1"/>
  <c r="B108" i="39"/>
  <c r="C125" i="39" s="1"/>
  <c r="E124" i="39" s="1"/>
  <c r="H129" i="39" s="1"/>
  <c r="B106" i="39"/>
  <c r="C107" i="39" s="1"/>
  <c r="E117" i="39" s="1"/>
  <c r="H118" i="39" s="1"/>
  <c r="B104" i="39"/>
  <c r="C123" i="39" s="1"/>
  <c r="E131" i="39" s="1"/>
  <c r="H132" i="39" s="1"/>
  <c r="B102" i="39"/>
  <c r="C103" i="39" s="1"/>
  <c r="E105" i="39" s="1"/>
  <c r="H109" i="39" s="1"/>
  <c r="B116" i="39"/>
  <c r="C129" i="39" s="1"/>
  <c r="E133" i="39" s="1"/>
  <c r="H135" i="39" s="1"/>
  <c r="B154" i="29"/>
  <c r="C167" i="29" s="1"/>
  <c r="B148" i="29"/>
  <c r="C148" i="29" s="1"/>
  <c r="B116" i="29"/>
  <c r="C115" i="29" s="1"/>
  <c r="E113" i="29" s="1"/>
  <c r="H114" i="29" s="1"/>
  <c r="B152" i="29"/>
  <c r="C153" i="29" s="1"/>
  <c r="E151" i="29" s="1"/>
  <c r="H152" i="29" s="1"/>
  <c r="B144" i="29"/>
  <c r="C144" i="29" s="1"/>
  <c r="B142" i="29"/>
  <c r="C141" i="29" s="1"/>
  <c r="E155" i="29" s="1"/>
  <c r="H159" i="29" s="1"/>
  <c r="B140" i="29"/>
  <c r="C161" i="29" s="1"/>
  <c r="B114" i="29"/>
  <c r="C129" i="29" s="1"/>
  <c r="E133" i="29" s="1"/>
  <c r="H135" i="29" s="1"/>
  <c r="B112" i="29"/>
  <c r="C111" i="29" s="1"/>
  <c r="E119" i="29" s="1"/>
  <c r="H121" i="29" s="1"/>
  <c r="B110" i="29"/>
  <c r="C127" i="29" s="1"/>
  <c r="E128" i="29" s="1"/>
  <c r="H129" i="29" s="1"/>
  <c r="B108" i="29"/>
  <c r="C125" i="29" s="1"/>
  <c r="E131" i="29" s="1"/>
  <c r="H132" i="29" s="1"/>
  <c r="B106" i="29"/>
  <c r="C107" i="29" s="1"/>
  <c r="E105" i="29" s="1"/>
  <c r="H109" i="29" s="1"/>
  <c r="B104" i="29"/>
  <c r="C123" i="29" s="1"/>
  <c r="E124" i="29" s="1"/>
  <c r="H126" i="29" s="1"/>
  <c r="B102" i="29"/>
  <c r="C103" i="29" s="1"/>
  <c r="E117" i="29" s="1"/>
  <c r="H118" i="29" s="1"/>
  <c r="I11" i="30"/>
  <c r="I18" i="30"/>
  <c r="B201" i="30"/>
  <c r="B150" i="30"/>
  <c r="C149" i="30" s="1"/>
  <c r="E157" i="30" s="1"/>
  <c r="H159" i="30" s="1"/>
  <c r="B146" i="30"/>
  <c r="C145" i="30" s="1"/>
  <c r="E155" i="30" s="1"/>
  <c r="H156" i="30" s="1"/>
  <c r="B142" i="30"/>
  <c r="C141" i="30" s="1"/>
  <c r="E143" i="30" s="1"/>
  <c r="H152" i="30" s="1"/>
  <c r="B114" i="30"/>
  <c r="C129" i="30" s="1"/>
  <c r="B110" i="30"/>
  <c r="C111" i="30" s="1"/>
  <c r="E119" i="30" s="1"/>
  <c r="H121" i="30" s="1"/>
  <c r="B106" i="30"/>
  <c r="C107" i="30" s="1"/>
  <c r="E117" i="30" s="1"/>
  <c r="H118" i="30" s="1"/>
  <c r="B102" i="30"/>
  <c r="C123" i="30" s="1"/>
  <c r="E124" i="30" s="1"/>
  <c r="B200" i="30"/>
  <c r="B116" i="30"/>
  <c r="C115" i="30" s="1"/>
  <c r="E113" i="30" s="1"/>
  <c r="H109" i="30" s="1"/>
  <c r="B203" i="30"/>
  <c r="B152" i="30"/>
  <c r="C167" i="30" s="1"/>
  <c r="E166" i="30" s="1"/>
  <c r="B148" i="30"/>
  <c r="C165" i="30" s="1"/>
  <c r="E171" i="30" s="1"/>
  <c r="B144" i="30"/>
  <c r="C163" i="30" s="1"/>
  <c r="E169" i="30" s="1"/>
  <c r="G169" i="30" s="1"/>
  <c r="B140" i="30"/>
  <c r="C161" i="30" s="1"/>
  <c r="E162" i="30" s="1"/>
  <c r="B112" i="30"/>
  <c r="C127" i="30" s="1"/>
  <c r="B108" i="30"/>
  <c r="C125" i="30" s="1"/>
  <c r="E131" i="30" s="1"/>
  <c r="B104" i="30"/>
  <c r="C103" i="30" s="1"/>
  <c r="E105" i="30" s="1"/>
  <c r="H114" i="30" s="1"/>
  <c r="B202" i="30"/>
  <c r="B154" i="30"/>
  <c r="C153" i="30" s="1"/>
  <c r="E151" i="30" s="1"/>
  <c r="H147" i="30" s="1"/>
  <c r="I9" i="31"/>
  <c r="I24" i="31"/>
  <c r="B154" i="31"/>
  <c r="C167" i="31" s="1"/>
  <c r="B148" i="31"/>
  <c r="C148" i="31" s="1"/>
  <c r="B116" i="31"/>
  <c r="C115" i="31" s="1"/>
  <c r="E113" i="31" s="1"/>
  <c r="H109" i="31" s="1"/>
  <c r="B152" i="31"/>
  <c r="C153" i="31" s="1"/>
  <c r="E151" i="31" s="1"/>
  <c r="H147" i="31" s="1"/>
  <c r="B144" i="31"/>
  <c r="C144" i="31" s="1"/>
  <c r="B142" i="31"/>
  <c r="C161" i="31" s="1"/>
  <c r="B140" i="31"/>
  <c r="C141" i="31" s="1"/>
  <c r="E155" i="31" s="1"/>
  <c r="H159" i="31" s="1"/>
  <c r="B114" i="31"/>
  <c r="C129" i="31" s="1"/>
  <c r="E128" i="31" s="1"/>
  <c r="H126" i="31" s="1"/>
  <c r="B112" i="31"/>
  <c r="C111" i="31" s="1"/>
  <c r="E119" i="31" s="1"/>
  <c r="H121" i="31" s="1"/>
  <c r="B110" i="31"/>
  <c r="C127" i="31" s="1"/>
  <c r="E133" i="31" s="1"/>
  <c r="H135" i="31" s="1"/>
  <c r="B108" i="31"/>
  <c r="C125" i="31" s="1"/>
  <c r="E124" i="31" s="1"/>
  <c r="H129" i="31" s="1"/>
  <c r="B106" i="31"/>
  <c r="C107" i="31" s="1"/>
  <c r="E117" i="31" s="1"/>
  <c r="H118" i="31" s="1"/>
  <c r="B104" i="31"/>
  <c r="C123" i="31" s="1"/>
  <c r="E131" i="31" s="1"/>
  <c r="H132" i="31" s="1"/>
  <c r="B102" i="31"/>
  <c r="C103" i="31" s="1"/>
  <c r="E105" i="31" s="1"/>
  <c r="H114" i="31" s="1"/>
  <c r="I22" i="17"/>
  <c r="B154" i="17"/>
  <c r="C167" i="17" s="1"/>
  <c r="B148" i="17"/>
  <c r="C148" i="17" s="1"/>
  <c r="B116" i="17"/>
  <c r="C129" i="17" s="1"/>
  <c r="E133" i="17" s="1"/>
  <c r="H132" i="17" s="1"/>
  <c r="B152" i="17"/>
  <c r="C153" i="17" s="1"/>
  <c r="E157" i="17" s="1"/>
  <c r="H156" i="17" s="1"/>
  <c r="B144" i="17"/>
  <c r="C144" i="17" s="1"/>
  <c r="B142" i="17"/>
  <c r="C141" i="17" s="1"/>
  <c r="E143" i="17" s="1"/>
  <c r="H147" i="17" s="1"/>
  <c r="B140" i="17"/>
  <c r="C161" i="17" s="1"/>
  <c r="B114" i="17"/>
  <c r="C115" i="17" s="1"/>
  <c r="E119" i="17" s="1"/>
  <c r="H118" i="17" s="1"/>
  <c r="B112" i="17"/>
  <c r="C111" i="17" s="1"/>
  <c r="E113" i="17" s="1"/>
  <c r="H114" i="17" s="1"/>
  <c r="B110" i="17"/>
  <c r="C127" i="17" s="1"/>
  <c r="E128" i="17" s="1"/>
  <c r="H126" i="17" s="1"/>
  <c r="B108" i="17"/>
  <c r="C107" i="17" s="1"/>
  <c r="E117" i="17" s="1"/>
  <c r="H121" i="17" s="1"/>
  <c r="B106" i="17"/>
  <c r="C125" i="17" s="1"/>
  <c r="E124" i="17" s="1"/>
  <c r="H129" i="17" s="1"/>
  <c r="B104" i="17"/>
  <c r="C123" i="17" s="1"/>
  <c r="E131" i="17" s="1"/>
  <c r="H135" i="17" s="1"/>
  <c r="B102" i="17"/>
  <c r="C103" i="17" s="1"/>
  <c r="E105" i="17" s="1"/>
  <c r="H109" i="17" s="1"/>
  <c r="H104" i="28"/>
  <c r="H101" i="28"/>
  <c r="H113" i="28"/>
  <c r="B312" i="39" l="1"/>
  <c r="B311" i="39"/>
  <c r="B310" i="39"/>
  <c r="B309" i="39"/>
  <c r="B308" i="39"/>
  <c r="B307" i="39"/>
  <c r="B306" i="39"/>
  <c r="B305" i="39"/>
  <c r="B304" i="39"/>
  <c r="B303" i="39"/>
  <c r="B302" i="39"/>
  <c r="B301" i="39"/>
  <c r="B300" i="39"/>
  <c r="E171" i="39"/>
  <c r="G171" i="39" s="1"/>
  <c r="E166" i="39"/>
  <c r="H167" i="39" s="1"/>
  <c r="B307" i="29"/>
  <c r="B305" i="29"/>
  <c r="B303" i="29"/>
  <c r="B301" i="29"/>
  <c r="B306" i="29"/>
  <c r="B304" i="29"/>
  <c r="B302" i="29"/>
  <c r="B300" i="29"/>
  <c r="C149" i="29"/>
  <c r="E157" i="29" s="1"/>
  <c r="H156" i="29" s="1"/>
  <c r="C165" i="29"/>
  <c r="E165" i="29" s="1"/>
  <c r="E161" i="29"/>
  <c r="C163" i="29"/>
  <c r="E163" i="29" s="1"/>
  <c r="C145" i="29"/>
  <c r="E143" i="29" s="1"/>
  <c r="H147" i="29" s="1"/>
  <c r="E167" i="29"/>
  <c r="B303" i="30"/>
  <c r="E301" i="30"/>
  <c r="E300" i="30"/>
  <c r="B309" i="30"/>
  <c r="B308" i="30"/>
  <c r="B302" i="30"/>
  <c r="B301" i="30"/>
  <c r="B300" i="30"/>
  <c r="G171" i="30"/>
  <c r="H170" i="30" s="1"/>
  <c r="M199" i="30"/>
  <c r="I204" i="30" s="1"/>
  <c r="C149" i="31"/>
  <c r="E157" i="31" s="1"/>
  <c r="H156" i="31" s="1"/>
  <c r="C165" i="31"/>
  <c r="E165" i="31" s="1"/>
  <c r="C163" i="31"/>
  <c r="E163" i="31" s="1"/>
  <c r="C145" i="31"/>
  <c r="E143" i="31" s="1"/>
  <c r="H152" i="31" s="1"/>
  <c r="B311" i="31" s="1"/>
  <c r="B308" i="31"/>
  <c r="B307" i="31"/>
  <c r="B306" i="31"/>
  <c r="B305" i="31"/>
  <c r="B304" i="31"/>
  <c r="B303" i="31"/>
  <c r="B302" i="31"/>
  <c r="B301" i="31"/>
  <c r="B300" i="31"/>
  <c r="E167" i="31"/>
  <c r="B308" i="17"/>
  <c r="B307" i="17"/>
  <c r="B306" i="17"/>
  <c r="B305" i="17"/>
  <c r="B304" i="17"/>
  <c r="B303" i="17"/>
  <c r="B302" i="17"/>
  <c r="B301" i="17"/>
  <c r="B300" i="17"/>
  <c r="C149" i="17"/>
  <c r="E151" i="17" s="1"/>
  <c r="H152" i="17" s="1"/>
  <c r="C165" i="17"/>
  <c r="E165" i="17" s="1"/>
  <c r="C163" i="17"/>
  <c r="E163" i="17" s="1"/>
  <c r="C145" i="17"/>
  <c r="E155" i="17" s="1"/>
  <c r="H159" i="17" s="1"/>
  <c r="B302" i="28"/>
  <c r="B300" i="28"/>
  <c r="B301" i="28"/>
  <c r="B299" i="28"/>
  <c r="B309" i="31" l="1"/>
  <c r="B310" i="31"/>
  <c r="AK9" i="16"/>
  <c r="AK11" i="16"/>
  <c r="AK13" i="16"/>
  <c r="AK15" i="16"/>
  <c r="AK17" i="16"/>
  <c r="AK19" i="16"/>
  <c r="AK23" i="16"/>
  <c r="AK25" i="16"/>
  <c r="AK27" i="16"/>
  <c r="AK35" i="16"/>
  <c r="AK37" i="16"/>
  <c r="AK47" i="16"/>
  <c r="AK7" i="16"/>
  <c r="AK8" i="16"/>
  <c r="AK12" i="16"/>
  <c r="AK14" i="16"/>
  <c r="AK16" i="16"/>
  <c r="AK18" i="16"/>
  <c r="AK20" i="16"/>
  <c r="AK22" i="16"/>
  <c r="AK24" i="16"/>
  <c r="AK32" i="16"/>
  <c r="AK42" i="16"/>
  <c r="AK44" i="16"/>
  <c r="AI7" i="16"/>
  <c r="AI11" i="16"/>
  <c r="AI13" i="16"/>
  <c r="AI15" i="16"/>
  <c r="AI17" i="16"/>
  <c r="AI19" i="16"/>
  <c r="AI21" i="16"/>
  <c r="AI27" i="16"/>
  <c r="AI8" i="16"/>
  <c r="AI12" i="16"/>
  <c r="AI14" i="16"/>
  <c r="AI18" i="16"/>
  <c r="AI20" i="16"/>
  <c r="AI22" i="16"/>
  <c r="AI24" i="16"/>
  <c r="AI26" i="16"/>
  <c r="AI40" i="16"/>
  <c r="AI46" i="16"/>
  <c r="AM7" i="16"/>
  <c r="AM9" i="16"/>
  <c r="AM13" i="16"/>
  <c r="AM15" i="16"/>
  <c r="AM17" i="16"/>
  <c r="AM19" i="16"/>
  <c r="AM21" i="16"/>
  <c r="AM23" i="16"/>
  <c r="AM25" i="16"/>
  <c r="AM27" i="16"/>
  <c r="AM33" i="16"/>
  <c r="AM37" i="16"/>
  <c r="AM8" i="16"/>
  <c r="AM12" i="16"/>
  <c r="AM18" i="16"/>
  <c r="AM20" i="16"/>
  <c r="AM28" i="16"/>
  <c r="AM30" i="16"/>
  <c r="AM34" i="16"/>
  <c r="AM45" i="16"/>
  <c r="AM47" i="16"/>
  <c r="AM53" i="16"/>
  <c r="AM61" i="16"/>
  <c r="AM42" i="16"/>
  <c r="AM44" i="16"/>
  <c r="AM48" i="16"/>
  <c r="AM60" i="16"/>
  <c r="E167" i="17"/>
  <c r="E166" i="17" s="1"/>
  <c r="H167" i="17" s="1"/>
  <c r="G169" i="39"/>
  <c r="B313" i="39"/>
  <c r="AM11" i="16" s="1"/>
  <c r="E171" i="29"/>
  <c r="G171" i="29" s="1"/>
  <c r="E166" i="29"/>
  <c r="H167" i="29" s="1"/>
  <c r="B308" i="29"/>
  <c r="B311" i="29"/>
  <c r="E169" i="29"/>
  <c r="G169" i="29" s="1"/>
  <c r="E162" i="29"/>
  <c r="H164" i="29" s="1"/>
  <c r="B313" i="29" s="1"/>
  <c r="B310" i="29"/>
  <c r="B309" i="29"/>
  <c r="H173" i="30"/>
  <c r="I201" i="30"/>
  <c r="I200" i="30"/>
  <c r="I203" i="30"/>
  <c r="I202" i="30"/>
  <c r="E171" i="31"/>
  <c r="G171" i="31" s="1"/>
  <c r="E166" i="31"/>
  <c r="H167" i="31" s="1"/>
  <c r="E161" i="31"/>
  <c r="E161" i="17"/>
  <c r="E171" i="17"/>
  <c r="G171" i="17" s="1"/>
  <c r="B310" i="17"/>
  <c r="E169" i="17"/>
  <c r="G169" i="17" s="1"/>
  <c r="E162" i="17"/>
  <c r="H164" i="17" s="1"/>
  <c r="B309" i="17"/>
  <c r="AI23" i="16" s="1"/>
  <c r="B311" i="17"/>
  <c r="AI65" i="16" l="1"/>
  <c r="AI28" i="16"/>
  <c r="AI16" i="16"/>
  <c r="AI25" i="16"/>
  <c r="AM10" i="16"/>
  <c r="AI10" i="16"/>
  <c r="B313" i="17"/>
  <c r="H173" i="39"/>
  <c r="H170" i="39"/>
  <c r="B314" i="39" s="1"/>
  <c r="H173" i="29"/>
  <c r="H170" i="29"/>
  <c r="B312" i="29"/>
  <c r="H219" i="30"/>
  <c r="H213" i="30"/>
  <c r="H216" i="30"/>
  <c r="H210" i="30"/>
  <c r="E309" i="30" s="1"/>
  <c r="E306" i="30"/>
  <c r="E169" i="31"/>
  <c r="G169" i="31" s="1"/>
  <c r="E162" i="31"/>
  <c r="H164" i="31" s="1"/>
  <c r="H173" i="17"/>
  <c r="H170" i="17"/>
  <c r="B312" i="17"/>
  <c r="AI35" i="16" l="1"/>
  <c r="AI34" i="16"/>
  <c r="AI43" i="16"/>
  <c r="AI51" i="16"/>
  <c r="AI59" i="16"/>
  <c r="AI50" i="16"/>
  <c r="AI58" i="16"/>
  <c r="AI66" i="16"/>
  <c r="AM35" i="16"/>
  <c r="AM22" i="16"/>
  <c r="AM38" i="16"/>
  <c r="AM51" i="16"/>
  <c r="AM59" i="16"/>
  <c r="AM50" i="16"/>
  <c r="AM58" i="16"/>
  <c r="AM66" i="16"/>
  <c r="AI33" i="16"/>
  <c r="AI32" i="16"/>
  <c r="AI45" i="16"/>
  <c r="AI53" i="16"/>
  <c r="AI61" i="16"/>
  <c r="AI41" i="16"/>
  <c r="AI48" i="16"/>
  <c r="AI56" i="16"/>
  <c r="AI64" i="16"/>
  <c r="AM29" i="16"/>
  <c r="AM24" i="16"/>
  <c r="AM36" i="16"/>
  <c r="AM49" i="16"/>
  <c r="AM65" i="16"/>
  <c r="AM52" i="16"/>
  <c r="AM64" i="16"/>
  <c r="AI31" i="16"/>
  <c r="AI39" i="16"/>
  <c r="AI30" i="16"/>
  <c r="AI38" i="16"/>
  <c r="AI47" i="16"/>
  <c r="AI55" i="16"/>
  <c r="AI63" i="16"/>
  <c r="AI42" i="16"/>
  <c r="AI54" i="16"/>
  <c r="AI62" i="16"/>
  <c r="AM31" i="16"/>
  <c r="AM39" i="16"/>
  <c r="AM14" i="16"/>
  <c r="AM26" i="16"/>
  <c r="AM43" i="16"/>
  <c r="AM55" i="16"/>
  <c r="AM63" i="16"/>
  <c r="AM46" i="16"/>
  <c r="AM54" i="16"/>
  <c r="AM62" i="16"/>
  <c r="AI9" i="16"/>
  <c r="AI29" i="16"/>
  <c r="AI37" i="16"/>
  <c r="AI36" i="16"/>
  <c r="AI49" i="16"/>
  <c r="AI57" i="16"/>
  <c r="AI44" i="16"/>
  <c r="AI52" i="16"/>
  <c r="AI60" i="16"/>
  <c r="AM16" i="16"/>
  <c r="AM32" i="16"/>
  <c r="AM40" i="16"/>
  <c r="AM57" i="16"/>
  <c r="AM41" i="16"/>
  <c r="AM56" i="16"/>
  <c r="E308" i="30"/>
  <c r="E307" i="30"/>
  <c r="B312" i="31"/>
  <c r="B313" i="31"/>
  <c r="H173" i="31"/>
  <c r="H170" i="31"/>
  <c r="AK21" i="16" l="1"/>
  <c r="AK29" i="16"/>
  <c r="AK33" i="16"/>
  <c r="AK41" i="16"/>
  <c r="AK45" i="16"/>
  <c r="AK49" i="16"/>
  <c r="AK53" i="16"/>
  <c r="AK57" i="16"/>
  <c r="AK61" i="16"/>
  <c r="AK65" i="16"/>
  <c r="AK10" i="16"/>
  <c r="AK26" i="16"/>
  <c r="AK30" i="16"/>
  <c r="AK34" i="16"/>
  <c r="AK38" i="16"/>
  <c r="AK46" i="16"/>
  <c r="AK50" i="16"/>
  <c r="AK54" i="16"/>
  <c r="AK58" i="16"/>
  <c r="AK62" i="16"/>
  <c r="AK66" i="16"/>
  <c r="AK31" i="16"/>
  <c r="AK39" i="16"/>
  <c r="AK43" i="16"/>
  <c r="AK51" i="16"/>
  <c r="AK55" i="16"/>
  <c r="AK59" i="16"/>
  <c r="AK63" i="16"/>
  <c r="AK28" i="16"/>
  <c r="AK36" i="16"/>
  <c r="AK40" i="16"/>
  <c r="AK48" i="16"/>
  <c r="AK52" i="16"/>
  <c r="AK56" i="16"/>
  <c r="AK60" i="16"/>
  <c r="AK64" i="16"/>
  <c r="A4" i="25"/>
  <c r="A2" i="25"/>
  <c r="AE18" i="25" l="1"/>
  <c r="AC18" i="25"/>
  <c r="AF18" i="25" s="1"/>
  <c r="AA18" i="25"/>
  <c r="V18" i="25"/>
  <c r="R18" i="25"/>
  <c r="J18" i="25"/>
  <c r="F18" i="25"/>
  <c r="AE17" i="25"/>
  <c r="AC17" i="25"/>
  <c r="AF17" i="25" s="1"/>
  <c r="AA17" i="25"/>
  <c r="R17" i="25"/>
  <c r="N17" i="25"/>
  <c r="J17" i="25"/>
  <c r="F17" i="25"/>
  <c r="AE16" i="25"/>
  <c r="AC16" i="25"/>
  <c r="AF16" i="25" s="1"/>
  <c r="AA16" i="25"/>
  <c r="V16" i="25"/>
  <c r="R16" i="25"/>
  <c r="N16" i="25"/>
  <c r="F16" i="25"/>
  <c r="AE15" i="25"/>
  <c r="AC15" i="25"/>
  <c r="AF15" i="25" s="1"/>
  <c r="AA15" i="25"/>
  <c r="V15" i="25"/>
  <c r="R15" i="25"/>
  <c r="N15" i="25"/>
  <c r="J15" i="25"/>
  <c r="F15" i="25"/>
  <c r="AE14" i="25"/>
  <c r="AC14" i="25"/>
  <c r="AF14" i="25" s="1"/>
  <c r="AA14" i="25"/>
  <c r="V14" i="25"/>
  <c r="N14" i="25"/>
  <c r="J14" i="25"/>
  <c r="F14" i="25"/>
  <c r="AE13" i="25"/>
  <c r="AC13" i="25"/>
  <c r="AA13" i="25"/>
  <c r="V13" i="25"/>
  <c r="R13" i="25"/>
  <c r="N13" i="25"/>
  <c r="J13" i="25"/>
  <c r="F13" i="25"/>
  <c r="AE12" i="25"/>
  <c r="AC12" i="25"/>
  <c r="AF12" i="25" s="1"/>
  <c r="AA12" i="25"/>
  <c r="V12" i="25"/>
  <c r="R12" i="25"/>
  <c r="N12" i="25"/>
  <c r="J12" i="25"/>
  <c r="F12" i="25"/>
  <c r="AE11" i="25"/>
  <c r="AC11" i="25"/>
  <c r="AF11" i="25" s="1"/>
  <c r="AA11" i="25"/>
  <c r="V11" i="25"/>
  <c r="R11" i="25"/>
  <c r="N11" i="25"/>
  <c r="J11" i="25"/>
  <c r="F11" i="25"/>
  <c r="AE10" i="25"/>
  <c r="AC10" i="25"/>
  <c r="AF10" i="25" s="1"/>
  <c r="AA10" i="25"/>
  <c r="V10" i="25"/>
  <c r="R10" i="25"/>
  <c r="N10" i="25"/>
  <c r="J10" i="25"/>
  <c r="F10" i="25"/>
  <c r="AE9" i="25"/>
  <c r="AC9" i="25"/>
  <c r="AF9" i="25" s="1"/>
  <c r="AA9" i="25"/>
  <c r="V9" i="25"/>
  <c r="R9" i="25"/>
  <c r="N9" i="25"/>
  <c r="J9" i="25"/>
  <c r="AE8" i="25"/>
  <c r="AC8" i="25"/>
  <c r="AF8" i="25" s="1"/>
  <c r="AA8" i="25"/>
  <c r="V8" i="25"/>
  <c r="R8" i="25"/>
  <c r="N8" i="25"/>
  <c r="J8" i="25"/>
  <c r="F8" i="25"/>
  <c r="J1" i="25"/>
  <c r="F1" i="25"/>
  <c r="AJ18" i="18"/>
  <c r="AI18" i="18" s="1"/>
  <c r="AL18" i="18"/>
  <c r="AK18" i="18" s="1"/>
  <c r="AN18" i="18"/>
  <c r="AM18" i="18" s="1"/>
  <c r="AP18" i="18"/>
  <c r="AO18" i="18" s="1"/>
  <c r="AJ19" i="18"/>
  <c r="AI19" i="18" s="1"/>
  <c r="AL19" i="18"/>
  <c r="AK19" i="18" s="1"/>
  <c r="AN19" i="18"/>
  <c r="AM19" i="18" s="1"/>
  <c r="AP19" i="18"/>
  <c r="AO19" i="18" s="1"/>
  <c r="AJ20" i="18"/>
  <c r="AI20" i="18" s="1"/>
  <c r="AL20" i="18"/>
  <c r="AK20" i="18" s="1"/>
  <c r="AN20" i="18"/>
  <c r="AM20" i="18" s="1"/>
  <c r="AP20" i="18"/>
  <c r="AO20" i="18" s="1"/>
  <c r="A4" i="18"/>
  <c r="A2" i="18"/>
  <c r="C309" i="18"/>
  <c r="C308" i="18"/>
  <c r="C307" i="18"/>
  <c r="B306" i="18"/>
  <c r="C304" i="18"/>
  <c r="C303" i="18"/>
  <c r="C302" i="18"/>
  <c r="C301" i="18"/>
  <c r="C300" i="18"/>
  <c r="AP17" i="18"/>
  <c r="AO17" i="18" s="1"/>
  <c r="AN17" i="18"/>
  <c r="AM17" i="18" s="1"/>
  <c r="AL17" i="18"/>
  <c r="AJ17" i="18"/>
  <c r="AE17" i="18"/>
  <c r="AC17" i="18"/>
  <c r="AA17" i="18"/>
  <c r="V17" i="18"/>
  <c r="R17" i="18"/>
  <c r="N17" i="18"/>
  <c r="J17" i="18"/>
  <c r="F17" i="18"/>
  <c r="AP16" i="18"/>
  <c r="AO16" i="18" s="1"/>
  <c r="AN16" i="18"/>
  <c r="AM16" i="18" s="1"/>
  <c r="AL16" i="18"/>
  <c r="AJ16" i="18"/>
  <c r="AE16" i="18"/>
  <c r="AC16" i="18"/>
  <c r="AA16" i="18"/>
  <c r="V16" i="18"/>
  <c r="R16" i="18"/>
  <c r="N16" i="18"/>
  <c r="J16" i="18"/>
  <c r="F16" i="18"/>
  <c r="AP15" i="18"/>
  <c r="AN15" i="18"/>
  <c r="AL15" i="18"/>
  <c r="AK15" i="18" s="1"/>
  <c r="AJ15" i="18"/>
  <c r="AE15" i="18"/>
  <c r="AC15" i="18"/>
  <c r="AA15" i="18"/>
  <c r="V15" i="18"/>
  <c r="R15" i="18"/>
  <c r="N15" i="18"/>
  <c r="J15" i="18"/>
  <c r="F15" i="18"/>
  <c r="AP14" i="18"/>
  <c r="AO14" i="18" s="1"/>
  <c r="AN14" i="18"/>
  <c r="AM14" i="18" s="1"/>
  <c r="AL14" i="18"/>
  <c r="AJ14" i="18"/>
  <c r="AE14" i="18"/>
  <c r="AC14" i="18"/>
  <c r="AA14" i="18"/>
  <c r="V14" i="18"/>
  <c r="R14" i="18"/>
  <c r="N14" i="18"/>
  <c r="J14" i="18"/>
  <c r="F14" i="18"/>
  <c r="AP13" i="18"/>
  <c r="AO13" i="18" s="1"/>
  <c r="AN13" i="18"/>
  <c r="AM13" i="18" s="1"/>
  <c r="AL13" i="18"/>
  <c r="AJ13" i="18"/>
  <c r="AE13" i="18"/>
  <c r="AC13" i="18"/>
  <c r="AF13" i="18" s="1"/>
  <c r="AA13" i="18"/>
  <c r="V13" i="18"/>
  <c r="R13" i="18"/>
  <c r="N13" i="18"/>
  <c r="J13" i="18"/>
  <c r="F13" i="18"/>
  <c r="AP12" i="18"/>
  <c r="AO12" i="18" s="1"/>
  <c r="AN12" i="18"/>
  <c r="AM12" i="18" s="1"/>
  <c r="AL12" i="18"/>
  <c r="AJ12" i="18"/>
  <c r="AE12" i="18"/>
  <c r="AC12" i="18"/>
  <c r="AA12" i="18"/>
  <c r="V12" i="18"/>
  <c r="R12" i="18"/>
  <c r="N12" i="18"/>
  <c r="J12" i="18"/>
  <c r="F12" i="18"/>
  <c r="AP11" i="18"/>
  <c r="AO11" i="18" s="1"/>
  <c r="AN11" i="18"/>
  <c r="AM11" i="18" s="1"/>
  <c r="AL11" i="18"/>
  <c r="AJ11" i="18"/>
  <c r="AE11" i="18"/>
  <c r="AC11" i="18"/>
  <c r="AA11" i="18"/>
  <c r="V11" i="18"/>
  <c r="R11" i="18"/>
  <c r="N11" i="18"/>
  <c r="J11" i="18"/>
  <c r="F11" i="18"/>
  <c r="AP10" i="18"/>
  <c r="AO10" i="18" s="1"/>
  <c r="AN10" i="18"/>
  <c r="AM10" i="18" s="1"/>
  <c r="AL10" i="18"/>
  <c r="AJ10" i="18"/>
  <c r="AE10" i="18"/>
  <c r="AC10" i="18"/>
  <c r="AA10" i="18"/>
  <c r="V10" i="18"/>
  <c r="R10" i="18"/>
  <c r="N10" i="18"/>
  <c r="J10" i="18"/>
  <c r="F10" i="18"/>
  <c r="AP9" i="18"/>
  <c r="AO9" i="18" s="1"/>
  <c r="AN9" i="18"/>
  <c r="AM9" i="18" s="1"/>
  <c r="AL9" i="18"/>
  <c r="AJ9" i="18"/>
  <c r="AE9" i="18"/>
  <c r="AC9" i="18"/>
  <c r="AF9" i="18" s="1"/>
  <c r="AA9" i="18"/>
  <c r="V9" i="18"/>
  <c r="R9" i="18"/>
  <c r="N9" i="18"/>
  <c r="J9" i="18"/>
  <c r="F9" i="18"/>
  <c r="AP8" i="18"/>
  <c r="AO8" i="18" s="1"/>
  <c r="AN8" i="18"/>
  <c r="AM8" i="18" s="1"/>
  <c r="AL8" i="18"/>
  <c r="AJ8" i="18"/>
  <c r="AE8" i="18"/>
  <c r="AC8" i="18"/>
  <c r="AA8" i="18"/>
  <c r="V8" i="18"/>
  <c r="R8" i="18"/>
  <c r="N8" i="18"/>
  <c r="J8" i="18"/>
  <c r="F8" i="18"/>
  <c r="J1" i="18"/>
  <c r="F1" i="18"/>
  <c r="AJ18" i="19"/>
  <c r="AI18" i="19" s="1"/>
  <c r="AL18" i="19"/>
  <c r="AK18" i="19" s="1"/>
  <c r="AN18" i="19"/>
  <c r="AM18" i="19" s="1"/>
  <c r="AP18" i="19"/>
  <c r="AO18" i="19" s="1"/>
  <c r="AJ19" i="19"/>
  <c r="AI19" i="19" s="1"/>
  <c r="AL19" i="19"/>
  <c r="AK19" i="19" s="1"/>
  <c r="AN19" i="19"/>
  <c r="AM19" i="19" s="1"/>
  <c r="AP19" i="19"/>
  <c r="AO19" i="19" s="1"/>
  <c r="AJ20" i="19"/>
  <c r="AI20" i="19" s="1"/>
  <c r="AL20" i="19"/>
  <c r="AK20" i="19" s="1"/>
  <c r="AN20" i="19"/>
  <c r="AM20" i="19" s="1"/>
  <c r="AP20" i="19"/>
  <c r="AO20" i="19" s="1"/>
  <c r="A4" i="19"/>
  <c r="A2" i="19"/>
  <c r="C309" i="19"/>
  <c r="C308" i="19"/>
  <c r="C307" i="19"/>
  <c r="C306" i="19"/>
  <c r="C305" i="19"/>
  <c r="B304" i="19"/>
  <c r="C302" i="19"/>
  <c r="C301" i="19"/>
  <c r="C300" i="19"/>
  <c r="AP17" i="19"/>
  <c r="AO17" i="19" s="1"/>
  <c r="AN17" i="19"/>
  <c r="AM17" i="19" s="1"/>
  <c r="AL17" i="19"/>
  <c r="AJ17" i="19"/>
  <c r="AE17" i="19"/>
  <c r="AC17" i="19"/>
  <c r="AA17" i="19"/>
  <c r="V17" i="19"/>
  <c r="R17" i="19"/>
  <c r="N17" i="19"/>
  <c r="J17" i="19"/>
  <c r="F17" i="19"/>
  <c r="AP16" i="19"/>
  <c r="AO16" i="19" s="1"/>
  <c r="AN16" i="19"/>
  <c r="AM16" i="19" s="1"/>
  <c r="AL16" i="19"/>
  <c r="AJ16" i="19"/>
  <c r="AE16" i="19"/>
  <c r="AC16" i="19"/>
  <c r="AA16" i="19"/>
  <c r="V16" i="19"/>
  <c r="R16" i="19"/>
  <c r="N16" i="19"/>
  <c r="J16" i="19"/>
  <c r="F16" i="19"/>
  <c r="AP15" i="19"/>
  <c r="AO15" i="19" s="1"/>
  <c r="AN15" i="19"/>
  <c r="AM15" i="19" s="1"/>
  <c r="AL15" i="19"/>
  <c r="AJ15" i="19"/>
  <c r="AE15" i="19"/>
  <c r="AC15" i="19"/>
  <c r="AA15" i="19"/>
  <c r="V15" i="19"/>
  <c r="R15" i="19"/>
  <c r="N15" i="19"/>
  <c r="J15" i="19"/>
  <c r="F15" i="19"/>
  <c r="AP14" i="19"/>
  <c r="AO14" i="19" s="1"/>
  <c r="AN14" i="19"/>
  <c r="AM14" i="19" s="1"/>
  <c r="AL14" i="19"/>
  <c r="AJ14" i="19"/>
  <c r="AE14" i="19"/>
  <c r="AC14" i="19"/>
  <c r="AA14" i="19"/>
  <c r="V14" i="19"/>
  <c r="R14" i="19"/>
  <c r="N14" i="19"/>
  <c r="J14" i="19"/>
  <c r="F14" i="19"/>
  <c r="AP13" i="19"/>
  <c r="AO13" i="19" s="1"/>
  <c r="AN13" i="19"/>
  <c r="AM13" i="19" s="1"/>
  <c r="AL13" i="19"/>
  <c r="AJ13" i="19"/>
  <c r="AE13" i="19"/>
  <c r="AC13" i="19"/>
  <c r="AF13" i="19" s="1"/>
  <c r="AA13" i="19"/>
  <c r="V13" i="19"/>
  <c r="R13" i="19"/>
  <c r="N13" i="19"/>
  <c r="J13" i="19"/>
  <c r="F13" i="19"/>
  <c r="AP12" i="19"/>
  <c r="AO12" i="19" s="1"/>
  <c r="AN12" i="19"/>
  <c r="AM12" i="19" s="1"/>
  <c r="AL12" i="19"/>
  <c r="AJ12" i="19"/>
  <c r="AE12" i="19"/>
  <c r="AC12" i="19"/>
  <c r="AA12" i="19"/>
  <c r="V12" i="19"/>
  <c r="R12" i="19"/>
  <c r="N12" i="19"/>
  <c r="J12" i="19"/>
  <c r="F12" i="19"/>
  <c r="AP11" i="19"/>
  <c r="AO11" i="19" s="1"/>
  <c r="AN11" i="19"/>
  <c r="AM11" i="19" s="1"/>
  <c r="AL11" i="19"/>
  <c r="AJ11" i="19"/>
  <c r="AE11" i="19"/>
  <c r="AC11" i="19"/>
  <c r="AA11" i="19"/>
  <c r="V11" i="19"/>
  <c r="R11" i="19"/>
  <c r="N11" i="19"/>
  <c r="J11" i="19"/>
  <c r="F11" i="19"/>
  <c r="AP10" i="19"/>
  <c r="AO10" i="19" s="1"/>
  <c r="AN10" i="19"/>
  <c r="AM10" i="19" s="1"/>
  <c r="AL10" i="19"/>
  <c r="AJ10" i="19"/>
  <c r="AE10" i="19"/>
  <c r="AC10" i="19"/>
  <c r="AA10" i="19"/>
  <c r="V10" i="19"/>
  <c r="R10" i="19"/>
  <c r="N10" i="19"/>
  <c r="J10" i="19"/>
  <c r="F10" i="19"/>
  <c r="AP9" i="19"/>
  <c r="AO9" i="19" s="1"/>
  <c r="AN9" i="19"/>
  <c r="AM9" i="19" s="1"/>
  <c r="AL9" i="19"/>
  <c r="AJ9" i="19"/>
  <c r="AE9" i="19"/>
  <c r="AC9" i="19"/>
  <c r="AF9" i="19" s="1"/>
  <c r="AA9" i="19"/>
  <c r="V9" i="19"/>
  <c r="R9" i="19"/>
  <c r="N9" i="19"/>
  <c r="J9" i="19"/>
  <c r="F9" i="19"/>
  <c r="AP8" i="19"/>
  <c r="AO8" i="19" s="1"/>
  <c r="AN8" i="19"/>
  <c r="AM8" i="19" s="1"/>
  <c r="AL8" i="19"/>
  <c r="AJ8" i="19"/>
  <c r="AE8" i="19"/>
  <c r="AC8" i="19"/>
  <c r="AA8" i="19"/>
  <c r="V8" i="19"/>
  <c r="R8" i="19"/>
  <c r="N8" i="19"/>
  <c r="J8" i="19"/>
  <c r="F8" i="19"/>
  <c r="J1" i="19"/>
  <c r="F1" i="19"/>
  <c r="AO19" i="20"/>
  <c r="AM19" i="20"/>
  <c r="AO18" i="20"/>
  <c r="AM18" i="20"/>
  <c r="AO17" i="20"/>
  <c r="AM17" i="20"/>
  <c r="AO16" i="20"/>
  <c r="AM16" i="20"/>
  <c r="AO15" i="20"/>
  <c r="AM15" i="20"/>
  <c r="AO14" i="20"/>
  <c r="AM14" i="20"/>
  <c r="AO13" i="20"/>
  <c r="AM13" i="20"/>
  <c r="AO12" i="20"/>
  <c r="AM12" i="20"/>
  <c r="AO11" i="20"/>
  <c r="AM11" i="20"/>
  <c r="AO10" i="20"/>
  <c r="AM10" i="20"/>
  <c r="AO9" i="20"/>
  <c r="AM9" i="20"/>
  <c r="AO8" i="20"/>
  <c r="AM8" i="20"/>
  <c r="A4" i="20"/>
  <c r="A2" i="20"/>
  <c r="AJ20" i="20"/>
  <c r="AI20" i="20" s="1"/>
  <c r="AL20" i="20"/>
  <c r="AK20" i="20" s="1"/>
  <c r="AN20" i="20"/>
  <c r="AM20" i="20" s="1"/>
  <c r="AP20" i="20"/>
  <c r="AO20" i="20" s="1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AP19" i="20"/>
  <c r="AN19" i="20"/>
  <c r="AL19" i="20"/>
  <c r="AJ19" i="20"/>
  <c r="AE19" i="20"/>
  <c r="AC19" i="20"/>
  <c r="AA19" i="20"/>
  <c r="V19" i="20"/>
  <c r="R19" i="20"/>
  <c r="N19" i="20"/>
  <c r="J19" i="20"/>
  <c r="F19" i="20"/>
  <c r="AP18" i="20"/>
  <c r="AN18" i="20"/>
  <c r="AL18" i="20"/>
  <c r="AJ18" i="20"/>
  <c r="AE18" i="20"/>
  <c r="AC18" i="20"/>
  <c r="AA18" i="20"/>
  <c r="V18" i="20"/>
  <c r="R18" i="20"/>
  <c r="N18" i="20"/>
  <c r="J18" i="20"/>
  <c r="F18" i="20"/>
  <c r="AP17" i="20"/>
  <c r="AN17" i="20"/>
  <c r="AL17" i="20"/>
  <c r="AJ17" i="20"/>
  <c r="AE17" i="20"/>
  <c r="AC17" i="20"/>
  <c r="AA17" i="20"/>
  <c r="V17" i="20"/>
  <c r="R17" i="20"/>
  <c r="N17" i="20"/>
  <c r="J17" i="20"/>
  <c r="F17" i="20"/>
  <c r="AP16" i="20"/>
  <c r="AN16" i="20"/>
  <c r="AL16" i="20"/>
  <c r="AJ16" i="20"/>
  <c r="AE16" i="20"/>
  <c r="AC16" i="20"/>
  <c r="AA16" i="20"/>
  <c r="V16" i="20"/>
  <c r="R16" i="20"/>
  <c r="N16" i="20"/>
  <c r="J16" i="20"/>
  <c r="F16" i="20"/>
  <c r="AP15" i="20"/>
  <c r="AN15" i="20"/>
  <c r="AL15" i="20"/>
  <c r="AJ15" i="20"/>
  <c r="AE15" i="20"/>
  <c r="AC15" i="20"/>
  <c r="AA15" i="20"/>
  <c r="V15" i="20"/>
  <c r="R15" i="20"/>
  <c r="N15" i="20"/>
  <c r="J15" i="20"/>
  <c r="F15" i="20"/>
  <c r="AP14" i="20"/>
  <c r="AN14" i="20"/>
  <c r="AL14" i="20"/>
  <c r="AJ14" i="20"/>
  <c r="AE14" i="20"/>
  <c r="AC14" i="20"/>
  <c r="AA14" i="20"/>
  <c r="V14" i="20"/>
  <c r="R14" i="20"/>
  <c r="N14" i="20"/>
  <c r="J14" i="20"/>
  <c r="F14" i="20"/>
  <c r="AP13" i="20"/>
  <c r="AN13" i="20"/>
  <c r="AL13" i="20"/>
  <c r="AJ13" i="20"/>
  <c r="AE13" i="20"/>
  <c r="AC13" i="20"/>
  <c r="AA13" i="20"/>
  <c r="V13" i="20"/>
  <c r="R13" i="20"/>
  <c r="N13" i="20"/>
  <c r="J13" i="20"/>
  <c r="F13" i="20"/>
  <c r="AP12" i="20"/>
  <c r="AN12" i="20"/>
  <c r="AL12" i="20"/>
  <c r="AJ12" i="20"/>
  <c r="AE12" i="20"/>
  <c r="AC12" i="20"/>
  <c r="AA12" i="20"/>
  <c r="V12" i="20"/>
  <c r="R12" i="20"/>
  <c r="N12" i="20"/>
  <c r="J12" i="20"/>
  <c r="F12" i="20"/>
  <c r="AP11" i="20"/>
  <c r="AN11" i="20"/>
  <c r="AL11" i="20"/>
  <c r="AJ11" i="20"/>
  <c r="AE11" i="20"/>
  <c r="AC11" i="20"/>
  <c r="AA11" i="20"/>
  <c r="V11" i="20"/>
  <c r="R11" i="20"/>
  <c r="N11" i="20"/>
  <c r="J11" i="20"/>
  <c r="F11" i="20"/>
  <c r="AP10" i="20"/>
  <c r="AN10" i="20"/>
  <c r="AL10" i="20"/>
  <c r="AJ10" i="20"/>
  <c r="AE10" i="20"/>
  <c r="AC10" i="20"/>
  <c r="AF10" i="20" s="1"/>
  <c r="AA10" i="20"/>
  <c r="V10" i="20"/>
  <c r="R10" i="20"/>
  <c r="N10" i="20"/>
  <c r="J10" i="20"/>
  <c r="F10" i="20"/>
  <c r="AP9" i="20"/>
  <c r="AN9" i="20"/>
  <c r="AL9" i="20"/>
  <c r="AJ9" i="20"/>
  <c r="AE9" i="20"/>
  <c r="AC9" i="20"/>
  <c r="AA9" i="20"/>
  <c r="V9" i="20"/>
  <c r="R9" i="20"/>
  <c r="N9" i="20"/>
  <c r="J9" i="20"/>
  <c r="F9" i="20"/>
  <c r="AP8" i="20"/>
  <c r="AN8" i="20"/>
  <c r="AL8" i="20"/>
  <c r="AJ8" i="20"/>
  <c r="AE8" i="20"/>
  <c r="AC8" i="20"/>
  <c r="AA8" i="20"/>
  <c r="V8" i="20"/>
  <c r="R8" i="20"/>
  <c r="N8" i="20"/>
  <c r="J8" i="20"/>
  <c r="F8" i="20"/>
  <c r="J1" i="20"/>
  <c r="F1" i="20"/>
  <c r="AJ18" i="21"/>
  <c r="AI18" i="21" s="1"/>
  <c r="AL18" i="21"/>
  <c r="AK18" i="21" s="1"/>
  <c r="AN18" i="21"/>
  <c r="AM18" i="21" s="1"/>
  <c r="AP18" i="21"/>
  <c r="AO18" i="21" s="1"/>
  <c r="AJ19" i="21"/>
  <c r="AI19" i="21" s="1"/>
  <c r="AL19" i="21"/>
  <c r="AK19" i="21" s="1"/>
  <c r="AN19" i="21"/>
  <c r="AM19" i="21" s="1"/>
  <c r="AP19" i="21"/>
  <c r="AO19" i="21" s="1"/>
  <c r="AJ20" i="21"/>
  <c r="AI20" i="21" s="1"/>
  <c r="AL20" i="21"/>
  <c r="AK20" i="21" s="1"/>
  <c r="AN20" i="21"/>
  <c r="AM20" i="21" s="1"/>
  <c r="AP20" i="21"/>
  <c r="AO20" i="21" s="1"/>
  <c r="A4" i="21"/>
  <c r="A2" i="21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G5" i="6"/>
  <c r="F5" i="6"/>
  <c r="E5" i="6"/>
  <c r="D5" i="6"/>
  <c r="B309" i="21"/>
  <c r="C307" i="21"/>
  <c r="C306" i="21"/>
  <c r="C305" i="21"/>
  <c r="C304" i="21"/>
  <c r="C303" i="21"/>
  <c r="C302" i="21"/>
  <c r="C301" i="21"/>
  <c r="C300" i="21"/>
  <c r="AP17" i="21"/>
  <c r="AO17" i="21" s="1"/>
  <c r="AN17" i="21"/>
  <c r="AM17" i="21" s="1"/>
  <c r="AL17" i="21"/>
  <c r="AJ17" i="21"/>
  <c r="AE17" i="21"/>
  <c r="AC17" i="21"/>
  <c r="AA17" i="21"/>
  <c r="V17" i="21"/>
  <c r="R17" i="21"/>
  <c r="N17" i="21"/>
  <c r="J17" i="21"/>
  <c r="F17" i="21"/>
  <c r="AP16" i="21"/>
  <c r="AO16" i="21" s="1"/>
  <c r="AN16" i="21"/>
  <c r="AM16" i="21" s="1"/>
  <c r="AL16" i="21"/>
  <c r="AJ16" i="21"/>
  <c r="AE16" i="21"/>
  <c r="AC16" i="21"/>
  <c r="AA16" i="21"/>
  <c r="V16" i="21"/>
  <c r="R16" i="21"/>
  <c r="N16" i="21"/>
  <c r="J16" i="21"/>
  <c r="F16" i="21"/>
  <c r="AP15" i="21"/>
  <c r="AO15" i="21" s="1"/>
  <c r="AN15" i="21"/>
  <c r="AM15" i="21" s="1"/>
  <c r="AL15" i="21"/>
  <c r="AJ15" i="21"/>
  <c r="AE15" i="21"/>
  <c r="AC15" i="21"/>
  <c r="AA15" i="21"/>
  <c r="V15" i="21"/>
  <c r="R15" i="21"/>
  <c r="N15" i="21"/>
  <c r="J15" i="21"/>
  <c r="F15" i="21"/>
  <c r="AP14" i="21"/>
  <c r="AO14" i="21" s="1"/>
  <c r="AN14" i="21"/>
  <c r="AM14" i="21" s="1"/>
  <c r="AL14" i="21"/>
  <c r="AJ14" i="21"/>
  <c r="AE14" i="21"/>
  <c r="AC14" i="21"/>
  <c r="AF14" i="21" s="1"/>
  <c r="AA14" i="21"/>
  <c r="V14" i="21"/>
  <c r="R14" i="21"/>
  <c r="N14" i="21"/>
  <c r="J14" i="21"/>
  <c r="F14" i="21"/>
  <c r="AP13" i="21"/>
  <c r="AO13" i="21" s="1"/>
  <c r="AN13" i="21"/>
  <c r="AM13" i="21" s="1"/>
  <c r="AL13" i="21"/>
  <c r="AJ13" i="21"/>
  <c r="AE13" i="21"/>
  <c r="AC13" i="21"/>
  <c r="AA13" i="21"/>
  <c r="V13" i="21"/>
  <c r="R13" i="21"/>
  <c r="N13" i="21"/>
  <c r="J13" i="21"/>
  <c r="F13" i="21"/>
  <c r="AP12" i="21"/>
  <c r="AN12" i="21"/>
  <c r="AL12" i="21"/>
  <c r="AK12" i="21" s="1"/>
  <c r="AJ12" i="21"/>
  <c r="AE12" i="21"/>
  <c r="AC12" i="21"/>
  <c r="AA12" i="21"/>
  <c r="V12" i="21"/>
  <c r="R12" i="21"/>
  <c r="N12" i="21"/>
  <c r="J12" i="21"/>
  <c r="F12" i="21"/>
  <c r="AP11" i="21"/>
  <c r="AO11" i="21" s="1"/>
  <c r="AN11" i="21"/>
  <c r="AM11" i="21" s="1"/>
  <c r="AL11" i="21"/>
  <c r="AJ11" i="21"/>
  <c r="AE11" i="21"/>
  <c r="AC11" i="21"/>
  <c r="AA11" i="21"/>
  <c r="V11" i="21"/>
  <c r="R11" i="21"/>
  <c r="N11" i="21"/>
  <c r="J11" i="21"/>
  <c r="F11" i="21"/>
  <c r="AP10" i="21"/>
  <c r="AO10" i="21" s="1"/>
  <c r="AN10" i="21"/>
  <c r="AM10" i="21" s="1"/>
  <c r="AL10" i="21"/>
  <c r="AJ10" i="21"/>
  <c r="AE10" i="21"/>
  <c r="AC10" i="21"/>
  <c r="AF10" i="21" s="1"/>
  <c r="AA10" i="21"/>
  <c r="V10" i="21"/>
  <c r="R10" i="21"/>
  <c r="N10" i="21"/>
  <c r="J10" i="21"/>
  <c r="F10" i="21"/>
  <c r="AP9" i="21"/>
  <c r="AO9" i="21" s="1"/>
  <c r="AN9" i="21"/>
  <c r="AM9" i="21" s="1"/>
  <c r="AL9" i="21"/>
  <c r="AJ9" i="21"/>
  <c r="AE9" i="21"/>
  <c r="AC9" i="21"/>
  <c r="AA9" i="21"/>
  <c r="V9" i="21"/>
  <c r="R9" i="21"/>
  <c r="N9" i="21"/>
  <c r="J9" i="21"/>
  <c r="F9" i="21"/>
  <c r="AP8" i="21"/>
  <c r="AO8" i="21" s="1"/>
  <c r="AN8" i="21"/>
  <c r="AM8" i="21" s="1"/>
  <c r="AL8" i="21"/>
  <c r="AJ8" i="21"/>
  <c r="AE8" i="21"/>
  <c r="AC8" i="21"/>
  <c r="AF8" i="21" s="1"/>
  <c r="AA8" i="21"/>
  <c r="V8" i="21"/>
  <c r="R8" i="21"/>
  <c r="N8" i="21"/>
  <c r="J8" i="21"/>
  <c r="F8" i="21"/>
  <c r="J1" i="21"/>
  <c r="F1" i="21"/>
  <c r="AF13" i="25" l="1"/>
  <c r="AF17" i="18"/>
  <c r="AH19" i="18"/>
  <c r="AF11" i="18"/>
  <c r="AF15" i="18"/>
  <c r="AH20" i="18"/>
  <c r="AH18" i="18"/>
  <c r="AF8" i="18"/>
  <c r="AF10" i="18"/>
  <c r="AF12" i="18"/>
  <c r="AF14" i="18"/>
  <c r="AF16" i="18"/>
  <c r="AF17" i="19"/>
  <c r="AH19" i="19"/>
  <c r="AF11" i="19"/>
  <c r="AF15" i="19"/>
  <c r="AH20" i="19"/>
  <c r="AH18" i="19"/>
  <c r="AF8" i="19"/>
  <c r="AF12" i="19"/>
  <c r="AF14" i="19"/>
  <c r="AF16" i="19"/>
  <c r="AF10" i="19"/>
  <c r="AF12" i="20"/>
  <c r="AF13" i="20"/>
  <c r="AF17" i="20"/>
  <c r="AF15" i="20"/>
  <c r="AF14" i="20"/>
  <c r="AF18" i="20"/>
  <c r="AF19" i="20"/>
  <c r="AF8" i="20"/>
  <c r="AF9" i="20"/>
  <c r="AF11" i="20"/>
  <c r="AF16" i="20"/>
  <c r="AH20" i="20"/>
  <c r="AF12" i="21"/>
  <c r="AF16" i="21"/>
  <c r="AH19" i="21"/>
  <c r="AH20" i="21"/>
  <c r="AH18" i="21"/>
  <c r="AF11" i="21"/>
  <c r="AF13" i="21"/>
  <c r="AF15" i="21"/>
  <c r="AF17" i="21"/>
  <c r="AF9" i="21"/>
  <c r="A4" i="22"/>
  <c r="A2" i="22"/>
  <c r="A1" i="22"/>
  <c r="C312" i="22"/>
  <c r="C311" i="22"/>
  <c r="C310" i="22"/>
  <c r="C309" i="22"/>
  <c r="C308" i="22"/>
  <c r="C307" i="22"/>
  <c r="C306" i="22"/>
  <c r="C305" i="22"/>
  <c r="C304" i="22"/>
  <c r="C303" i="22"/>
  <c r="C302" i="22"/>
  <c r="C301" i="22"/>
  <c r="C300" i="22"/>
  <c r="B154" i="22"/>
  <c r="C154" i="22" s="1"/>
  <c r="B150" i="22"/>
  <c r="C150" i="22" s="1"/>
  <c r="B146" i="22"/>
  <c r="C146" i="22" s="1"/>
  <c r="Z60" i="22"/>
  <c r="Y60" i="22" s="1"/>
  <c r="X60" i="22"/>
  <c r="W60" i="22" s="1"/>
  <c r="V60" i="22"/>
  <c r="U60" i="22" s="1"/>
  <c r="T60" i="22"/>
  <c r="H60" i="22"/>
  <c r="J60" i="22" s="1"/>
  <c r="Z59" i="22"/>
  <c r="Y59" i="22" s="1"/>
  <c r="X59" i="22"/>
  <c r="W59" i="22" s="1"/>
  <c r="V59" i="22"/>
  <c r="U59" i="22" s="1"/>
  <c r="T59" i="22"/>
  <c r="H59" i="22"/>
  <c r="J59" i="22" s="1"/>
  <c r="Z58" i="22"/>
  <c r="Y58" i="22" s="1"/>
  <c r="X58" i="22"/>
  <c r="W58" i="22" s="1"/>
  <c r="V58" i="22"/>
  <c r="U58" i="22" s="1"/>
  <c r="T58" i="22"/>
  <c r="H58" i="22"/>
  <c r="J58" i="22" s="1"/>
  <c r="Z57" i="22"/>
  <c r="Y57" i="22" s="1"/>
  <c r="X57" i="22"/>
  <c r="W57" i="22" s="1"/>
  <c r="V57" i="22"/>
  <c r="U57" i="22" s="1"/>
  <c r="T57" i="22"/>
  <c r="S57" i="22" s="1"/>
  <c r="H57" i="22"/>
  <c r="J57" i="22" s="1"/>
  <c r="Z56" i="22"/>
  <c r="Y56" i="22" s="1"/>
  <c r="X56" i="22"/>
  <c r="W56" i="22" s="1"/>
  <c r="V56" i="22"/>
  <c r="U56" i="22" s="1"/>
  <c r="T56" i="22"/>
  <c r="S56" i="22" s="1"/>
  <c r="H56" i="22"/>
  <c r="J56" i="22" s="1"/>
  <c r="Z55" i="22"/>
  <c r="Y55" i="22" s="1"/>
  <c r="X55" i="22"/>
  <c r="W55" i="22" s="1"/>
  <c r="V55" i="22"/>
  <c r="U55" i="22" s="1"/>
  <c r="T55" i="22"/>
  <c r="S55" i="22" s="1"/>
  <c r="M55" i="22"/>
  <c r="Z54" i="22"/>
  <c r="Y54" i="22" s="1"/>
  <c r="X54" i="22"/>
  <c r="W54" i="22" s="1"/>
  <c r="V54" i="22"/>
  <c r="U54" i="22" s="1"/>
  <c r="T54" i="22"/>
  <c r="S54" i="22" s="1"/>
  <c r="Z53" i="22"/>
  <c r="Y53" i="22" s="1"/>
  <c r="X53" i="22"/>
  <c r="W53" i="22" s="1"/>
  <c r="V53" i="22"/>
  <c r="U53" i="22" s="1"/>
  <c r="T53" i="22"/>
  <c r="S53" i="22" s="1"/>
  <c r="H53" i="22"/>
  <c r="J53" i="22" s="1"/>
  <c r="Z52" i="22"/>
  <c r="Y52" i="22" s="1"/>
  <c r="X52" i="22"/>
  <c r="W52" i="22" s="1"/>
  <c r="V52" i="22"/>
  <c r="U52" i="22" s="1"/>
  <c r="T52" i="22"/>
  <c r="H52" i="22"/>
  <c r="J52" i="22" s="1"/>
  <c r="Z51" i="22"/>
  <c r="Y51" i="22" s="1"/>
  <c r="X51" i="22"/>
  <c r="W51" i="22" s="1"/>
  <c r="V51" i="22"/>
  <c r="U51" i="22" s="1"/>
  <c r="T51" i="22"/>
  <c r="S51" i="22" s="1"/>
  <c r="H51" i="22"/>
  <c r="J51" i="22" s="1"/>
  <c r="Z50" i="22"/>
  <c r="Y50" i="22" s="1"/>
  <c r="X50" i="22"/>
  <c r="W50" i="22" s="1"/>
  <c r="V50" i="22"/>
  <c r="U50" i="22" s="1"/>
  <c r="T50" i="22"/>
  <c r="S50" i="22" s="1"/>
  <c r="H50" i="22"/>
  <c r="J50" i="22" s="1"/>
  <c r="Z49" i="22"/>
  <c r="Y49" i="22" s="1"/>
  <c r="X49" i="22"/>
  <c r="W49" i="22" s="1"/>
  <c r="V49" i="22"/>
  <c r="U49" i="22" s="1"/>
  <c r="T49" i="22"/>
  <c r="S49" i="22" s="1"/>
  <c r="H49" i="22"/>
  <c r="J49" i="22" s="1"/>
  <c r="Z48" i="22"/>
  <c r="Y48" i="22" s="1"/>
  <c r="X48" i="22"/>
  <c r="W48" i="22" s="1"/>
  <c r="V48" i="22"/>
  <c r="U48" i="22" s="1"/>
  <c r="T48" i="22"/>
  <c r="M48" i="22"/>
  <c r="Z47" i="22"/>
  <c r="Y47" i="22" s="1"/>
  <c r="X47" i="22"/>
  <c r="W47" i="22" s="1"/>
  <c r="V47" i="22"/>
  <c r="U47" i="22" s="1"/>
  <c r="T47" i="22"/>
  <c r="Z46" i="22"/>
  <c r="Y46" i="22" s="1"/>
  <c r="X46" i="22"/>
  <c r="W46" i="22" s="1"/>
  <c r="V46" i="22"/>
  <c r="U46" i="22" s="1"/>
  <c r="T46" i="22"/>
  <c r="S46" i="22" s="1"/>
  <c r="H46" i="22"/>
  <c r="J46" i="22" s="1"/>
  <c r="Z45" i="22"/>
  <c r="Y45" i="22" s="1"/>
  <c r="X45" i="22"/>
  <c r="W45" i="22" s="1"/>
  <c r="V45" i="22"/>
  <c r="U45" i="22" s="1"/>
  <c r="T45" i="22"/>
  <c r="H45" i="22"/>
  <c r="J45" i="22" s="1"/>
  <c r="Z44" i="22"/>
  <c r="Y44" i="22" s="1"/>
  <c r="X44" i="22"/>
  <c r="W44" i="22" s="1"/>
  <c r="V44" i="22"/>
  <c r="U44" i="22" s="1"/>
  <c r="T44" i="22"/>
  <c r="H44" i="22"/>
  <c r="J44" i="22" s="1"/>
  <c r="Z43" i="22"/>
  <c r="Y43" i="22" s="1"/>
  <c r="X43" i="22"/>
  <c r="W43" i="22" s="1"/>
  <c r="V43" i="22"/>
  <c r="U43" i="22" s="1"/>
  <c r="T43" i="22"/>
  <c r="S43" i="22" s="1"/>
  <c r="H43" i="22"/>
  <c r="J43" i="22" s="1"/>
  <c r="Z42" i="22"/>
  <c r="Y42" i="22" s="1"/>
  <c r="X42" i="22"/>
  <c r="W42" i="22" s="1"/>
  <c r="V42" i="22"/>
  <c r="U42" i="22" s="1"/>
  <c r="T42" i="22"/>
  <c r="S42" i="22" s="1"/>
  <c r="H42" i="22"/>
  <c r="J42" i="22" s="1"/>
  <c r="Z41" i="22"/>
  <c r="Y41" i="22" s="1"/>
  <c r="X41" i="22"/>
  <c r="W41" i="22" s="1"/>
  <c r="V41" i="22"/>
  <c r="U41" i="22" s="1"/>
  <c r="T41" i="22"/>
  <c r="M41" i="22"/>
  <c r="Z40" i="22"/>
  <c r="Y40" i="22" s="1"/>
  <c r="X40" i="22"/>
  <c r="W40" i="22" s="1"/>
  <c r="V40" i="22"/>
  <c r="U40" i="22" s="1"/>
  <c r="T40" i="22"/>
  <c r="S40" i="22" s="1"/>
  <c r="Z39" i="22"/>
  <c r="Y39" i="22" s="1"/>
  <c r="X39" i="22"/>
  <c r="W39" i="22" s="1"/>
  <c r="V39" i="22"/>
  <c r="U39" i="22" s="1"/>
  <c r="T39" i="22"/>
  <c r="S39" i="22" s="1"/>
  <c r="H39" i="22"/>
  <c r="J39" i="22" s="1"/>
  <c r="Z38" i="22"/>
  <c r="Y38" i="22" s="1"/>
  <c r="X38" i="22"/>
  <c r="W38" i="22" s="1"/>
  <c r="V38" i="22"/>
  <c r="U38" i="22" s="1"/>
  <c r="T38" i="22"/>
  <c r="H38" i="22"/>
  <c r="J38" i="22" s="1"/>
  <c r="Z37" i="22"/>
  <c r="Y37" i="22" s="1"/>
  <c r="X37" i="22"/>
  <c r="W37" i="22" s="1"/>
  <c r="V37" i="22"/>
  <c r="U37" i="22" s="1"/>
  <c r="T37" i="22"/>
  <c r="S37" i="22" s="1"/>
  <c r="H37" i="22"/>
  <c r="J37" i="22" s="1"/>
  <c r="Z36" i="22"/>
  <c r="Y36" i="22" s="1"/>
  <c r="X36" i="22"/>
  <c r="W36" i="22" s="1"/>
  <c r="V36" i="22"/>
  <c r="U36" i="22" s="1"/>
  <c r="T36" i="22"/>
  <c r="S36" i="22" s="1"/>
  <c r="R36" i="22"/>
  <c r="H36" i="22"/>
  <c r="J36" i="22" s="1"/>
  <c r="Z35" i="22"/>
  <c r="Y35" i="22" s="1"/>
  <c r="X35" i="22"/>
  <c r="W35" i="22" s="1"/>
  <c r="V35" i="22"/>
  <c r="U35" i="22" s="1"/>
  <c r="T35" i="22"/>
  <c r="S35" i="22" s="1"/>
  <c r="H35" i="22"/>
  <c r="J35" i="22" s="1"/>
  <c r="Z34" i="22"/>
  <c r="Y34" i="22" s="1"/>
  <c r="X34" i="22"/>
  <c r="W34" i="22" s="1"/>
  <c r="V34" i="22"/>
  <c r="U34" i="22" s="1"/>
  <c r="T34" i="22"/>
  <c r="M34" i="22"/>
  <c r="Z33" i="22"/>
  <c r="Y33" i="22" s="1"/>
  <c r="X33" i="22"/>
  <c r="W33" i="22" s="1"/>
  <c r="V33" i="22"/>
  <c r="U33" i="22" s="1"/>
  <c r="T33" i="22"/>
  <c r="Z32" i="22"/>
  <c r="Y32" i="22" s="1"/>
  <c r="X32" i="22"/>
  <c r="W32" i="22" s="1"/>
  <c r="V32" i="22"/>
  <c r="U32" i="22" s="1"/>
  <c r="T32" i="22"/>
  <c r="S32" i="22" s="1"/>
  <c r="H32" i="22"/>
  <c r="J32" i="22" s="1"/>
  <c r="Z31" i="22"/>
  <c r="Y31" i="22" s="1"/>
  <c r="X31" i="22"/>
  <c r="W31" i="22" s="1"/>
  <c r="V31" i="22"/>
  <c r="T31" i="22"/>
  <c r="H31" i="22"/>
  <c r="J31" i="22" s="1"/>
  <c r="Z30" i="22"/>
  <c r="Y30" i="22" s="1"/>
  <c r="X30" i="22"/>
  <c r="W30" i="22" s="1"/>
  <c r="V30" i="22"/>
  <c r="T30" i="22"/>
  <c r="H30" i="22"/>
  <c r="J30" i="22" s="1"/>
  <c r="Z29" i="22"/>
  <c r="Y29" i="22" s="1"/>
  <c r="X29" i="22"/>
  <c r="W29" i="22" s="1"/>
  <c r="V29" i="22"/>
  <c r="T29" i="22"/>
  <c r="H29" i="22"/>
  <c r="J29" i="22" s="1"/>
  <c r="Z28" i="22"/>
  <c r="Y28" i="22" s="1"/>
  <c r="X28" i="22"/>
  <c r="W28" i="22" s="1"/>
  <c r="V28" i="22"/>
  <c r="T28" i="22"/>
  <c r="H28" i="22"/>
  <c r="J28" i="22" s="1"/>
  <c r="Z27" i="22"/>
  <c r="Y27" i="22" s="1"/>
  <c r="X27" i="22"/>
  <c r="W27" i="22" s="1"/>
  <c r="V27" i="22"/>
  <c r="U27" i="22" s="1"/>
  <c r="T27" i="22"/>
  <c r="S27" i="22" s="1"/>
  <c r="M27" i="22"/>
  <c r="I32" i="22" s="1"/>
  <c r="Z26" i="22"/>
  <c r="Y26" i="22" s="1"/>
  <c r="X26" i="22"/>
  <c r="W26" i="22" s="1"/>
  <c r="V26" i="22"/>
  <c r="U26" i="22" s="1"/>
  <c r="T26" i="22"/>
  <c r="S26" i="22" s="1"/>
  <c r="Z25" i="22"/>
  <c r="Y25" i="22" s="1"/>
  <c r="X25" i="22"/>
  <c r="W25" i="22" s="1"/>
  <c r="V25" i="22"/>
  <c r="U25" i="22" s="1"/>
  <c r="T25" i="22"/>
  <c r="S25" i="22" s="1"/>
  <c r="H25" i="22"/>
  <c r="J25" i="22" s="1"/>
  <c r="Z24" i="22"/>
  <c r="Y24" i="22" s="1"/>
  <c r="X24" i="22"/>
  <c r="W24" i="22" s="1"/>
  <c r="V24" i="22"/>
  <c r="U24" i="22" s="1"/>
  <c r="T24" i="22"/>
  <c r="S24" i="22" s="1"/>
  <c r="H24" i="22"/>
  <c r="J24" i="22" s="1"/>
  <c r="Z23" i="22"/>
  <c r="Y23" i="22" s="1"/>
  <c r="X23" i="22"/>
  <c r="W23" i="22" s="1"/>
  <c r="V23" i="22"/>
  <c r="T23" i="22"/>
  <c r="H23" i="22"/>
  <c r="J23" i="22" s="1"/>
  <c r="Z22" i="22"/>
  <c r="Y22" i="22" s="1"/>
  <c r="X22" i="22"/>
  <c r="W22" i="22" s="1"/>
  <c r="V22" i="22"/>
  <c r="T22" i="22"/>
  <c r="H22" i="22"/>
  <c r="J22" i="22" s="1"/>
  <c r="Z21" i="22"/>
  <c r="Y21" i="22" s="1"/>
  <c r="X21" i="22"/>
  <c r="W21" i="22" s="1"/>
  <c r="V21" i="22"/>
  <c r="T21" i="22"/>
  <c r="H21" i="22"/>
  <c r="J21" i="22" s="1"/>
  <c r="Z20" i="22"/>
  <c r="Y20" i="22" s="1"/>
  <c r="X20" i="22"/>
  <c r="W20" i="22" s="1"/>
  <c r="V20" i="22"/>
  <c r="U20" i="22" s="1"/>
  <c r="T20" i="22"/>
  <c r="S20" i="22" s="1"/>
  <c r="M20" i="22"/>
  <c r="I24" i="22" s="1"/>
  <c r="Z19" i="22"/>
  <c r="Y19" i="22" s="1"/>
  <c r="X19" i="22"/>
  <c r="W19" i="22" s="1"/>
  <c r="V19" i="22"/>
  <c r="U19" i="22" s="1"/>
  <c r="T19" i="22"/>
  <c r="S19" i="22" s="1"/>
  <c r="Z18" i="22"/>
  <c r="Y18" i="22" s="1"/>
  <c r="X18" i="22"/>
  <c r="W18" i="22" s="1"/>
  <c r="V18" i="22"/>
  <c r="U18" i="22" s="1"/>
  <c r="T18" i="22"/>
  <c r="H18" i="22"/>
  <c r="J18" i="22" s="1"/>
  <c r="Z17" i="22"/>
  <c r="Y17" i="22" s="1"/>
  <c r="X17" i="22"/>
  <c r="W17" i="22" s="1"/>
  <c r="V17" i="22"/>
  <c r="U17" i="22" s="1"/>
  <c r="T17" i="22"/>
  <c r="S17" i="22" s="1"/>
  <c r="H17" i="22"/>
  <c r="J17" i="22" s="1"/>
  <c r="Z16" i="22"/>
  <c r="Y16" i="22" s="1"/>
  <c r="X16" i="22"/>
  <c r="W16" i="22" s="1"/>
  <c r="V16" i="22"/>
  <c r="T16" i="22"/>
  <c r="H16" i="22"/>
  <c r="J16" i="22" s="1"/>
  <c r="Z15" i="22"/>
  <c r="Y15" i="22" s="1"/>
  <c r="X15" i="22"/>
  <c r="W15" i="22" s="1"/>
  <c r="V15" i="22"/>
  <c r="T15" i="22"/>
  <c r="H15" i="22"/>
  <c r="J15" i="22" s="1"/>
  <c r="Z14" i="22"/>
  <c r="Y14" i="22" s="1"/>
  <c r="X14" i="22"/>
  <c r="W14" i="22" s="1"/>
  <c r="V14" i="22"/>
  <c r="T14" i="22"/>
  <c r="H14" i="22"/>
  <c r="J14" i="22" s="1"/>
  <c r="Z13" i="22"/>
  <c r="Y13" i="22" s="1"/>
  <c r="X13" i="22"/>
  <c r="W13" i="22" s="1"/>
  <c r="V13" i="22"/>
  <c r="U13" i="22" s="1"/>
  <c r="T13" i="22"/>
  <c r="S13" i="22" s="1"/>
  <c r="M13" i="22"/>
  <c r="I17" i="22" s="1"/>
  <c r="Z12" i="22"/>
  <c r="Y12" i="22" s="1"/>
  <c r="X12" i="22"/>
  <c r="W12" i="22" s="1"/>
  <c r="V12" i="22"/>
  <c r="U12" i="22" s="1"/>
  <c r="T12" i="22"/>
  <c r="S12" i="22" s="1"/>
  <c r="Z11" i="22"/>
  <c r="Y11" i="22" s="1"/>
  <c r="X11" i="22"/>
  <c r="W11" i="22" s="1"/>
  <c r="V11" i="22"/>
  <c r="U11" i="22" s="1"/>
  <c r="T11" i="22"/>
  <c r="S11" i="22" s="1"/>
  <c r="H11" i="22"/>
  <c r="J11" i="22" s="1"/>
  <c r="Z10" i="22"/>
  <c r="Y10" i="22" s="1"/>
  <c r="X10" i="22"/>
  <c r="W10" i="22" s="1"/>
  <c r="V10" i="22"/>
  <c r="U10" i="22" s="1"/>
  <c r="T10" i="22"/>
  <c r="S10" i="22" s="1"/>
  <c r="H10" i="22"/>
  <c r="J10" i="22" s="1"/>
  <c r="Z9" i="22"/>
  <c r="Y9" i="22" s="1"/>
  <c r="X9" i="22"/>
  <c r="W9" i="22" s="1"/>
  <c r="V9" i="22"/>
  <c r="T9" i="22"/>
  <c r="H9" i="22"/>
  <c r="J9" i="22" s="1"/>
  <c r="Z8" i="22"/>
  <c r="Y8" i="22" s="1"/>
  <c r="X8" i="22"/>
  <c r="W8" i="22" s="1"/>
  <c r="V8" i="22"/>
  <c r="T8" i="22"/>
  <c r="H8" i="22"/>
  <c r="J8" i="22" s="1"/>
  <c r="Z7" i="22"/>
  <c r="Y7" i="22" s="1"/>
  <c r="X7" i="22"/>
  <c r="W7" i="22" s="1"/>
  <c r="V7" i="22"/>
  <c r="T7" i="22"/>
  <c r="H7" i="22"/>
  <c r="J7" i="22" s="1"/>
  <c r="M6" i="22"/>
  <c r="G1" i="22"/>
  <c r="E1" i="22"/>
  <c r="T31" i="13"/>
  <c r="S31" i="13" s="1"/>
  <c r="V31" i="13"/>
  <c r="U31" i="13" s="1"/>
  <c r="X31" i="13"/>
  <c r="W31" i="13" s="1"/>
  <c r="Z31" i="13"/>
  <c r="Y31" i="13" s="1"/>
  <c r="T32" i="13"/>
  <c r="S32" i="13" s="1"/>
  <c r="V32" i="13"/>
  <c r="U32" i="13" s="1"/>
  <c r="X32" i="13"/>
  <c r="W32" i="13" s="1"/>
  <c r="Z32" i="13"/>
  <c r="Y32" i="13" s="1"/>
  <c r="T33" i="13"/>
  <c r="S33" i="13" s="1"/>
  <c r="V33" i="13"/>
  <c r="U33" i="13" s="1"/>
  <c r="X33" i="13"/>
  <c r="W33" i="13" s="1"/>
  <c r="Z33" i="13"/>
  <c r="Y33" i="13" s="1"/>
  <c r="T34" i="13"/>
  <c r="S34" i="13" s="1"/>
  <c r="V34" i="13"/>
  <c r="U34" i="13" s="1"/>
  <c r="X34" i="13"/>
  <c r="W34" i="13" s="1"/>
  <c r="Z34" i="13"/>
  <c r="Y34" i="13" s="1"/>
  <c r="T35" i="13"/>
  <c r="S35" i="13" s="1"/>
  <c r="V35" i="13"/>
  <c r="U35" i="13" s="1"/>
  <c r="X35" i="13"/>
  <c r="W35" i="13" s="1"/>
  <c r="Z35" i="13"/>
  <c r="Y35" i="13" s="1"/>
  <c r="T36" i="13"/>
  <c r="S36" i="13" s="1"/>
  <c r="V36" i="13"/>
  <c r="U36" i="13" s="1"/>
  <c r="X36" i="13"/>
  <c r="W36" i="13" s="1"/>
  <c r="Z36" i="13"/>
  <c r="Y36" i="13" s="1"/>
  <c r="T37" i="13"/>
  <c r="S37" i="13" s="1"/>
  <c r="V37" i="13"/>
  <c r="U37" i="13" s="1"/>
  <c r="X37" i="13"/>
  <c r="W37" i="13" s="1"/>
  <c r="Z37" i="13"/>
  <c r="Y37" i="13" s="1"/>
  <c r="T38" i="13"/>
  <c r="S38" i="13" s="1"/>
  <c r="V38" i="13"/>
  <c r="U38" i="13" s="1"/>
  <c r="X38" i="13"/>
  <c r="W38" i="13" s="1"/>
  <c r="Z38" i="13"/>
  <c r="Y38" i="13" s="1"/>
  <c r="T39" i="13"/>
  <c r="S39" i="13" s="1"/>
  <c r="V39" i="13"/>
  <c r="U39" i="13" s="1"/>
  <c r="X39" i="13"/>
  <c r="W39" i="13" s="1"/>
  <c r="Z39" i="13"/>
  <c r="Y39" i="13" s="1"/>
  <c r="T40" i="13"/>
  <c r="S40" i="13" s="1"/>
  <c r="V40" i="13"/>
  <c r="U40" i="13" s="1"/>
  <c r="X40" i="13"/>
  <c r="W40" i="13" s="1"/>
  <c r="Z40" i="13"/>
  <c r="Y40" i="13" s="1"/>
  <c r="T41" i="13"/>
  <c r="S41" i="13" s="1"/>
  <c r="V41" i="13"/>
  <c r="U41" i="13" s="1"/>
  <c r="X41" i="13"/>
  <c r="W41" i="13" s="1"/>
  <c r="Z41" i="13"/>
  <c r="Y41" i="13" s="1"/>
  <c r="T42" i="13"/>
  <c r="S42" i="13" s="1"/>
  <c r="V42" i="13"/>
  <c r="U42" i="13" s="1"/>
  <c r="X42" i="13"/>
  <c r="W42" i="13" s="1"/>
  <c r="Z42" i="13"/>
  <c r="Y42" i="13" s="1"/>
  <c r="T43" i="13"/>
  <c r="S43" i="13" s="1"/>
  <c r="V43" i="13"/>
  <c r="U43" i="13" s="1"/>
  <c r="X43" i="13"/>
  <c r="W43" i="13" s="1"/>
  <c r="Z43" i="13"/>
  <c r="Y43" i="13" s="1"/>
  <c r="T44" i="13"/>
  <c r="S44" i="13" s="1"/>
  <c r="V44" i="13"/>
  <c r="U44" i="13" s="1"/>
  <c r="X44" i="13"/>
  <c r="W44" i="13" s="1"/>
  <c r="Z44" i="13"/>
  <c r="Y44" i="13" s="1"/>
  <c r="T45" i="13"/>
  <c r="S45" i="13" s="1"/>
  <c r="V45" i="13"/>
  <c r="U45" i="13" s="1"/>
  <c r="X45" i="13"/>
  <c r="W45" i="13" s="1"/>
  <c r="Z45" i="13"/>
  <c r="Y45" i="13" s="1"/>
  <c r="T46" i="13"/>
  <c r="S46" i="13" s="1"/>
  <c r="V46" i="13"/>
  <c r="U46" i="13" s="1"/>
  <c r="X46" i="13"/>
  <c r="W46" i="13" s="1"/>
  <c r="Z46" i="13"/>
  <c r="Y46" i="13" s="1"/>
  <c r="T47" i="13"/>
  <c r="S47" i="13" s="1"/>
  <c r="V47" i="13"/>
  <c r="U47" i="13" s="1"/>
  <c r="X47" i="13"/>
  <c r="W47" i="13" s="1"/>
  <c r="Z47" i="13"/>
  <c r="Y47" i="13" s="1"/>
  <c r="T48" i="13"/>
  <c r="S48" i="13" s="1"/>
  <c r="V48" i="13"/>
  <c r="U48" i="13" s="1"/>
  <c r="X48" i="13"/>
  <c r="W48" i="13" s="1"/>
  <c r="Z48" i="13"/>
  <c r="Y48" i="13" s="1"/>
  <c r="T49" i="13"/>
  <c r="S49" i="13" s="1"/>
  <c r="V49" i="13"/>
  <c r="U49" i="13" s="1"/>
  <c r="X49" i="13"/>
  <c r="W49" i="13" s="1"/>
  <c r="Z49" i="13"/>
  <c r="Y49" i="13" s="1"/>
  <c r="T50" i="13"/>
  <c r="S50" i="13" s="1"/>
  <c r="V50" i="13"/>
  <c r="U50" i="13" s="1"/>
  <c r="X50" i="13"/>
  <c r="W50" i="13" s="1"/>
  <c r="Z50" i="13"/>
  <c r="Y50" i="13" s="1"/>
  <c r="T51" i="13"/>
  <c r="S51" i="13" s="1"/>
  <c r="V51" i="13"/>
  <c r="U51" i="13" s="1"/>
  <c r="X51" i="13"/>
  <c r="W51" i="13" s="1"/>
  <c r="Z51" i="13"/>
  <c r="Y51" i="13" s="1"/>
  <c r="T52" i="13"/>
  <c r="S52" i="13" s="1"/>
  <c r="V52" i="13"/>
  <c r="U52" i="13" s="1"/>
  <c r="X52" i="13"/>
  <c r="W52" i="13" s="1"/>
  <c r="Z52" i="13"/>
  <c r="Y52" i="13" s="1"/>
  <c r="T53" i="13"/>
  <c r="S53" i="13" s="1"/>
  <c r="V53" i="13"/>
  <c r="U53" i="13" s="1"/>
  <c r="X53" i="13"/>
  <c r="W53" i="13" s="1"/>
  <c r="Z53" i="13"/>
  <c r="Y53" i="13" s="1"/>
  <c r="T54" i="13"/>
  <c r="S54" i="13" s="1"/>
  <c r="V54" i="13"/>
  <c r="U54" i="13" s="1"/>
  <c r="X54" i="13"/>
  <c r="W54" i="13" s="1"/>
  <c r="Z54" i="13"/>
  <c r="Y54" i="13" s="1"/>
  <c r="T55" i="13"/>
  <c r="S55" i="13" s="1"/>
  <c r="V55" i="13"/>
  <c r="U55" i="13" s="1"/>
  <c r="X55" i="13"/>
  <c r="W55" i="13" s="1"/>
  <c r="Z55" i="13"/>
  <c r="Y55" i="13" s="1"/>
  <c r="T56" i="13"/>
  <c r="S56" i="13" s="1"/>
  <c r="V56" i="13"/>
  <c r="U56" i="13" s="1"/>
  <c r="X56" i="13"/>
  <c r="W56" i="13" s="1"/>
  <c r="Z56" i="13"/>
  <c r="Y56" i="13" s="1"/>
  <c r="T57" i="13"/>
  <c r="S57" i="13" s="1"/>
  <c r="V57" i="13"/>
  <c r="U57" i="13" s="1"/>
  <c r="X57" i="13"/>
  <c r="W57" i="13" s="1"/>
  <c r="Z57" i="13"/>
  <c r="Y57" i="13" s="1"/>
  <c r="T58" i="13"/>
  <c r="S58" i="13" s="1"/>
  <c r="V58" i="13"/>
  <c r="U58" i="13" s="1"/>
  <c r="X58" i="13"/>
  <c r="W58" i="13" s="1"/>
  <c r="Z58" i="13"/>
  <c r="Y58" i="13" s="1"/>
  <c r="T59" i="13"/>
  <c r="S59" i="13" s="1"/>
  <c r="V59" i="13"/>
  <c r="U59" i="13" s="1"/>
  <c r="X59" i="13"/>
  <c r="W59" i="13" s="1"/>
  <c r="Z59" i="13"/>
  <c r="Y59" i="13" s="1"/>
  <c r="T60" i="13"/>
  <c r="S60" i="13" s="1"/>
  <c r="V60" i="13"/>
  <c r="U60" i="13" s="1"/>
  <c r="X60" i="13"/>
  <c r="W60" i="13" s="1"/>
  <c r="Z60" i="13"/>
  <c r="Y60" i="13" s="1"/>
  <c r="A4" i="13"/>
  <c r="A2" i="13"/>
  <c r="A1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B150" i="13"/>
  <c r="C150" i="13" s="1"/>
  <c r="B146" i="13"/>
  <c r="C146" i="13" s="1"/>
  <c r="H60" i="13"/>
  <c r="J60" i="13" s="1"/>
  <c r="H59" i="13"/>
  <c r="J59" i="13" s="1"/>
  <c r="H58" i="13"/>
  <c r="J58" i="13" s="1"/>
  <c r="H57" i="13"/>
  <c r="J57" i="13" s="1"/>
  <c r="H56" i="13"/>
  <c r="J56" i="13" s="1"/>
  <c r="M55" i="13"/>
  <c r="H53" i="13"/>
  <c r="J53" i="13" s="1"/>
  <c r="H52" i="13"/>
  <c r="J52" i="13" s="1"/>
  <c r="H51" i="13"/>
  <c r="J51" i="13" s="1"/>
  <c r="H50" i="13"/>
  <c r="J50" i="13" s="1"/>
  <c r="H49" i="13"/>
  <c r="J49" i="13" s="1"/>
  <c r="M48" i="13"/>
  <c r="H46" i="13"/>
  <c r="J46" i="13" s="1"/>
  <c r="H45" i="13"/>
  <c r="J45" i="13" s="1"/>
  <c r="H44" i="13"/>
  <c r="J44" i="13" s="1"/>
  <c r="H43" i="13"/>
  <c r="J43" i="13" s="1"/>
  <c r="H42" i="13"/>
  <c r="J42" i="13" s="1"/>
  <c r="M41" i="13"/>
  <c r="H39" i="13"/>
  <c r="J39" i="13" s="1"/>
  <c r="H38" i="13"/>
  <c r="J38" i="13" s="1"/>
  <c r="H37" i="13"/>
  <c r="J37" i="13" s="1"/>
  <c r="H36" i="13"/>
  <c r="J36" i="13" s="1"/>
  <c r="H35" i="13"/>
  <c r="J35" i="13" s="1"/>
  <c r="M34" i="13"/>
  <c r="H32" i="13"/>
  <c r="J32" i="13" s="1"/>
  <c r="H31" i="13"/>
  <c r="J31" i="13" s="1"/>
  <c r="Z30" i="13"/>
  <c r="Y30" i="13" s="1"/>
  <c r="X30" i="13"/>
  <c r="W30" i="13" s="1"/>
  <c r="V30" i="13"/>
  <c r="T30" i="13"/>
  <c r="H30" i="13"/>
  <c r="J30" i="13" s="1"/>
  <c r="Z29" i="13"/>
  <c r="Y29" i="13" s="1"/>
  <c r="X29" i="13"/>
  <c r="W29" i="13" s="1"/>
  <c r="V29" i="13"/>
  <c r="T29" i="13"/>
  <c r="H29" i="13"/>
  <c r="J29" i="13" s="1"/>
  <c r="Z28" i="13"/>
  <c r="Y28" i="13" s="1"/>
  <c r="X28" i="13"/>
  <c r="W28" i="13" s="1"/>
  <c r="V28" i="13"/>
  <c r="T28" i="13"/>
  <c r="H28" i="13"/>
  <c r="J28" i="13" s="1"/>
  <c r="Z27" i="13"/>
  <c r="Y27" i="13" s="1"/>
  <c r="X27" i="13"/>
  <c r="W27" i="13" s="1"/>
  <c r="V27" i="13"/>
  <c r="U27" i="13" s="1"/>
  <c r="T27" i="13"/>
  <c r="S27" i="13" s="1"/>
  <c r="M27" i="13"/>
  <c r="Z26" i="13"/>
  <c r="Y26" i="13" s="1"/>
  <c r="X26" i="13"/>
  <c r="W26" i="13" s="1"/>
  <c r="V26" i="13"/>
  <c r="U26" i="13" s="1"/>
  <c r="T26" i="13"/>
  <c r="S26" i="13" s="1"/>
  <c r="Z25" i="13"/>
  <c r="Y25" i="13" s="1"/>
  <c r="X25" i="13"/>
  <c r="W25" i="13" s="1"/>
  <c r="V25" i="13"/>
  <c r="U25" i="13" s="1"/>
  <c r="T25" i="13"/>
  <c r="S25" i="13" s="1"/>
  <c r="H25" i="13"/>
  <c r="J25" i="13" s="1"/>
  <c r="Z24" i="13"/>
  <c r="Y24" i="13" s="1"/>
  <c r="X24" i="13"/>
  <c r="W24" i="13" s="1"/>
  <c r="V24" i="13"/>
  <c r="T24" i="13"/>
  <c r="H24" i="13"/>
  <c r="J24" i="13" s="1"/>
  <c r="Z23" i="13"/>
  <c r="Y23" i="13" s="1"/>
  <c r="X23" i="13"/>
  <c r="W23" i="13" s="1"/>
  <c r="V23" i="13"/>
  <c r="T23" i="13"/>
  <c r="H23" i="13"/>
  <c r="J23" i="13" s="1"/>
  <c r="Z22" i="13"/>
  <c r="Y22" i="13" s="1"/>
  <c r="X22" i="13"/>
  <c r="W22" i="13" s="1"/>
  <c r="V22" i="13"/>
  <c r="T22" i="13"/>
  <c r="H22" i="13"/>
  <c r="J22" i="13" s="1"/>
  <c r="Z21" i="13"/>
  <c r="Y21" i="13" s="1"/>
  <c r="X21" i="13"/>
  <c r="W21" i="13" s="1"/>
  <c r="V21" i="13"/>
  <c r="T21" i="13"/>
  <c r="H21" i="13"/>
  <c r="J21" i="13" s="1"/>
  <c r="Z20" i="13"/>
  <c r="Y20" i="13" s="1"/>
  <c r="X20" i="13"/>
  <c r="W20" i="13" s="1"/>
  <c r="V20" i="13"/>
  <c r="U20" i="13" s="1"/>
  <c r="T20" i="13"/>
  <c r="M20" i="13"/>
  <c r="Z19" i="13"/>
  <c r="Y19" i="13" s="1"/>
  <c r="X19" i="13"/>
  <c r="W19" i="13" s="1"/>
  <c r="V19" i="13"/>
  <c r="U19" i="13" s="1"/>
  <c r="T19" i="13"/>
  <c r="S19" i="13" s="1"/>
  <c r="Z18" i="13"/>
  <c r="Y18" i="13" s="1"/>
  <c r="X18" i="13"/>
  <c r="W18" i="13" s="1"/>
  <c r="V18" i="13"/>
  <c r="U18" i="13" s="1"/>
  <c r="T18" i="13"/>
  <c r="S18" i="13" s="1"/>
  <c r="H18" i="13"/>
  <c r="J18" i="13" s="1"/>
  <c r="Z17" i="13"/>
  <c r="Y17" i="13" s="1"/>
  <c r="X17" i="13"/>
  <c r="W17" i="13" s="1"/>
  <c r="V17" i="13"/>
  <c r="T17" i="13"/>
  <c r="H17" i="13"/>
  <c r="J17" i="13" s="1"/>
  <c r="Z16" i="13"/>
  <c r="Y16" i="13" s="1"/>
  <c r="X16" i="13"/>
  <c r="W16" i="13" s="1"/>
  <c r="V16" i="13"/>
  <c r="T16" i="13"/>
  <c r="H16" i="13"/>
  <c r="J16" i="13" s="1"/>
  <c r="Z15" i="13"/>
  <c r="Y15" i="13" s="1"/>
  <c r="X15" i="13"/>
  <c r="W15" i="13" s="1"/>
  <c r="V15" i="13"/>
  <c r="T15" i="13"/>
  <c r="H15" i="13"/>
  <c r="J15" i="13" s="1"/>
  <c r="Z14" i="13"/>
  <c r="Y14" i="13" s="1"/>
  <c r="X14" i="13"/>
  <c r="W14" i="13" s="1"/>
  <c r="V14" i="13"/>
  <c r="T14" i="13"/>
  <c r="H14" i="13"/>
  <c r="J14" i="13" s="1"/>
  <c r="Z13" i="13"/>
  <c r="Y13" i="13" s="1"/>
  <c r="X13" i="13"/>
  <c r="W13" i="13" s="1"/>
  <c r="V13" i="13"/>
  <c r="U13" i="13" s="1"/>
  <c r="T13" i="13"/>
  <c r="S13" i="13" s="1"/>
  <c r="M13" i="13"/>
  <c r="Z12" i="13"/>
  <c r="Y12" i="13" s="1"/>
  <c r="X12" i="13"/>
  <c r="W12" i="13" s="1"/>
  <c r="V12" i="13"/>
  <c r="U12" i="13" s="1"/>
  <c r="T12" i="13"/>
  <c r="S12" i="13" s="1"/>
  <c r="Z11" i="13"/>
  <c r="Y11" i="13" s="1"/>
  <c r="X11" i="13"/>
  <c r="W11" i="13" s="1"/>
  <c r="V11" i="13"/>
  <c r="U11" i="13" s="1"/>
  <c r="T11" i="13"/>
  <c r="S11" i="13" s="1"/>
  <c r="H11" i="13"/>
  <c r="J11" i="13" s="1"/>
  <c r="Z10" i="13"/>
  <c r="Y10" i="13" s="1"/>
  <c r="X10" i="13"/>
  <c r="W10" i="13" s="1"/>
  <c r="V10" i="13"/>
  <c r="U10" i="13" s="1"/>
  <c r="T10" i="13"/>
  <c r="H10" i="13"/>
  <c r="J10" i="13" s="1"/>
  <c r="Z9" i="13"/>
  <c r="Y9" i="13" s="1"/>
  <c r="X9" i="13"/>
  <c r="W9" i="13" s="1"/>
  <c r="V9" i="13"/>
  <c r="T9" i="13"/>
  <c r="H9" i="13"/>
  <c r="J9" i="13" s="1"/>
  <c r="Z8" i="13"/>
  <c r="Y8" i="13" s="1"/>
  <c r="X8" i="13"/>
  <c r="W8" i="13" s="1"/>
  <c r="V8" i="13"/>
  <c r="T8" i="13"/>
  <c r="H8" i="13"/>
  <c r="J8" i="13" s="1"/>
  <c r="Z7" i="13"/>
  <c r="Y7" i="13" s="1"/>
  <c r="X7" i="13"/>
  <c r="W7" i="13" s="1"/>
  <c r="V7" i="13"/>
  <c r="T7" i="13"/>
  <c r="H7" i="13"/>
  <c r="J7" i="13" s="1"/>
  <c r="M6" i="13"/>
  <c r="I11" i="13" s="1"/>
  <c r="G1" i="13"/>
  <c r="E1" i="13"/>
  <c r="A4" i="15"/>
  <c r="A2" i="15"/>
  <c r="A1" i="15"/>
  <c r="C305" i="15"/>
  <c r="C304" i="15"/>
  <c r="C303" i="15"/>
  <c r="C302" i="15"/>
  <c r="C301" i="15"/>
  <c r="C300" i="15"/>
  <c r="H117" i="15"/>
  <c r="H114" i="15"/>
  <c r="H111" i="15"/>
  <c r="H108" i="15"/>
  <c r="H105" i="15"/>
  <c r="H102" i="15"/>
  <c r="B305" i="15" s="1"/>
  <c r="Z12" i="15"/>
  <c r="Y12" i="15" s="1"/>
  <c r="X12" i="15"/>
  <c r="W12" i="15" s="1"/>
  <c r="V12" i="15"/>
  <c r="T12" i="15"/>
  <c r="I12" i="15"/>
  <c r="Z11" i="15"/>
  <c r="Y11" i="15" s="1"/>
  <c r="X11" i="15"/>
  <c r="W11" i="15" s="1"/>
  <c r="V11" i="15"/>
  <c r="T11" i="15"/>
  <c r="I11" i="15"/>
  <c r="Z10" i="15"/>
  <c r="Y10" i="15" s="1"/>
  <c r="X10" i="15"/>
  <c r="W10" i="15" s="1"/>
  <c r="V10" i="15"/>
  <c r="T10" i="15"/>
  <c r="I10" i="15"/>
  <c r="Z9" i="15"/>
  <c r="Y9" i="15" s="1"/>
  <c r="X9" i="15"/>
  <c r="W9" i="15" s="1"/>
  <c r="V9" i="15"/>
  <c r="T9" i="15"/>
  <c r="I9" i="15"/>
  <c r="Z8" i="15"/>
  <c r="Y8" i="15" s="1"/>
  <c r="X8" i="15"/>
  <c r="W8" i="15" s="1"/>
  <c r="V8" i="15"/>
  <c r="T8" i="15"/>
  <c r="I8" i="15"/>
  <c r="Z7" i="15"/>
  <c r="Y7" i="15" s="1"/>
  <c r="X7" i="15"/>
  <c r="W7" i="15" s="1"/>
  <c r="V7" i="15"/>
  <c r="T7" i="15"/>
  <c r="I7" i="15"/>
  <c r="G1" i="15"/>
  <c r="E1" i="15"/>
  <c r="V66" i="16"/>
  <c r="N66" i="16"/>
  <c r="V65" i="16"/>
  <c r="V64" i="16"/>
  <c r="V63" i="16"/>
  <c r="V62" i="16"/>
  <c r="V61" i="16"/>
  <c r="N61" i="16"/>
  <c r="V60" i="16"/>
  <c r="N60" i="16"/>
  <c r="V59" i="16"/>
  <c r="V58" i="16"/>
  <c r="V57" i="16"/>
  <c r="V56" i="16"/>
  <c r="V55" i="16"/>
  <c r="V54" i="16"/>
  <c r="V53" i="16"/>
  <c r="V52" i="16"/>
  <c r="N52" i="16"/>
  <c r="V51" i="16"/>
  <c r="V50" i="16"/>
  <c r="N50" i="16"/>
  <c r="V49" i="16"/>
  <c r="V48" i="16"/>
  <c r="V47" i="16"/>
  <c r="V46" i="16"/>
  <c r="N46" i="16"/>
  <c r="V45" i="16"/>
  <c r="N45" i="16"/>
  <c r="V44" i="16"/>
  <c r="V43" i="16"/>
  <c r="V42" i="16"/>
  <c r="N42" i="16"/>
  <c r="V41" i="16"/>
  <c r="N41" i="16"/>
  <c r="V40" i="16"/>
  <c r="N40" i="16"/>
  <c r="V39" i="16"/>
  <c r="N39" i="16"/>
  <c r="V38" i="16"/>
  <c r="V37" i="16"/>
  <c r="N37" i="16"/>
  <c r="V36" i="16"/>
  <c r="N36" i="16"/>
  <c r="V35" i="16"/>
  <c r="N35" i="16"/>
  <c r="V34" i="16"/>
  <c r="N34" i="16"/>
  <c r="V33" i="16"/>
  <c r="N33" i="16"/>
  <c r="V32" i="16"/>
  <c r="N32" i="16"/>
  <c r="V31" i="16"/>
  <c r="N31" i="16"/>
  <c r="V30" i="16"/>
  <c r="N30" i="16"/>
  <c r="V29" i="16"/>
  <c r="N29" i="16"/>
  <c r="V28" i="16"/>
  <c r="N28" i="16"/>
  <c r="V27" i="16"/>
  <c r="V26" i="16"/>
  <c r="N26" i="16"/>
  <c r="V25" i="16"/>
  <c r="N25" i="16"/>
  <c r="V24" i="16"/>
  <c r="N24" i="16"/>
  <c r="V23" i="16"/>
  <c r="N23" i="16"/>
  <c r="V22" i="16"/>
  <c r="N22" i="16"/>
  <c r="V21" i="16"/>
  <c r="N21" i="16"/>
  <c r="V20" i="16"/>
  <c r="N20" i="16"/>
  <c r="V19" i="16"/>
  <c r="N19" i="16"/>
  <c r="V18" i="16"/>
  <c r="N18" i="16"/>
  <c r="V17" i="16"/>
  <c r="N17" i="16"/>
  <c r="V16" i="16"/>
  <c r="N16" i="16"/>
  <c r="V15" i="16"/>
  <c r="N15" i="16"/>
  <c r="V14" i="16"/>
  <c r="N14" i="16"/>
  <c r="V13" i="16"/>
  <c r="V12" i="16"/>
  <c r="N12" i="16"/>
  <c r="V11" i="16"/>
  <c r="N11" i="16"/>
  <c r="BI10" i="16"/>
  <c r="V10" i="16"/>
  <c r="N10" i="16"/>
  <c r="V9" i="16"/>
  <c r="N9" i="16"/>
  <c r="V8" i="16"/>
  <c r="N8" i="16"/>
  <c r="AQ67" i="16"/>
  <c r="V7" i="16"/>
  <c r="N7" i="16"/>
  <c r="AQ6" i="16"/>
  <c r="AN6" i="16"/>
  <c r="AM6" i="16"/>
  <c r="AL6" i="16"/>
  <c r="BI17" i="16" s="1"/>
  <c r="AK6" i="16"/>
  <c r="AJ6" i="16"/>
  <c r="AI6" i="16"/>
  <c r="AH6" i="16"/>
  <c r="AG6" i="16"/>
  <c r="AF6" i="16"/>
  <c r="AE6" i="16"/>
  <c r="AD6" i="16"/>
  <c r="AC6" i="16"/>
  <c r="AB6" i="16"/>
  <c r="AA6" i="16"/>
  <c r="Z6" i="16"/>
  <c r="BI15" i="16" l="1"/>
  <c r="N67" i="16"/>
  <c r="BI19" i="16"/>
  <c r="AQ68" i="16"/>
  <c r="I55" i="8"/>
  <c r="R50" i="22"/>
  <c r="R57" i="22"/>
  <c r="S20" i="13"/>
  <c r="R20" i="13" s="1"/>
  <c r="R20" i="22"/>
  <c r="R26" i="22"/>
  <c r="S10" i="13"/>
  <c r="R10" i="13" s="1"/>
  <c r="R12" i="22"/>
  <c r="R19" i="22"/>
  <c r="R27" i="22"/>
  <c r="R43" i="22"/>
  <c r="R13" i="22"/>
  <c r="S34" i="22"/>
  <c r="R34" i="22" s="1"/>
  <c r="S45" i="22"/>
  <c r="R45" i="22" s="1"/>
  <c r="S48" i="22"/>
  <c r="R48" i="22" s="1"/>
  <c r="S59" i="22"/>
  <c r="R59" i="22" s="1"/>
  <c r="S18" i="22"/>
  <c r="R18" i="22" s="1"/>
  <c r="S33" i="22"/>
  <c r="R33" i="22" s="1"/>
  <c r="S38" i="22"/>
  <c r="R38" i="22" s="1"/>
  <c r="S41" i="22"/>
  <c r="R41" i="22" s="1"/>
  <c r="S44" i="22"/>
  <c r="R44" i="22" s="1"/>
  <c r="S47" i="22"/>
  <c r="R47" i="22" s="1"/>
  <c r="S52" i="22"/>
  <c r="R52" i="22" s="1"/>
  <c r="S58" i="22"/>
  <c r="R58" i="22" s="1"/>
  <c r="S60" i="22"/>
  <c r="R60" i="22" s="1"/>
  <c r="R10" i="22"/>
  <c r="R24" i="22"/>
  <c r="R11" i="13"/>
  <c r="R12" i="13"/>
  <c r="R18" i="13"/>
  <c r="R25" i="13"/>
  <c r="R26" i="13"/>
  <c r="R17" i="22"/>
  <c r="R37" i="22"/>
  <c r="R40" i="22"/>
  <c r="R51" i="22"/>
  <c r="R54" i="22"/>
  <c r="R55" i="22"/>
  <c r="R35" i="22"/>
  <c r="R42" i="22"/>
  <c r="R46" i="22"/>
  <c r="R49" i="22"/>
  <c r="R53" i="22"/>
  <c r="R56" i="22"/>
  <c r="I25" i="22"/>
  <c r="I18" i="22"/>
  <c r="L7" i="22"/>
  <c r="K7" i="22"/>
  <c r="M7" i="22" s="1"/>
  <c r="K17" i="22"/>
  <c r="L17" i="22"/>
  <c r="K15" i="22"/>
  <c r="L15" i="22"/>
  <c r="I10" i="22"/>
  <c r="K8" i="22"/>
  <c r="K10" i="22"/>
  <c r="I11" i="22"/>
  <c r="L14" i="22"/>
  <c r="K14" i="22"/>
  <c r="L16" i="22"/>
  <c r="K16" i="22"/>
  <c r="L18" i="22"/>
  <c r="K18" i="22"/>
  <c r="K22" i="22"/>
  <c r="K24" i="22"/>
  <c r="L28" i="22"/>
  <c r="K28" i="22"/>
  <c r="M28" i="22" s="1"/>
  <c r="K31" i="22"/>
  <c r="L31" i="22"/>
  <c r="L32" i="22"/>
  <c r="K32" i="22"/>
  <c r="M32" i="22" s="1"/>
  <c r="R32" i="22"/>
  <c r="K36" i="22"/>
  <c r="L36" i="22"/>
  <c r="L37" i="22"/>
  <c r="K37" i="22"/>
  <c r="R39" i="22"/>
  <c r="K43" i="22"/>
  <c r="L43" i="22"/>
  <c r="L44" i="22"/>
  <c r="K44" i="22"/>
  <c r="K50" i="22"/>
  <c r="L50" i="22"/>
  <c r="L8" i="22"/>
  <c r="L9" i="22"/>
  <c r="K9" i="22"/>
  <c r="L10" i="22"/>
  <c r="M10" i="22" s="1"/>
  <c r="L11" i="22"/>
  <c r="K11" i="22"/>
  <c r="R11" i="22"/>
  <c r="M14" i="22"/>
  <c r="M16" i="22"/>
  <c r="M18" i="22"/>
  <c r="L21" i="22"/>
  <c r="K21" i="22"/>
  <c r="L22" i="22"/>
  <c r="L23" i="22"/>
  <c r="K23" i="22"/>
  <c r="L24" i="22"/>
  <c r="L25" i="22"/>
  <c r="K25" i="22"/>
  <c r="R25" i="22"/>
  <c r="K29" i="22"/>
  <c r="L29" i="22"/>
  <c r="L30" i="22"/>
  <c r="K30" i="22"/>
  <c r="L35" i="22"/>
  <c r="K35" i="22"/>
  <c r="K38" i="22"/>
  <c r="L38" i="22"/>
  <c r="L39" i="22"/>
  <c r="K39" i="22"/>
  <c r="L42" i="22"/>
  <c r="K42" i="22"/>
  <c r="K45" i="22"/>
  <c r="L45" i="22"/>
  <c r="L46" i="22"/>
  <c r="K46" i="22"/>
  <c r="L49" i="22"/>
  <c r="K49" i="22"/>
  <c r="K52" i="22"/>
  <c r="L52" i="22"/>
  <c r="L51" i="22"/>
  <c r="K51" i="22"/>
  <c r="L53" i="22"/>
  <c r="K53" i="22"/>
  <c r="K57" i="22"/>
  <c r="L57" i="22"/>
  <c r="L58" i="22"/>
  <c r="K58" i="22"/>
  <c r="L56" i="22"/>
  <c r="K56" i="22"/>
  <c r="K59" i="22"/>
  <c r="L59" i="22"/>
  <c r="L60" i="22"/>
  <c r="K60" i="22"/>
  <c r="I10" i="13"/>
  <c r="R60" i="13"/>
  <c r="R58" i="13"/>
  <c r="R56" i="13"/>
  <c r="R54" i="13"/>
  <c r="R52" i="13"/>
  <c r="R50" i="13"/>
  <c r="R48" i="13"/>
  <c r="R46" i="13"/>
  <c r="R44" i="13"/>
  <c r="R42" i="13"/>
  <c r="R40" i="13"/>
  <c r="R38" i="13"/>
  <c r="R36" i="13"/>
  <c r="R34" i="13"/>
  <c r="R32" i="13"/>
  <c r="L28" i="13"/>
  <c r="L30" i="13"/>
  <c r="L32" i="13"/>
  <c r="R59" i="13"/>
  <c r="R57" i="13"/>
  <c r="R55" i="13"/>
  <c r="R53" i="13"/>
  <c r="R51" i="13"/>
  <c r="R49" i="13"/>
  <c r="R47" i="13"/>
  <c r="R45" i="13"/>
  <c r="R43" i="13"/>
  <c r="R41" i="13"/>
  <c r="R39" i="13"/>
  <c r="R37" i="13"/>
  <c r="R35" i="13"/>
  <c r="R33" i="13"/>
  <c r="R31" i="13"/>
  <c r="L7" i="13"/>
  <c r="K7" i="13"/>
  <c r="M7" i="13" s="1"/>
  <c r="L9" i="13"/>
  <c r="K9" i="13"/>
  <c r="M9" i="13" s="1"/>
  <c r="K10" i="13"/>
  <c r="L10" i="13"/>
  <c r="L11" i="13"/>
  <c r="K11" i="13"/>
  <c r="M11" i="13" s="1"/>
  <c r="K21" i="13"/>
  <c r="L21" i="13"/>
  <c r="K25" i="13"/>
  <c r="L25" i="13"/>
  <c r="L8" i="13"/>
  <c r="K8" i="13"/>
  <c r="M8" i="13" s="1"/>
  <c r="R13" i="13"/>
  <c r="L14" i="13"/>
  <c r="K14" i="13"/>
  <c r="K15" i="13"/>
  <c r="M15" i="13" s="1"/>
  <c r="L15" i="13"/>
  <c r="L16" i="13"/>
  <c r="L18" i="13"/>
  <c r="K23" i="13"/>
  <c r="L23" i="13"/>
  <c r="L17" i="13"/>
  <c r="K17" i="13"/>
  <c r="M17" i="13" s="1"/>
  <c r="R19" i="13"/>
  <c r="I25" i="13"/>
  <c r="R27" i="13"/>
  <c r="L29" i="13"/>
  <c r="K29" i="13"/>
  <c r="L31" i="13"/>
  <c r="K31" i="13"/>
  <c r="K37" i="13"/>
  <c r="L37" i="13"/>
  <c r="L38" i="13"/>
  <c r="K38" i="13"/>
  <c r="K42" i="13"/>
  <c r="L42" i="13"/>
  <c r="L43" i="13"/>
  <c r="K43" i="13"/>
  <c r="K46" i="13"/>
  <c r="L46" i="13"/>
  <c r="K50" i="13"/>
  <c r="L50" i="13"/>
  <c r="I18" i="13"/>
  <c r="K16" i="13"/>
  <c r="M16" i="13" s="1"/>
  <c r="K18" i="13"/>
  <c r="M18" i="13" s="1"/>
  <c r="L22" i="13"/>
  <c r="K22" i="13"/>
  <c r="M22" i="13" s="1"/>
  <c r="L24" i="13"/>
  <c r="K24" i="13"/>
  <c r="M24" i="13" s="1"/>
  <c r="I32" i="13"/>
  <c r="K28" i="13"/>
  <c r="M28" i="13" s="1"/>
  <c r="K30" i="13"/>
  <c r="M30" i="13" s="1"/>
  <c r="I31" i="13"/>
  <c r="K32" i="13"/>
  <c r="M32" i="13" s="1"/>
  <c r="K35" i="13"/>
  <c r="L35" i="13"/>
  <c r="L36" i="13"/>
  <c r="K36" i="13"/>
  <c r="K39" i="13"/>
  <c r="L39" i="13"/>
  <c r="K44" i="13"/>
  <c r="L44" i="13"/>
  <c r="L45" i="13"/>
  <c r="K45" i="13"/>
  <c r="K49" i="13"/>
  <c r="L49" i="13"/>
  <c r="K52" i="13"/>
  <c r="L52" i="13"/>
  <c r="L51" i="13"/>
  <c r="K51" i="13"/>
  <c r="L53" i="13"/>
  <c r="K53" i="13"/>
  <c r="K57" i="13"/>
  <c r="L57" i="13"/>
  <c r="L58" i="13"/>
  <c r="K58" i="13"/>
  <c r="L56" i="13"/>
  <c r="K56" i="13"/>
  <c r="K59" i="13"/>
  <c r="L59" i="13"/>
  <c r="L60" i="13"/>
  <c r="K60" i="13"/>
  <c r="B300" i="15"/>
  <c r="B301" i="15"/>
  <c r="B302" i="15"/>
  <c r="B303" i="15"/>
  <c r="B304" i="15"/>
  <c r="BI11" i="16"/>
  <c r="BI12" i="16"/>
  <c r="BI13" i="16"/>
  <c r="BI16" i="16"/>
  <c r="BI21" i="16"/>
  <c r="BI23" i="16"/>
  <c r="BI25" i="16"/>
  <c r="BI29" i="16"/>
  <c r="BI31" i="16"/>
  <c r="BI32" i="16"/>
  <c r="BI37" i="16"/>
  <c r="BI38" i="16"/>
  <c r="BI60" i="16"/>
  <c r="BI35" i="16"/>
  <c r="BI8" i="16"/>
  <c r="BI9" i="16"/>
  <c r="BI14" i="16"/>
  <c r="BI18" i="16"/>
  <c r="BI20" i="16"/>
  <c r="BI22" i="16"/>
  <c r="BI24" i="16"/>
  <c r="BI26" i="16"/>
  <c r="BI27" i="16"/>
  <c r="BI28" i="16"/>
  <c r="BI30" i="16"/>
  <c r="BI33" i="16"/>
  <c r="BI34" i="16"/>
  <c r="BI41" i="16"/>
  <c r="BI42" i="16"/>
  <c r="BI43" i="16"/>
  <c r="BI44" i="16"/>
  <c r="BI46" i="16"/>
  <c r="BI47" i="16"/>
  <c r="AL67" i="16"/>
  <c r="I43" i="8" s="1"/>
  <c r="BI7" i="16"/>
  <c r="BI36" i="16"/>
  <c r="BI39" i="16"/>
  <c r="BI40" i="16"/>
  <c r="BI45" i="16"/>
  <c r="BI48" i="16"/>
  <c r="BI49" i="16"/>
  <c r="BI50" i="16"/>
  <c r="BI51" i="16"/>
  <c r="BI52" i="16"/>
  <c r="BI53" i="16"/>
  <c r="BI54" i="16"/>
  <c r="BI55" i="16"/>
  <c r="BI56" i="16"/>
  <c r="BI57" i="16"/>
  <c r="BI58" i="16"/>
  <c r="BI61" i="16"/>
  <c r="BI63" i="16"/>
  <c r="BI66" i="16"/>
  <c r="BI59" i="16"/>
  <c r="BI62" i="16"/>
  <c r="BI64" i="16"/>
  <c r="BI65" i="16"/>
  <c r="C10" i="6"/>
  <c r="C11" i="6"/>
  <c r="C12" i="6"/>
  <c r="C13" i="6"/>
  <c r="C14" i="6"/>
  <c r="C15" i="6"/>
  <c r="C16" i="6"/>
  <c r="G17" i="6"/>
  <c r="F17" i="6"/>
  <c r="E17" i="6"/>
  <c r="D17" i="6"/>
  <c r="C9" i="6"/>
  <c r="A9" i="6" s="1"/>
  <c r="C8" i="6"/>
  <c r="A14" i="6" s="1"/>
  <c r="J96" i="7"/>
  <c r="C97" i="7"/>
  <c r="N29" i="7"/>
  <c r="J27" i="7"/>
  <c r="L40" i="7"/>
  <c r="M123" i="7"/>
  <c r="K123" i="7"/>
  <c r="M120" i="7"/>
  <c r="I120" i="7"/>
  <c r="M117" i="7"/>
  <c r="M114" i="7"/>
  <c r="K114" i="7"/>
  <c r="K111" i="7"/>
  <c r="M107" i="7"/>
  <c r="K107" i="7"/>
  <c r="M104" i="7"/>
  <c r="M101" i="7"/>
  <c r="K101" i="7"/>
  <c r="N100" i="7"/>
  <c r="N98" i="7"/>
  <c r="L98" i="7"/>
  <c r="N97" i="7"/>
  <c r="M97" i="7"/>
  <c r="L97" i="7"/>
  <c r="K97" i="7"/>
  <c r="K96" i="7"/>
  <c r="M94" i="7"/>
  <c r="K93" i="7"/>
  <c r="K89" i="7"/>
  <c r="M87" i="7"/>
  <c r="K86" i="7"/>
  <c r="M81" i="7"/>
  <c r="N80" i="7"/>
  <c r="M78" i="7"/>
  <c r="K78" i="7"/>
  <c r="M75" i="7"/>
  <c r="M73" i="7"/>
  <c r="K73" i="7"/>
  <c r="K70" i="7"/>
  <c r="K66" i="7"/>
  <c r="K63" i="7"/>
  <c r="M60" i="7"/>
  <c r="K60" i="7"/>
  <c r="N59" i="7"/>
  <c r="M57" i="7"/>
  <c r="K57" i="7"/>
  <c r="M54" i="7"/>
  <c r="K51" i="7"/>
  <c r="C51" i="7"/>
  <c r="K47" i="7"/>
  <c r="M44" i="7"/>
  <c r="K44" i="7"/>
  <c r="M41" i="7"/>
  <c r="K38" i="7"/>
  <c r="N35" i="7"/>
  <c r="M33" i="7"/>
  <c r="K28" i="7"/>
  <c r="M25" i="7"/>
  <c r="K25" i="7"/>
  <c r="N24" i="7"/>
  <c r="L22" i="7"/>
  <c r="M21" i="7"/>
  <c r="L21" i="7"/>
  <c r="K21" i="7"/>
  <c r="K18" i="7"/>
  <c r="M15" i="7"/>
  <c r="K15" i="7"/>
  <c r="K14" i="7"/>
  <c r="M10" i="7"/>
  <c r="K7" i="7"/>
  <c r="L1" i="7"/>
  <c r="F54" i="8"/>
  <c r="F58" i="8"/>
  <c r="F56" i="8"/>
  <c r="F55" i="8"/>
  <c r="A3" i="44" s="1"/>
  <c r="F53" i="8"/>
  <c r="A3" i="43" s="1"/>
  <c r="F52" i="8"/>
  <c r="F50" i="8"/>
  <c r="F49" i="8"/>
  <c r="A3" i="41" s="1"/>
  <c r="F48" i="8"/>
  <c r="E48" i="8"/>
  <c r="F47" i="8"/>
  <c r="A3" i="39" s="1"/>
  <c r="F46" i="8"/>
  <c r="C46" i="8"/>
  <c r="E45" i="8"/>
  <c r="C45" i="8"/>
  <c r="F44" i="8"/>
  <c r="F43" i="8"/>
  <c r="A3" i="40" s="1"/>
  <c r="F40" i="8"/>
  <c r="F39" i="8"/>
  <c r="E39" i="8"/>
  <c r="F38" i="8"/>
  <c r="A3" i="29" s="1"/>
  <c r="E38" i="8"/>
  <c r="A1" i="29" s="1"/>
  <c r="F37" i="8"/>
  <c r="E37" i="8"/>
  <c r="F36" i="8"/>
  <c r="A3" i="30" s="1"/>
  <c r="F35" i="8"/>
  <c r="A3" i="31" s="1"/>
  <c r="F34" i="8"/>
  <c r="A3" i="32" s="1"/>
  <c r="F33" i="8"/>
  <c r="F32" i="8"/>
  <c r="A3" i="33" s="1"/>
  <c r="E32" i="8"/>
  <c r="A1" i="33" s="1"/>
  <c r="F30" i="8"/>
  <c r="A3" i="34" s="1"/>
  <c r="F29" i="8"/>
  <c r="E29" i="8"/>
  <c r="F28" i="8"/>
  <c r="A3" i="17" s="1"/>
  <c r="F27" i="8"/>
  <c r="A3" i="26" s="1"/>
  <c r="F26" i="8"/>
  <c r="F25" i="8"/>
  <c r="A3" i="27" s="1"/>
  <c r="F24" i="8"/>
  <c r="A3" i="28" s="1"/>
  <c r="F22" i="8"/>
  <c r="A3" i="23" s="1"/>
  <c r="F21" i="8"/>
  <c r="A3" i="24" s="1"/>
  <c r="F20" i="8"/>
  <c r="A3" i="25" s="1"/>
  <c r="E20" i="8"/>
  <c r="A1" i="25" s="1"/>
  <c r="F19" i="8"/>
  <c r="C19" i="8"/>
  <c r="C18" i="8"/>
  <c r="F17" i="8"/>
  <c r="F16" i="8"/>
  <c r="A3" i="18" s="1"/>
  <c r="E16" i="8"/>
  <c r="A1" i="18" s="1"/>
  <c r="F15" i="8"/>
  <c r="A3" i="19" s="1"/>
  <c r="E15" i="8"/>
  <c r="A1" i="19" s="1"/>
  <c r="F13" i="8"/>
  <c r="E13" i="8"/>
  <c r="F12" i="8"/>
  <c r="A3" i="20" s="1"/>
  <c r="E12" i="8"/>
  <c r="A1" i="20" s="1"/>
  <c r="F11" i="8"/>
  <c r="F10" i="8"/>
  <c r="A3" i="21" s="1"/>
  <c r="E10" i="8"/>
  <c r="A1" i="21" s="1"/>
  <c r="F9" i="8"/>
  <c r="F8" i="8"/>
  <c r="A3" i="22" s="1"/>
  <c r="F6" i="8"/>
  <c r="A3" i="13" s="1"/>
  <c r="F5" i="8"/>
  <c r="A3" i="15" s="1"/>
  <c r="G1" i="8"/>
  <c r="M59" i="13" l="1"/>
  <c r="B307" i="21"/>
  <c r="B300" i="21"/>
  <c r="B304" i="21"/>
  <c r="B308" i="21"/>
  <c r="B301" i="21"/>
  <c r="B305" i="21"/>
  <c r="B302" i="21"/>
  <c r="B306" i="21"/>
  <c r="B303" i="21"/>
  <c r="B307" i="23"/>
  <c r="B301" i="23"/>
  <c r="B311" i="23"/>
  <c r="B304" i="23"/>
  <c r="B300" i="23"/>
  <c r="B309" i="23"/>
  <c r="B312" i="23"/>
  <c r="B302" i="23"/>
  <c r="B303" i="23"/>
  <c r="B306" i="23"/>
  <c r="B309" i="27"/>
  <c r="B305" i="27"/>
  <c r="B301" i="27"/>
  <c r="B311" i="27"/>
  <c r="B308" i="27"/>
  <c r="B302" i="27"/>
  <c r="B307" i="27"/>
  <c r="B312" i="27"/>
  <c r="B306" i="27"/>
  <c r="B303" i="27"/>
  <c r="B310" i="27"/>
  <c r="B300" i="27"/>
  <c r="B300" i="34"/>
  <c r="B306" i="34"/>
  <c r="B310" i="34"/>
  <c r="B312" i="34"/>
  <c r="B303" i="34"/>
  <c r="B309" i="34"/>
  <c r="B302" i="34"/>
  <c r="B308" i="34"/>
  <c r="B311" i="34"/>
  <c r="B301" i="34"/>
  <c r="B307" i="34"/>
  <c r="B309" i="20"/>
  <c r="B300" i="20"/>
  <c r="B304" i="20"/>
  <c r="B308" i="20"/>
  <c r="B311" i="20"/>
  <c r="B303" i="20"/>
  <c r="B307" i="20"/>
  <c r="B302" i="20"/>
  <c r="B306" i="20"/>
  <c r="B310" i="20"/>
  <c r="B301" i="20"/>
  <c r="B305" i="20"/>
  <c r="B309" i="19"/>
  <c r="B300" i="19"/>
  <c r="B306" i="19"/>
  <c r="B303" i="19"/>
  <c r="B307" i="19"/>
  <c r="B302" i="19"/>
  <c r="B308" i="19"/>
  <c r="B301" i="19"/>
  <c r="B305" i="19"/>
  <c r="B309" i="18"/>
  <c r="B300" i="18"/>
  <c r="B304" i="18"/>
  <c r="B301" i="18"/>
  <c r="B305" i="18"/>
  <c r="B302" i="18"/>
  <c r="B308" i="18"/>
  <c r="B303" i="18"/>
  <c r="B307" i="18"/>
  <c r="B310" i="25"/>
  <c r="B301" i="25"/>
  <c r="B303" i="25"/>
  <c r="B305" i="25"/>
  <c r="B307" i="25"/>
  <c r="B309" i="25"/>
  <c r="B300" i="25"/>
  <c r="B302" i="25"/>
  <c r="B304" i="25"/>
  <c r="B306" i="25"/>
  <c r="B308" i="25"/>
  <c r="B309" i="33"/>
  <c r="B303" i="33"/>
  <c r="B310" i="33"/>
  <c r="B306" i="33"/>
  <c r="B302" i="33"/>
  <c r="B305" i="33"/>
  <c r="B301" i="33"/>
  <c r="B308" i="33"/>
  <c r="B304" i="33"/>
  <c r="B300" i="33"/>
  <c r="Z8" i="16"/>
  <c r="AW8" i="16" s="1"/>
  <c r="Z9" i="16"/>
  <c r="AW9" i="16" s="1"/>
  <c r="Z10" i="16"/>
  <c r="AW10" i="16" s="1"/>
  <c r="Z11" i="16"/>
  <c r="AW11" i="16" s="1"/>
  <c r="Z12" i="16"/>
  <c r="AW12" i="16" s="1"/>
  <c r="Z13" i="16"/>
  <c r="AW13" i="16" s="1"/>
  <c r="Z14" i="16"/>
  <c r="AW14" i="16" s="1"/>
  <c r="Z15" i="16"/>
  <c r="AW15" i="16" s="1"/>
  <c r="Z16" i="16"/>
  <c r="AW16" i="16" s="1"/>
  <c r="Z17" i="16"/>
  <c r="AW17" i="16" s="1"/>
  <c r="Z18" i="16"/>
  <c r="AW18" i="16" s="1"/>
  <c r="Z19" i="16"/>
  <c r="AW19" i="16" s="1"/>
  <c r="Z20" i="16"/>
  <c r="AW20" i="16" s="1"/>
  <c r="Z21" i="16"/>
  <c r="AW21" i="16" s="1"/>
  <c r="Z22" i="16"/>
  <c r="AW22" i="16" s="1"/>
  <c r="Z24" i="16"/>
  <c r="AW24" i="16" s="1"/>
  <c r="Z25" i="16"/>
  <c r="AW25" i="16" s="1"/>
  <c r="Z27" i="16"/>
  <c r="AW27" i="16" s="1"/>
  <c r="Z29" i="16"/>
  <c r="AW29" i="16" s="1"/>
  <c r="Z31" i="16"/>
  <c r="AW31" i="16" s="1"/>
  <c r="Z33" i="16"/>
  <c r="AW33" i="16" s="1"/>
  <c r="Z35" i="16"/>
  <c r="AW35" i="16" s="1"/>
  <c r="Z37" i="16"/>
  <c r="AW37" i="16" s="1"/>
  <c r="Z39" i="16"/>
  <c r="AW39" i="16" s="1"/>
  <c r="Z41" i="16"/>
  <c r="AW41" i="16" s="1"/>
  <c r="Z43" i="16"/>
  <c r="AW43" i="16" s="1"/>
  <c r="Z45" i="16"/>
  <c r="AW45" i="16" s="1"/>
  <c r="Z47" i="16"/>
  <c r="AW47" i="16" s="1"/>
  <c r="Z49" i="16"/>
  <c r="AW49" i="16" s="1"/>
  <c r="Z51" i="16"/>
  <c r="AW51" i="16" s="1"/>
  <c r="Z53" i="16"/>
  <c r="AW53" i="16" s="1"/>
  <c r="Z55" i="16"/>
  <c r="AW55" i="16" s="1"/>
  <c r="Z57" i="16"/>
  <c r="AW57" i="16" s="1"/>
  <c r="Z59" i="16"/>
  <c r="AW59" i="16" s="1"/>
  <c r="Z61" i="16"/>
  <c r="AW61" i="16" s="1"/>
  <c r="Z63" i="16"/>
  <c r="AW63" i="16" s="1"/>
  <c r="Z65" i="16"/>
  <c r="AW65" i="16" s="1"/>
  <c r="Z7" i="16"/>
  <c r="Z23" i="16"/>
  <c r="AW23" i="16" s="1"/>
  <c r="Z26" i="16"/>
  <c r="AW26" i="16" s="1"/>
  <c r="Z28" i="16"/>
  <c r="AW28" i="16" s="1"/>
  <c r="Z30" i="16"/>
  <c r="AW30" i="16" s="1"/>
  <c r="Z32" i="16"/>
  <c r="AW32" i="16" s="1"/>
  <c r="Z34" i="16"/>
  <c r="AW34" i="16" s="1"/>
  <c r="Z36" i="16"/>
  <c r="AW36" i="16" s="1"/>
  <c r="Z38" i="16"/>
  <c r="AW38" i="16" s="1"/>
  <c r="Z40" i="16"/>
  <c r="AW40" i="16" s="1"/>
  <c r="Z42" i="16"/>
  <c r="AW42" i="16" s="1"/>
  <c r="Z44" i="16"/>
  <c r="AW44" i="16" s="1"/>
  <c r="Z46" i="16"/>
  <c r="AW46" i="16" s="1"/>
  <c r="Z48" i="16"/>
  <c r="AW48" i="16" s="1"/>
  <c r="Z50" i="16"/>
  <c r="AW50" i="16" s="1"/>
  <c r="Z52" i="16"/>
  <c r="AW52" i="16" s="1"/>
  <c r="Z54" i="16"/>
  <c r="AW54" i="16" s="1"/>
  <c r="Z56" i="16"/>
  <c r="AW56" i="16" s="1"/>
  <c r="Z58" i="16"/>
  <c r="AW58" i="16" s="1"/>
  <c r="Z60" i="16"/>
  <c r="AW60" i="16" s="1"/>
  <c r="Z62" i="16"/>
  <c r="AW62" i="16" s="1"/>
  <c r="Z64" i="16"/>
  <c r="AW64" i="16" s="1"/>
  <c r="Z66" i="16"/>
  <c r="AW66" i="16" s="1"/>
  <c r="M51" i="13"/>
  <c r="M45" i="13"/>
  <c r="M53" i="13"/>
  <c r="M52" i="13"/>
  <c r="M44" i="13"/>
  <c r="M36" i="13"/>
  <c r="M43" i="13"/>
  <c r="M38" i="13"/>
  <c r="M37" i="13"/>
  <c r="M14" i="13"/>
  <c r="M51" i="22"/>
  <c r="M49" i="22"/>
  <c r="M35" i="22"/>
  <c r="M30" i="22"/>
  <c r="M60" i="22"/>
  <c r="M56" i="22"/>
  <c r="M57" i="22"/>
  <c r="M46" i="22"/>
  <c r="M42" i="22"/>
  <c r="M39" i="22"/>
  <c r="M25" i="22"/>
  <c r="M23" i="22"/>
  <c r="M21" i="22"/>
  <c r="M11" i="22"/>
  <c r="M9" i="22"/>
  <c r="M50" i="22"/>
  <c r="M43" i="22"/>
  <c r="M37" i="22"/>
  <c r="M17" i="22"/>
  <c r="M59" i="22"/>
  <c r="M58" i="22"/>
  <c r="M53" i="22"/>
  <c r="M52" i="22"/>
  <c r="M45" i="22"/>
  <c r="M38" i="22"/>
  <c r="M29" i="22"/>
  <c r="M44" i="22"/>
  <c r="M36" i="22"/>
  <c r="M31" i="22"/>
  <c r="I30" i="22"/>
  <c r="M24" i="22"/>
  <c r="M22" i="22"/>
  <c r="M15" i="22"/>
  <c r="I15" i="22" s="1"/>
  <c r="M8" i="22"/>
  <c r="I59" i="22"/>
  <c r="I57" i="22"/>
  <c r="I60" i="22"/>
  <c r="I58" i="22"/>
  <c r="I56" i="22"/>
  <c r="I45" i="22"/>
  <c r="I43" i="22"/>
  <c r="I46" i="22"/>
  <c r="I44" i="22"/>
  <c r="I42" i="22"/>
  <c r="I9" i="22"/>
  <c r="I28" i="22"/>
  <c r="I8" i="22"/>
  <c r="I7" i="22"/>
  <c r="I29" i="22"/>
  <c r="I31" i="22"/>
  <c r="I22" i="22"/>
  <c r="I52" i="22"/>
  <c r="I50" i="22"/>
  <c r="I53" i="22"/>
  <c r="I51" i="22"/>
  <c r="I49" i="22"/>
  <c r="I16" i="22"/>
  <c r="I38" i="22"/>
  <c r="I36" i="22"/>
  <c r="I39" i="22"/>
  <c r="I37" i="22"/>
  <c r="I35" i="22"/>
  <c r="I23" i="22"/>
  <c r="I21" i="22"/>
  <c r="I14" i="22"/>
  <c r="M25" i="13"/>
  <c r="M21" i="13"/>
  <c r="I24" i="13" s="1"/>
  <c r="M23" i="13"/>
  <c r="I15" i="13"/>
  <c r="M10" i="13"/>
  <c r="I8" i="13" s="1"/>
  <c r="M60" i="13"/>
  <c r="M56" i="13"/>
  <c r="I57" i="13" s="1"/>
  <c r="M58" i="13"/>
  <c r="M57" i="13"/>
  <c r="M49" i="13"/>
  <c r="M39" i="13"/>
  <c r="M35" i="13"/>
  <c r="M50" i="13"/>
  <c r="M46" i="13"/>
  <c r="M42" i="13"/>
  <c r="M29" i="13"/>
  <c r="I59" i="13"/>
  <c r="I60" i="13"/>
  <c r="I56" i="13"/>
  <c r="I52" i="13"/>
  <c r="I50" i="13"/>
  <c r="I53" i="13"/>
  <c r="I51" i="13"/>
  <c r="I49" i="13"/>
  <c r="I39" i="13"/>
  <c r="I37" i="13"/>
  <c r="I35" i="13"/>
  <c r="I38" i="13"/>
  <c r="I36" i="13"/>
  <c r="I21" i="13"/>
  <c r="I9" i="13"/>
  <c r="I7" i="13"/>
  <c r="I22" i="13"/>
  <c r="I16" i="13"/>
  <c r="I46" i="13"/>
  <c r="I44" i="13"/>
  <c r="I42" i="13"/>
  <c r="I45" i="13"/>
  <c r="I43" i="13"/>
  <c r="I23" i="13"/>
  <c r="I14" i="13"/>
  <c r="I17" i="13"/>
  <c r="M31" i="13"/>
  <c r="I28" i="13" s="1"/>
  <c r="A11" i="6"/>
  <c r="A13" i="6"/>
  <c r="A15" i="6"/>
  <c r="A8" i="6"/>
  <c r="A10" i="6"/>
  <c r="A12" i="6"/>
  <c r="A16" i="6"/>
  <c r="AE8" i="16" l="1"/>
  <c r="BB8" i="16" s="1"/>
  <c r="AE12" i="16"/>
  <c r="BB12" i="16" s="1"/>
  <c r="AE16" i="16"/>
  <c r="BB16" i="16" s="1"/>
  <c r="AE20" i="16"/>
  <c r="BB20" i="16" s="1"/>
  <c r="AE24" i="16"/>
  <c r="BB24" i="16" s="1"/>
  <c r="AE28" i="16"/>
  <c r="BB28" i="16" s="1"/>
  <c r="AE32" i="16"/>
  <c r="BB32" i="16" s="1"/>
  <c r="AE36" i="16"/>
  <c r="BB36" i="16" s="1"/>
  <c r="AE40" i="16"/>
  <c r="BB40" i="16" s="1"/>
  <c r="AE44" i="16"/>
  <c r="BB44" i="16" s="1"/>
  <c r="AE48" i="16"/>
  <c r="BB48" i="16" s="1"/>
  <c r="AE11" i="16"/>
  <c r="BB11" i="16" s="1"/>
  <c r="AE15" i="16"/>
  <c r="BB15" i="16" s="1"/>
  <c r="AE19" i="16"/>
  <c r="BB19" i="16" s="1"/>
  <c r="AE23" i="16"/>
  <c r="BB23" i="16" s="1"/>
  <c r="AE27" i="16"/>
  <c r="BB27" i="16" s="1"/>
  <c r="AE31" i="16"/>
  <c r="BB31" i="16" s="1"/>
  <c r="AE35" i="16"/>
  <c r="BB35" i="16" s="1"/>
  <c r="AE39" i="16"/>
  <c r="BB39" i="16" s="1"/>
  <c r="AE43" i="16"/>
  <c r="BB43" i="16" s="1"/>
  <c r="AE47" i="16"/>
  <c r="BB47" i="16" s="1"/>
  <c r="AE51" i="16"/>
  <c r="BB51" i="16" s="1"/>
  <c r="AE55" i="16"/>
  <c r="BB55" i="16" s="1"/>
  <c r="AE59" i="16"/>
  <c r="BB59" i="16" s="1"/>
  <c r="AE63" i="16"/>
  <c r="BB63" i="16" s="1"/>
  <c r="AE50" i="16"/>
  <c r="BB50" i="16" s="1"/>
  <c r="AE54" i="16"/>
  <c r="BB54" i="16" s="1"/>
  <c r="AE58" i="16"/>
  <c r="BB58" i="16" s="1"/>
  <c r="AE62" i="16"/>
  <c r="BB62" i="16" s="1"/>
  <c r="AE66" i="16"/>
  <c r="BB66" i="16" s="1"/>
  <c r="AE10" i="16"/>
  <c r="BB10" i="16" s="1"/>
  <c r="AE14" i="16"/>
  <c r="BB14" i="16" s="1"/>
  <c r="AE18" i="16"/>
  <c r="BB18" i="16" s="1"/>
  <c r="AE22" i="16"/>
  <c r="BB22" i="16" s="1"/>
  <c r="AE30" i="16"/>
  <c r="BB30" i="16" s="1"/>
  <c r="AE38" i="16"/>
  <c r="BB38" i="16" s="1"/>
  <c r="AE46" i="16"/>
  <c r="BB46" i="16" s="1"/>
  <c r="AE13" i="16"/>
  <c r="BB13" i="16" s="1"/>
  <c r="AE21" i="16"/>
  <c r="BB21" i="16" s="1"/>
  <c r="AE29" i="16"/>
  <c r="BB29" i="16" s="1"/>
  <c r="AE37" i="16"/>
  <c r="BB37" i="16" s="1"/>
  <c r="AE45" i="16"/>
  <c r="BB45" i="16" s="1"/>
  <c r="AE53" i="16"/>
  <c r="BB53" i="16" s="1"/>
  <c r="AE61" i="16"/>
  <c r="BB61" i="16" s="1"/>
  <c r="AE7" i="16"/>
  <c r="AE52" i="16"/>
  <c r="BB52" i="16" s="1"/>
  <c r="AE60" i="16"/>
  <c r="BB60" i="16" s="1"/>
  <c r="AE26" i="16"/>
  <c r="BB26" i="16" s="1"/>
  <c r="AE34" i="16"/>
  <c r="BB34" i="16" s="1"/>
  <c r="AE42" i="16"/>
  <c r="BB42" i="16" s="1"/>
  <c r="AE9" i="16"/>
  <c r="BB9" i="16" s="1"/>
  <c r="AE17" i="16"/>
  <c r="BB17" i="16" s="1"/>
  <c r="AE25" i="16"/>
  <c r="BB25" i="16" s="1"/>
  <c r="AE33" i="16"/>
  <c r="BB33" i="16" s="1"/>
  <c r="AE41" i="16"/>
  <c r="BB41" i="16" s="1"/>
  <c r="AE49" i="16"/>
  <c r="BB49" i="16" s="1"/>
  <c r="AE57" i="16"/>
  <c r="BB57" i="16" s="1"/>
  <c r="AE65" i="16"/>
  <c r="BB65" i="16" s="1"/>
  <c r="AE56" i="16"/>
  <c r="BB56" i="16" s="1"/>
  <c r="AE64" i="16"/>
  <c r="BB64" i="16" s="1"/>
  <c r="AD9" i="16"/>
  <c r="BA9" i="16" s="1"/>
  <c r="AD13" i="16"/>
  <c r="BA13" i="16" s="1"/>
  <c r="AD17" i="16"/>
  <c r="BA17" i="16" s="1"/>
  <c r="AD21" i="16"/>
  <c r="BA21" i="16" s="1"/>
  <c r="AD25" i="16"/>
  <c r="BA25" i="16" s="1"/>
  <c r="AD29" i="16"/>
  <c r="BA29" i="16" s="1"/>
  <c r="AD33" i="16"/>
  <c r="BA33" i="16" s="1"/>
  <c r="AD37" i="16"/>
  <c r="BA37" i="16" s="1"/>
  <c r="AD41" i="16"/>
  <c r="BA41" i="16" s="1"/>
  <c r="AD45" i="16"/>
  <c r="BA45" i="16" s="1"/>
  <c r="AD49" i="16"/>
  <c r="BA49" i="16" s="1"/>
  <c r="AD10" i="16"/>
  <c r="BA10" i="16" s="1"/>
  <c r="AD14" i="16"/>
  <c r="BA14" i="16" s="1"/>
  <c r="AD18" i="16"/>
  <c r="BA18" i="16" s="1"/>
  <c r="AD22" i="16"/>
  <c r="BA22" i="16" s="1"/>
  <c r="AD26" i="16"/>
  <c r="BA26" i="16" s="1"/>
  <c r="AD30" i="16"/>
  <c r="BA30" i="16" s="1"/>
  <c r="AD34" i="16"/>
  <c r="BA34" i="16" s="1"/>
  <c r="AD38" i="16"/>
  <c r="BA38" i="16" s="1"/>
  <c r="AD42" i="16"/>
  <c r="BA42" i="16" s="1"/>
  <c r="AD46" i="16"/>
  <c r="BA46" i="16" s="1"/>
  <c r="AD50" i="16"/>
  <c r="BA50" i="16" s="1"/>
  <c r="AD54" i="16"/>
  <c r="BA54" i="16" s="1"/>
  <c r="AD58" i="16"/>
  <c r="BA58" i="16" s="1"/>
  <c r="AD62" i="16"/>
  <c r="BA62" i="16" s="1"/>
  <c r="AD66" i="16"/>
  <c r="BA66" i="16" s="1"/>
  <c r="AD51" i="16"/>
  <c r="BA51" i="16" s="1"/>
  <c r="AD55" i="16"/>
  <c r="BA55" i="16" s="1"/>
  <c r="AD59" i="16"/>
  <c r="BA59" i="16" s="1"/>
  <c r="AD63" i="16"/>
  <c r="BA63" i="16" s="1"/>
  <c r="AD11" i="16"/>
  <c r="BA11" i="16" s="1"/>
  <c r="AD15" i="16"/>
  <c r="BA15" i="16" s="1"/>
  <c r="AD19" i="16"/>
  <c r="BA19" i="16" s="1"/>
  <c r="AD23" i="16"/>
  <c r="BA23" i="16" s="1"/>
  <c r="AD27" i="16"/>
  <c r="BA27" i="16" s="1"/>
  <c r="AD31" i="16"/>
  <c r="BA31" i="16" s="1"/>
  <c r="AD35" i="16"/>
  <c r="BA35" i="16" s="1"/>
  <c r="AD39" i="16"/>
  <c r="BA39" i="16" s="1"/>
  <c r="AD43" i="16"/>
  <c r="BA43" i="16" s="1"/>
  <c r="AD47" i="16"/>
  <c r="BA47" i="16" s="1"/>
  <c r="AD8" i="16"/>
  <c r="BA8" i="16" s="1"/>
  <c r="AD12" i="16"/>
  <c r="BA12" i="16" s="1"/>
  <c r="AD16" i="16"/>
  <c r="BA16" i="16" s="1"/>
  <c r="AD20" i="16"/>
  <c r="BA20" i="16" s="1"/>
  <c r="AD24" i="16"/>
  <c r="BA24" i="16" s="1"/>
  <c r="AD28" i="16"/>
  <c r="BA28" i="16" s="1"/>
  <c r="AD32" i="16"/>
  <c r="BA32" i="16" s="1"/>
  <c r="AD36" i="16"/>
  <c r="BA36" i="16" s="1"/>
  <c r="AD40" i="16"/>
  <c r="BA40" i="16" s="1"/>
  <c r="AD44" i="16"/>
  <c r="BA44" i="16" s="1"/>
  <c r="AD48" i="16"/>
  <c r="BA48" i="16" s="1"/>
  <c r="AD52" i="16"/>
  <c r="BA52" i="16" s="1"/>
  <c r="AD56" i="16"/>
  <c r="BA56" i="16" s="1"/>
  <c r="AD60" i="16"/>
  <c r="BA60" i="16" s="1"/>
  <c r="AD64" i="16"/>
  <c r="BA64" i="16" s="1"/>
  <c r="AD53" i="16"/>
  <c r="BA53" i="16" s="1"/>
  <c r="AD57" i="16"/>
  <c r="BA57" i="16" s="1"/>
  <c r="AD61" i="16"/>
  <c r="BA61" i="16" s="1"/>
  <c r="AD65" i="16"/>
  <c r="BA65" i="16" s="1"/>
  <c r="AD7" i="16"/>
  <c r="AJ8" i="16"/>
  <c r="BG8" i="16" s="1"/>
  <c r="AJ12" i="16"/>
  <c r="BG12" i="16" s="1"/>
  <c r="AJ16" i="16"/>
  <c r="BG16" i="16" s="1"/>
  <c r="AJ20" i="16"/>
  <c r="BG20" i="16" s="1"/>
  <c r="AJ24" i="16"/>
  <c r="BG24" i="16" s="1"/>
  <c r="AJ28" i="16"/>
  <c r="BG28" i="16" s="1"/>
  <c r="AJ32" i="16"/>
  <c r="BG32" i="16" s="1"/>
  <c r="AJ36" i="16"/>
  <c r="BG36" i="16" s="1"/>
  <c r="AJ40" i="16"/>
  <c r="BG40" i="16" s="1"/>
  <c r="AJ44" i="16"/>
  <c r="BG44" i="16" s="1"/>
  <c r="AJ48" i="16"/>
  <c r="BG48" i="16" s="1"/>
  <c r="AJ52" i="16"/>
  <c r="BG52" i="16" s="1"/>
  <c r="AJ56" i="16"/>
  <c r="BG56" i="16" s="1"/>
  <c r="AJ60" i="16"/>
  <c r="BG60" i="16" s="1"/>
  <c r="AJ64" i="16"/>
  <c r="BG64" i="16" s="1"/>
  <c r="AJ11" i="16"/>
  <c r="BG11" i="16" s="1"/>
  <c r="AJ15" i="16"/>
  <c r="BG15" i="16" s="1"/>
  <c r="AJ19" i="16"/>
  <c r="BG19" i="16" s="1"/>
  <c r="AJ23" i="16"/>
  <c r="BG23" i="16" s="1"/>
  <c r="AJ27" i="16"/>
  <c r="BG27" i="16" s="1"/>
  <c r="AJ31" i="16"/>
  <c r="BG31" i="16" s="1"/>
  <c r="AJ35" i="16"/>
  <c r="BG35" i="16" s="1"/>
  <c r="AJ39" i="16"/>
  <c r="BG39" i="16" s="1"/>
  <c r="AJ43" i="16"/>
  <c r="BG43" i="16" s="1"/>
  <c r="AJ47" i="16"/>
  <c r="BG47" i="16" s="1"/>
  <c r="AJ51" i="16"/>
  <c r="BG51" i="16" s="1"/>
  <c r="AJ55" i="16"/>
  <c r="BG55" i="16" s="1"/>
  <c r="AJ59" i="16"/>
  <c r="BG59" i="16" s="1"/>
  <c r="AJ63" i="16"/>
  <c r="BG63" i="16" s="1"/>
  <c r="AJ10" i="16"/>
  <c r="BG10" i="16" s="1"/>
  <c r="AJ14" i="16"/>
  <c r="BG14" i="16" s="1"/>
  <c r="AJ18" i="16"/>
  <c r="BG18" i="16" s="1"/>
  <c r="AJ22" i="16"/>
  <c r="BG22" i="16" s="1"/>
  <c r="AJ26" i="16"/>
  <c r="BG26" i="16" s="1"/>
  <c r="AJ30" i="16"/>
  <c r="BG30" i="16" s="1"/>
  <c r="AJ34" i="16"/>
  <c r="BG34" i="16" s="1"/>
  <c r="AJ38" i="16"/>
  <c r="BG38" i="16" s="1"/>
  <c r="AJ42" i="16"/>
  <c r="BG42" i="16" s="1"/>
  <c r="AJ46" i="16"/>
  <c r="BG46" i="16" s="1"/>
  <c r="AJ50" i="16"/>
  <c r="BG50" i="16" s="1"/>
  <c r="AJ54" i="16"/>
  <c r="BG54" i="16" s="1"/>
  <c r="AJ58" i="16"/>
  <c r="BG58" i="16" s="1"/>
  <c r="AJ62" i="16"/>
  <c r="BG62" i="16" s="1"/>
  <c r="AJ66" i="16"/>
  <c r="BG66" i="16" s="1"/>
  <c r="AJ9" i="16"/>
  <c r="BG9" i="16" s="1"/>
  <c r="AJ13" i="16"/>
  <c r="BG13" i="16" s="1"/>
  <c r="AJ17" i="16"/>
  <c r="BG17" i="16" s="1"/>
  <c r="AJ21" i="16"/>
  <c r="BG21" i="16" s="1"/>
  <c r="AJ25" i="16"/>
  <c r="BG25" i="16" s="1"/>
  <c r="AJ29" i="16"/>
  <c r="BG29" i="16" s="1"/>
  <c r="AJ33" i="16"/>
  <c r="BG33" i="16" s="1"/>
  <c r="AJ37" i="16"/>
  <c r="BG37" i="16" s="1"/>
  <c r="AJ41" i="16"/>
  <c r="BG41" i="16" s="1"/>
  <c r="AJ45" i="16"/>
  <c r="BG45" i="16" s="1"/>
  <c r="AJ49" i="16"/>
  <c r="BG49" i="16" s="1"/>
  <c r="AJ53" i="16"/>
  <c r="BG53" i="16" s="1"/>
  <c r="AJ57" i="16"/>
  <c r="BG57" i="16" s="1"/>
  <c r="AJ61" i="16"/>
  <c r="BG61" i="16" s="1"/>
  <c r="AJ65" i="16"/>
  <c r="BG65" i="16" s="1"/>
  <c r="AJ7" i="16"/>
  <c r="AG8" i="16"/>
  <c r="BD8" i="16" s="1"/>
  <c r="AG12" i="16"/>
  <c r="BD12" i="16" s="1"/>
  <c r="AG16" i="16"/>
  <c r="BD16" i="16" s="1"/>
  <c r="AG20" i="16"/>
  <c r="BD20" i="16" s="1"/>
  <c r="AG10" i="16"/>
  <c r="BD10" i="16" s="1"/>
  <c r="AG18" i="16"/>
  <c r="BD18" i="16" s="1"/>
  <c r="AG24" i="16"/>
  <c r="BD24" i="16" s="1"/>
  <c r="AG28" i="16"/>
  <c r="BD28" i="16" s="1"/>
  <c r="AG32" i="16"/>
  <c r="BD32" i="16" s="1"/>
  <c r="AG36" i="16"/>
  <c r="BD36" i="16" s="1"/>
  <c r="AG40" i="16"/>
  <c r="BD40" i="16" s="1"/>
  <c r="AG44" i="16"/>
  <c r="BD44" i="16" s="1"/>
  <c r="AG48" i="16"/>
  <c r="BD48" i="16" s="1"/>
  <c r="AG52" i="16"/>
  <c r="BD52" i="16" s="1"/>
  <c r="AG56" i="16"/>
  <c r="BD56" i="16" s="1"/>
  <c r="AG60" i="16"/>
  <c r="BD60" i="16" s="1"/>
  <c r="AG64" i="16"/>
  <c r="BD64" i="16" s="1"/>
  <c r="AG11" i="16"/>
  <c r="BD11" i="16" s="1"/>
  <c r="AG15" i="16"/>
  <c r="BD15" i="16" s="1"/>
  <c r="AG19" i="16"/>
  <c r="BD19" i="16" s="1"/>
  <c r="AG23" i="16"/>
  <c r="BD23" i="16" s="1"/>
  <c r="AG27" i="16"/>
  <c r="BD27" i="16" s="1"/>
  <c r="AG31" i="16"/>
  <c r="BD31" i="16" s="1"/>
  <c r="AG35" i="16"/>
  <c r="BD35" i="16" s="1"/>
  <c r="AG39" i="16"/>
  <c r="BD39" i="16" s="1"/>
  <c r="AG43" i="16"/>
  <c r="BD43" i="16" s="1"/>
  <c r="AG47" i="16"/>
  <c r="BD47" i="16" s="1"/>
  <c r="AG51" i="16"/>
  <c r="BD51" i="16" s="1"/>
  <c r="AG55" i="16"/>
  <c r="BD55" i="16" s="1"/>
  <c r="AG59" i="16"/>
  <c r="BD59" i="16" s="1"/>
  <c r="AG63" i="16"/>
  <c r="BD63" i="16" s="1"/>
  <c r="AG14" i="16"/>
  <c r="BD14" i="16" s="1"/>
  <c r="AG22" i="16"/>
  <c r="BD22" i="16" s="1"/>
  <c r="AG26" i="16"/>
  <c r="BD26" i="16" s="1"/>
  <c r="AG30" i="16"/>
  <c r="BD30" i="16" s="1"/>
  <c r="AG34" i="16"/>
  <c r="BD34" i="16" s="1"/>
  <c r="AG38" i="16"/>
  <c r="BD38" i="16" s="1"/>
  <c r="AG42" i="16"/>
  <c r="BD42" i="16" s="1"/>
  <c r="AG46" i="16"/>
  <c r="BD46" i="16" s="1"/>
  <c r="AG50" i="16"/>
  <c r="BD50" i="16" s="1"/>
  <c r="AG54" i="16"/>
  <c r="BD54" i="16" s="1"/>
  <c r="AG58" i="16"/>
  <c r="BD58" i="16" s="1"/>
  <c r="AG62" i="16"/>
  <c r="BD62" i="16" s="1"/>
  <c r="AG66" i="16"/>
  <c r="BD66" i="16" s="1"/>
  <c r="AG9" i="16"/>
  <c r="BD9" i="16" s="1"/>
  <c r="AG13" i="16"/>
  <c r="BD13" i="16" s="1"/>
  <c r="AG17" i="16"/>
  <c r="BD17" i="16" s="1"/>
  <c r="AG21" i="16"/>
  <c r="BD21" i="16" s="1"/>
  <c r="AG25" i="16"/>
  <c r="BD25" i="16" s="1"/>
  <c r="AG29" i="16"/>
  <c r="BD29" i="16" s="1"/>
  <c r="AG33" i="16"/>
  <c r="BD33" i="16" s="1"/>
  <c r="AG37" i="16"/>
  <c r="BD37" i="16" s="1"/>
  <c r="AG41" i="16"/>
  <c r="BD41" i="16" s="1"/>
  <c r="AG45" i="16"/>
  <c r="BD45" i="16" s="1"/>
  <c r="AG49" i="16"/>
  <c r="BD49" i="16" s="1"/>
  <c r="AG53" i="16"/>
  <c r="BD53" i="16" s="1"/>
  <c r="AG57" i="16"/>
  <c r="BD57" i="16" s="1"/>
  <c r="AG61" i="16"/>
  <c r="BD61" i="16" s="1"/>
  <c r="AG65" i="16"/>
  <c r="BD65" i="16" s="1"/>
  <c r="AG7" i="16"/>
  <c r="AC8" i="16"/>
  <c r="AZ8" i="16" s="1"/>
  <c r="AC12" i="16"/>
  <c r="AZ12" i="16" s="1"/>
  <c r="AC16" i="16"/>
  <c r="AZ16" i="16" s="1"/>
  <c r="AC20" i="16"/>
  <c r="AZ20" i="16" s="1"/>
  <c r="AC24" i="16"/>
  <c r="AZ24" i="16" s="1"/>
  <c r="AC28" i="16"/>
  <c r="AZ28" i="16" s="1"/>
  <c r="AC32" i="16"/>
  <c r="AZ32" i="16" s="1"/>
  <c r="AC36" i="16"/>
  <c r="AZ36" i="16" s="1"/>
  <c r="AC40" i="16"/>
  <c r="AZ40" i="16" s="1"/>
  <c r="AC44" i="16"/>
  <c r="AZ44" i="16" s="1"/>
  <c r="AC48" i="16"/>
  <c r="AZ48" i="16" s="1"/>
  <c r="AC9" i="16"/>
  <c r="AZ9" i="16" s="1"/>
  <c r="AC13" i="16"/>
  <c r="AZ13" i="16" s="1"/>
  <c r="AC17" i="16"/>
  <c r="AZ17" i="16" s="1"/>
  <c r="AC21" i="16"/>
  <c r="AZ21" i="16" s="1"/>
  <c r="AC25" i="16"/>
  <c r="AZ25" i="16" s="1"/>
  <c r="AC29" i="16"/>
  <c r="AZ29" i="16" s="1"/>
  <c r="AC33" i="16"/>
  <c r="AZ33" i="16" s="1"/>
  <c r="AC37" i="16"/>
  <c r="AZ37" i="16" s="1"/>
  <c r="AC41" i="16"/>
  <c r="AZ41" i="16" s="1"/>
  <c r="AC51" i="16"/>
  <c r="AZ51" i="16" s="1"/>
  <c r="AC55" i="16"/>
  <c r="AZ55" i="16" s="1"/>
  <c r="AC59" i="16"/>
  <c r="AZ59" i="16" s="1"/>
  <c r="AC63" i="16"/>
  <c r="AZ63" i="16" s="1"/>
  <c r="AC47" i="16"/>
  <c r="AZ47" i="16" s="1"/>
  <c r="AC52" i="16"/>
  <c r="AZ52" i="16" s="1"/>
  <c r="AC56" i="16"/>
  <c r="AZ56" i="16" s="1"/>
  <c r="AC60" i="16"/>
  <c r="AZ60" i="16" s="1"/>
  <c r="AC64" i="16"/>
  <c r="AZ64" i="16" s="1"/>
  <c r="AC10" i="16"/>
  <c r="AZ10" i="16" s="1"/>
  <c r="AC14" i="16"/>
  <c r="AZ14" i="16" s="1"/>
  <c r="AC18" i="16"/>
  <c r="AZ18" i="16" s="1"/>
  <c r="AC22" i="16"/>
  <c r="AZ22" i="16" s="1"/>
  <c r="AC26" i="16"/>
  <c r="AZ26" i="16" s="1"/>
  <c r="AC30" i="16"/>
  <c r="AZ30" i="16" s="1"/>
  <c r="AC34" i="16"/>
  <c r="AZ34" i="16" s="1"/>
  <c r="AC38" i="16"/>
  <c r="AZ38" i="16" s="1"/>
  <c r="AC42" i="16"/>
  <c r="AZ42" i="16" s="1"/>
  <c r="AC46" i="16"/>
  <c r="AZ46" i="16" s="1"/>
  <c r="AC50" i="16"/>
  <c r="AZ50" i="16" s="1"/>
  <c r="AC11" i="16"/>
  <c r="AZ11" i="16" s="1"/>
  <c r="AC15" i="16"/>
  <c r="AZ15" i="16" s="1"/>
  <c r="AC19" i="16"/>
  <c r="AZ19" i="16" s="1"/>
  <c r="AC23" i="16"/>
  <c r="AZ23" i="16" s="1"/>
  <c r="AC27" i="16"/>
  <c r="AZ27" i="16" s="1"/>
  <c r="AC31" i="16"/>
  <c r="AZ31" i="16" s="1"/>
  <c r="AC35" i="16"/>
  <c r="AZ35" i="16" s="1"/>
  <c r="AC39" i="16"/>
  <c r="AZ39" i="16" s="1"/>
  <c r="AC43" i="16"/>
  <c r="AZ43" i="16" s="1"/>
  <c r="AC53" i="16"/>
  <c r="AZ53" i="16" s="1"/>
  <c r="AC57" i="16"/>
  <c r="AZ57" i="16" s="1"/>
  <c r="AC61" i="16"/>
  <c r="AZ61" i="16" s="1"/>
  <c r="AC65" i="16"/>
  <c r="AZ65" i="16" s="1"/>
  <c r="AC7" i="16"/>
  <c r="AC45" i="16"/>
  <c r="AZ45" i="16" s="1"/>
  <c r="AC49" i="16"/>
  <c r="AZ49" i="16" s="1"/>
  <c r="AC54" i="16"/>
  <c r="AZ54" i="16" s="1"/>
  <c r="AC58" i="16"/>
  <c r="AZ58" i="16" s="1"/>
  <c r="AC62" i="16"/>
  <c r="AZ62" i="16" s="1"/>
  <c r="AC66" i="16"/>
  <c r="AZ66" i="16" s="1"/>
  <c r="AF9" i="16"/>
  <c r="BC9" i="16" s="1"/>
  <c r="AF13" i="16"/>
  <c r="BC13" i="16" s="1"/>
  <c r="AF17" i="16"/>
  <c r="BC17" i="16" s="1"/>
  <c r="AF21" i="16"/>
  <c r="BC21" i="16" s="1"/>
  <c r="AF25" i="16"/>
  <c r="BC25" i="16" s="1"/>
  <c r="AF29" i="16"/>
  <c r="BC29" i="16" s="1"/>
  <c r="AF33" i="16"/>
  <c r="BC33" i="16" s="1"/>
  <c r="AF37" i="16"/>
  <c r="BC37" i="16" s="1"/>
  <c r="AF41" i="16"/>
  <c r="BC41" i="16" s="1"/>
  <c r="AF15" i="16"/>
  <c r="BC15" i="16" s="1"/>
  <c r="AF23" i="16"/>
  <c r="BC23" i="16" s="1"/>
  <c r="AF31" i="16"/>
  <c r="BC31" i="16" s="1"/>
  <c r="AF39" i="16"/>
  <c r="BC39" i="16" s="1"/>
  <c r="AF45" i="16"/>
  <c r="BC45" i="16" s="1"/>
  <c r="AF49" i="16"/>
  <c r="BC49" i="16" s="1"/>
  <c r="AF10" i="16"/>
  <c r="BC10" i="16" s="1"/>
  <c r="AF14" i="16"/>
  <c r="BC14" i="16" s="1"/>
  <c r="AF18" i="16"/>
  <c r="BC18" i="16" s="1"/>
  <c r="AF22" i="16"/>
  <c r="BC22" i="16" s="1"/>
  <c r="AF26" i="16"/>
  <c r="BC26" i="16" s="1"/>
  <c r="AF30" i="16"/>
  <c r="BC30" i="16" s="1"/>
  <c r="AF34" i="16"/>
  <c r="BC34" i="16" s="1"/>
  <c r="AF38" i="16"/>
  <c r="BC38" i="16" s="1"/>
  <c r="AF42" i="16"/>
  <c r="BC42" i="16" s="1"/>
  <c r="AF52" i="16"/>
  <c r="BC52" i="16" s="1"/>
  <c r="AF56" i="16"/>
  <c r="BC56" i="16" s="1"/>
  <c r="AF60" i="16"/>
  <c r="BC60" i="16" s="1"/>
  <c r="AF64" i="16"/>
  <c r="BC64" i="16" s="1"/>
  <c r="AF7" i="16"/>
  <c r="AF46" i="16"/>
  <c r="BC46" i="16" s="1"/>
  <c r="AF51" i="16"/>
  <c r="BC51" i="16" s="1"/>
  <c r="AF55" i="16"/>
  <c r="BC55" i="16" s="1"/>
  <c r="AF59" i="16"/>
  <c r="BC59" i="16" s="1"/>
  <c r="AF63" i="16"/>
  <c r="BC63" i="16" s="1"/>
  <c r="AF11" i="16"/>
  <c r="BC11" i="16" s="1"/>
  <c r="AF19" i="16"/>
  <c r="BC19" i="16" s="1"/>
  <c r="AF27" i="16"/>
  <c r="BC27" i="16" s="1"/>
  <c r="AF35" i="16"/>
  <c r="BC35" i="16" s="1"/>
  <c r="AF43" i="16"/>
  <c r="BC43" i="16" s="1"/>
  <c r="AF47" i="16"/>
  <c r="BC47" i="16" s="1"/>
  <c r="AF8" i="16"/>
  <c r="BC8" i="16" s="1"/>
  <c r="AF12" i="16"/>
  <c r="BC12" i="16" s="1"/>
  <c r="AF16" i="16"/>
  <c r="BC16" i="16" s="1"/>
  <c r="AF20" i="16"/>
  <c r="BC20" i="16" s="1"/>
  <c r="AF24" i="16"/>
  <c r="BC24" i="16" s="1"/>
  <c r="AF28" i="16"/>
  <c r="BC28" i="16" s="1"/>
  <c r="AF32" i="16"/>
  <c r="BC32" i="16" s="1"/>
  <c r="AF36" i="16"/>
  <c r="BC36" i="16" s="1"/>
  <c r="AF40" i="16"/>
  <c r="BC40" i="16" s="1"/>
  <c r="AF50" i="16"/>
  <c r="BC50" i="16" s="1"/>
  <c r="AF54" i="16"/>
  <c r="BC54" i="16" s="1"/>
  <c r="AF58" i="16"/>
  <c r="BC58" i="16" s="1"/>
  <c r="AF62" i="16"/>
  <c r="BC62" i="16" s="1"/>
  <c r="AF66" i="16"/>
  <c r="BC66" i="16" s="1"/>
  <c r="AF44" i="16"/>
  <c r="BC44" i="16" s="1"/>
  <c r="AF48" i="16"/>
  <c r="BC48" i="16" s="1"/>
  <c r="AF53" i="16"/>
  <c r="BC53" i="16" s="1"/>
  <c r="AF57" i="16"/>
  <c r="BC57" i="16" s="1"/>
  <c r="AF61" i="16"/>
  <c r="BC61" i="16" s="1"/>
  <c r="AF65" i="16"/>
  <c r="BC65" i="16" s="1"/>
  <c r="AH8" i="16"/>
  <c r="BE8" i="16" s="1"/>
  <c r="AH10" i="16"/>
  <c r="BE10" i="16" s="1"/>
  <c r="AH12" i="16"/>
  <c r="BE12" i="16" s="1"/>
  <c r="AH14" i="16"/>
  <c r="BE14" i="16" s="1"/>
  <c r="AH16" i="16"/>
  <c r="BE16" i="16" s="1"/>
  <c r="AH18" i="16"/>
  <c r="BE18" i="16" s="1"/>
  <c r="AH20" i="16"/>
  <c r="BE20" i="16" s="1"/>
  <c r="AH23" i="16"/>
  <c r="BE23" i="16" s="1"/>
  <c r="AH26" i="16"/>
  <c r="BE26" i="16" s="1"/>
  <c r="AH30" i="16"/>
  <c r="BE30" i="16" s="1"/>
  <c r="AH34" i="16"/>
  <c r="BE34" i="16" s="1"/>
  <c r="AH38" i="16"/>
  <c r="BE38" i="16" s="1"/>
  <c r="AH42" i="16"/>
  <c r="BE42" i="16" s="1"/>
  <c r="AH46" i="16"/>
  <c r="BE46" i="16" s="1"/>
  <c r="AH50" i="16"/>
  <c r="BE50" i="16" s="1"/>
  <c r="AH54" i="16"/>
  <c r="BE54" i="16" s="1"/>
  <c r="AH58" i="16"/>
  <c r="BE58" i="16" s="1"/>
  <c r="AH62" i="16"/>
  <c r="BE62" i="16" s="1"/>
  <c r="AH66" i="16"/>
  <c r="BE66" i="16" s="1"/>
  <c r="AH7" i="16"/>
  <c r="AH25" i="16"/>
  <c r="BE25" i="16" s="1"/>
  <c r="AH29" i="16"/>
  <c r="BE29" i="16" s="1"/>
  <c r="AH33" i="16"/>
  <c r="BE33" i="16" s="1"/>
  <c r="AH37" i="16"/>
  <c r="BE37" i="16" s="1"/>
  <c r="AH41" i="16"/>
  <c r="BE41" i="16" s="1"/>
  <c r="AH45" i="16"/>
  <c r="BE45" i="16" s="1"/>
  <c r="AH49" i="16"/>
  <c r="BE49" i="16" s="1"/>
  <c r="AH53" i="16"/>
  <c r="BE53" i="16" s="1"/>
  <c r="AH57" i="16"/>
  <c r="BE57" i="16" s="1"/>
  <c r="AH61" i="16"/>
  <c r="BE61" i="16" s="1"/>
  <c r="AH65" i="16"/>
  <c r="BE65" i="16" s="1"/>
  <c r="AH9" i="16"/>
  <c r="BE9" i="16" s="1"/>
  <c r="AH11" i="16"/>
  <c r="BE11" i="16" s="1"/>
  <c r="AH13" i="16"/>
  <c r="BE13" i="16" s="1"/>
  <c r="AH15" i="16"/>
  <c r="BE15" i="16" s="1"/>
  <c r="AH17" i="16"/>
  <c r="BE17" i="16" s="1"/>
  <c r="AH19" i="16"/>
  <c r="BE19" i="16" s="1"/>
  <c r="AH21" i="16"/>
  <c r="BE21" i="16" s="1"/>
  <c r="AH24" i="16"/>
  <c r="BE24" i="16" s="1"/>
  <c r="AH28" i="16"/>
  <c r="BE28" i="16" s="1"/>
  <c r="AH32" i="16"/>
  <c r="BE32" i="16" s="1"/>
  <c r="AH36" i="16"/>
  <c r="BE36" i="16" s="1"/>
  <c r="AH40" i="16"/>
  <c r="BE40" i="16" s="1"/>
  <c r="AH44" i="16"/>
  <c r="BE44" i="16" s="1"/>
  <c r="AH48" i="16"/>
  <c r="BE48" i="16" s="1"/>
  <c r="AH52" i="16"/>
  <c r="BE52" i="16" s="1"/>
  <c r="AH56" i="16"/>
  <c r="BE56" i="16" s="1"/>
  <c r="AH60" i="16"/>
  <c r="BE60" i="16" s="1"/>
  <c r="AH64" i="16"/>
  <c r="BE64" i="16" s="1"/>
  <c r="AH22" i="16"/>
  <c r="BE22" i="16" s="1"/>
  <c r="AH27" i="16"/>
  <c r="BE27" i="16" s="1"/>
  <c r="AH31" i="16"/>
  <c r="BE31" i="16" s="1"/>
  <c r="AH39" i="16"/>
  <c r="BE39" i="16" s="1"/>
  <c r="AH47" i="16"/>
  <c r="BE47" i="16" s="1"/>
  <c r="AH55" i="16"/>
  <c r="BE55" i="16" s="1"/>
  <c r="AH63" i="16"/>
  <c r="BE63" i="16" s="1"/>
  <c r="AH35" i="16"/>
  <c r="BE35" i="16" s="1"/>
  <c r="AH43" i="16"/>
  <c r="BE43" i="16" s="1"/>
  <c r="AH51" i="16"/>
  <c r="BE51" i="16" s="1"/>
  <c r="AH59" i="16"/>
  <c r="BE59" i="16" s="1"/>
  <c r="Z67" i="16"/>
  <c r="AW7" i="16"/>
  <c r="I58" i="13"/>
  <c r="B116" i="22"/>
  <c r="C115" i="22" s="1"/>
  <c r="E113" i="22" s="1"/>
  <c r="H114" i="22" s="1"/>
  <c r="B152" i="22"/>
  <c r="C152" i="22" s="1"/>
  <c r="B148" i="22"/>
  <c r="C148" i="22" s="1"/>
  <c r="B144" i="22"/>
  <c r="C144" i="22" s="1"/>
  <c r="B142" i="22"/>
  <c r="C161" i="22" s="1"/>
  <c r="B140" i="22"/>
  <c r="C141" i="22" s="1"/>
  <c r="E143" i="22" s="1"/>
  <c r="H152" i="22" s="1"/>
  <c r="B114" i="22"/>
  <c r="C129" i="22" s="1"/>
  <c r="E128" i="22" s="1"/>
  <c r="H129" i="22" s="1"/>
  <c r="B112" i="22"/>
  <c r="C111" i="22" s="1"/>
  <c r="E119" i="22" s="1"/>
  <c r="H121" i="22" s="1"/>
  <c r="B110" i="22"/>
  <c r="C127" i="22" s="1"/>
  <c r="E133" i="22" s="1"/>
  <c r="H132" i="22" s="1"/>
  <c r="B108" i="22"/>
  <c r="C107" i="22" s="1"/>
  <c r="E117" i="22" s="1"/>
  <c r="H118" i="22" s="1"/>
  <c r="B106" i="22"/>
  <c r="C125" i="22" s="1"/>
  <c r="E131" i="22" s="1"/>
  <c r="H135" i="22" s="1"/>
  <c r="B104" i="22"/>
  <c r="C123" i="22" s="1"/>
  <c r="E124" i="22" s="1"/>
  <c r="H126" i="22" s="1"/>
  <c r="B102" i="22"/>
  <c r="C103" i="22" s="1"/>
  <c r="E105" i="22" s="1"/>
  <c r="H109" i="22" s="1"/>
  <c r="I29" i="13"/>
  <c r="I30" i="13"/>
  <c r="B154" i="13"/>
  <c r="C153" i="13" s="1"/>
  <c r="E151" i="13" s="1"/>
  <c r="H152" i="13" s="1"/>
  <c r="B116" i="13"/>
  <c r="C115" i="13" s="1"/>
  <c r="E113" i="13" s="1"/>
  <c r="H109" i="13" s="1"/>
  <c r="B152" i="13"/>
  <c r="C167" i="13" s="1"/>
  <c r="B148" i="13"/>
  <c r="C148" i="13" s="1"/>
  <c r="B144" i="13"/>
  <c r="C144" i="13" s="1"/>
  <c r="B142" i="13"/>
  <c r="C141" i="13" s="1"/>
  <c r="E155" i="13" s="1"/>
  <c r="H159" i="13" s="1"/>
  <c r="B140" i="13"/>
  <c r="C161" i="13" s="1"/>
  <c r="B114" i="13"/>
  <c r="C129" i="13" s="1"/>
  <c r="E128" i="13" s="1"/>
  <c r="H129" i="13" s="1"/>
  <c r="B112" i="13"/>
  <c r="C111" i="13" s="1"/>
  <c r="E119" i="13" s="1"/>
  <c r="H121" i="13" s="1"/>
  <c r="B110" i="13"/>
  <c r="C127" i="13" s="1"/>
  <c r="E133" i="13" s="1"/>
  <c r="H132" i="13" s="1"/>
  <c r="B108" i="13"/>
  <c r="C107" i="13" s="1"/>
  <c r="E105" i="13" s="1"/>
  <c r="H114" i="13" s="1"/>
  <c r="B106" i="13"/>
  <c r="C125" i="13" s="1"/>
  <c r="E131" i="13" s="1"/>
  <c r="H135" i="13" s="1"/>
  <c r="B104" i="13"/>
  <c r="C123" i="13" s="1"/>
  <c r="E124" i="13" s="1"/>
  <c r="H126" i="13" s="1"/>
  <c r="B102" i="13"/>
  <c r="C103" i="13" s="1"/>
  <c r="E117" i="13" s="1"/>
  <c r="H118" i="13" s="1"/>
  <c r="BC7" i="16" l="1"/>
  <c r="AF67" i="16"/>
  <c r="AZ7" i="16"/>
  <c r="AC67" i="16"/>
  <c r="BD7" i="16"/>
  <c r="AG67" i="16"/>
  <c r="BG7" i="16"/>
  <c r="AJ67" i="16"/>
  <c r="AD67" i="16"/>
  <c r="BA7" i="16"/>
  <c r="BB7" i="16"/>
  <c r="AE67" i="16"/>
  <c r="AH67" i="16"/>
  <c r="BE7" i="16"/>
  <c r="I5" i="8"/>
  <c r="Z68" i="16"/>
  <c r="B307" i="22"/>
  <c r="B306" i="22"/>
  <c r="B305" i="22"/>
  <c r="B304" i="22"/>
  <c r="B303" i="22"/>
  <c r="B302" i="22"/>
  <c r="B301" i="22"/>
  <c r="B300" i="22"/>
  <c r="C163" i="22"/>
  <c r="E163" i="22" s="1"/>
  <c r="C145" i="22"/>
  <c r="E155" i="22" s="1"/>
  <c r="H159" i="22" s="1"/>
  <c r="C167" i="22"/>
  <c r="E167" i="22" s="1"/>
  <c r="C153" i="22"/>
  <c r="E151" i="22" s="1"/>
  <c r="H147" i="22" s="1"/>
  <c r="E161" i="22"/>
  <c r="C165" i="22"/>
  <c r="E165" i="22" s="1"/>
  <c r="C149" i="22"/>
  <c r="E157" i="22" s="1"/>
  <c r="H156" i="22" s="1"/>
  <c r="C165" i="13"/>
  <c r="E165" i="13" s="1"/>
  <c r="C149" i="13"/>
  <c r="E157" i="13" s="1"/>
  <c r="H156" i="13" s="1"/>
  <c r="B307" i="13"/>
  <c r="B306" i="13"/>
  <c r="B305" i="13"/>
  <c r="B304" i="13"/>
  <c r="B303" i="13"/>
  <c r="B302" i="13"/>
  <c r="B301" i="13"/>
  <c r="B300" i="13"/>
  <c r="C163" i="13"/>
  <c r="E163" i="13" s="1"/>
  <c r="C145" i="13"/>
  <c r="E143" i="13" s="1"/>
  <c r="H147" i="13" s="1"/>
  <c r="E167" i="13"/>
  <c r="AE68" i="16" l="1"/>
  <c r="I15" i="8"/>
  <c r="I30" i="8"/>
  <c r="AJ68" i="16"/>
  <c r="I22" i="8"/>
  <c r="AG68" i="16"/>
  <c r="AC68" i="16"/>
  <c r="I10" i="8"/>
  <c r="I16" i="8"/>
  <c r="AF68" i="16"/>
  <c r="I25" i="8"/>
  <c r="AH68" i="16"/>
  <c r="AD68" i="16"/>
  <c r="I12" i="8"/>
  <c r="AB8" i="16"/>
  <c r="AB10" i="16"/>
  <c r="AB12" i="16"/>
  <c r="AB14" i="16"/>
  <c r="AB16" i="16"/>
  <c r="AB18" i="16"/>
  <c r="AB24" i="16"/>
  <c r="AB26" i="16"/>
  <c r="AB30" i="16"/>
  <c r="AB11" i="16"/>
  <c r="AB13" i="16"/>
  <c r="AB21" i="16"/>
  <c r="AB27" i="16"/>
  <c r="AB31" i="16"/>
  <c r="AB46" i="16"/>
  <c r="AA13" i="16"/>
  <c r="AA17" i="16"/>
  <c r="AA19" i="16"/>
  <c r="AA27" i="16"/>
  <c r="AA29" i="16"/>
  <c r="AA31" i="16"/>
  <c r="AA35" i="16"/>
  <c r="AA39" i="16"/>
  <c r="AA10" i="16"/>
  <c r="AA16" i="16"/>
  <c r="AA18" i="16"/>
  <c r="AA20" i="16"/>
  <c r="AA22" i="16"/>
  <c r="AA26" i="16"/>
  <c r="AA32" i="16"/>
  <c r="AA51" i="16"/>
  <c r="AB7" i="16"/>
  <c r="S31" i="16"/>
  <c r="S27" i="16"/>
  <c r="S26" i="16"/>
  <c r="S18" i="16"/>
  <c r="S16" i="16"/>
  <c r="S13" i="16"/>
  <c r="S10" i="16"/>
  <c r="E169" i="22"/>
  <c r="G169" i="22" s="1"/>
  <c r="E162" i="22"/>
  <c r="H164" i="22" s="1"/>
  <c r="B312" i="22" s="1"/>
  <c r="B309" i="22"/>
  <c r="B311" i="22"/>
  <c r="E171" i="22"/>
  <c r="G171" i="22" s="1"/>
  <c r="E166" i="22"/>
  <c r="H167" i="22" s="1"/>
  <c r="B308" i="22"/>
  <c r="AB20" i="16" s="1"/>
  <c r="B310" i="22"/>
  <c r="B308" i="13"/>
  <c r="B310" i="13"/>
  <c r="E161" i="13"/>
  <c r="B309" i="13"/>
  <c r="B311" i="13"/>
  <c r="E171" i="13"/>
  <c r="G171" i="13" s="1"/>
  <c r="E166" i="13"/>
  <c r="H167" i="13" s="1"/>
  <c r="AA11" i="16" l="1"/>
  <c r="AA14" i="16"/>
  <c r="AA21" i="16"/>
  <c r="AA9" i="16"/>
  <c r="AB63" i="16"/>
  <c r="AB59" i="16"/>
  <c r="AB55" i="16"/>
  <c r="AB51" i="16"/>
  <c r="AB47" i="16"/>
  <c r="AB43" i="16"/>
  <c r="AB64" i="16"/>
  <c r="AB60" i="16"/>
  <c r="AB56" i="16"/>
  <c r="AB52" i="16"/>
  <c r="AB48" i="16"/>
  <c r="AB44" i="16"/>
  <c r="AB41" i="16"/>
  <c r="AB37" i="16"/>
  <c r="AB33" i="16"/>
  <c r="AB29" i="16"/>
  <c r="AB25" i="16"/>
  <c r="AB17" i="16"/>
  <c r="AB9" i="16"/>
  <c r="AB38" i="16"/>
  <c r="AB34" i="16"/>
  <c r="AB22" i="16"/>
  <c r="AA45" i="16"/>
  <c r="AA28" i="16"/>
  <c r="AA24" i="16"/>
  <c r="AA12" i="16"/>
  <c r="AB65" i="16"/>
  <c r="AB61" i="16"/>
  <c r="AB57" i="16"/>
  <c r="AB53" i="16"/>
  <c r="AB49" i="16"/>
  <c r="AB45" i="16"/>
  <c r="AB66" i="16"/>
  <c r="AB62" i="16"/>
  <c r="AB58" i="16"/>
  <c r="AB54" i="16"/>
  <c r="AB50" i="16"/>
  <c r="AB42" i="16"/>
  <c r="AB39" i="16"/>
  <c r="AB35" i="16"/>
  <c r="AB23" i="16"/>
  <c r="AB19" i="16"/>
  <c r="AB15" i="16"/>
  <c r="AB40" i="16"/>
  <c r="AB36" i="16"/>
  <c r="AB32" i="16"/>
  <c r="AB28" i="16"/>
  <c r="S11" i="16"/>
  <c r="S21" i="16"/>
  <c r="S35" i="16"/>
  <c r="S39" i="16"/>
  <c r="S51" i="16"/>
  <c r="S12" i="16"/>
  <c r="S14" i="16"/>
  <c r="S20" i="16"/>
  <c r="S22" i="16"/>
  <c r="S24" i="16"/>
  <c r="S28" i="16"/>
  <c r="S32" i="16"/>
  <c r="S17" i="16"/>
  <c r="S19" i="16"/>
  <c r="S29" i="16"/>
  <c r="H173" i="22"/>
  <c r="H170" i="22"/>
  <c r="E169" i="13"/>
  <c r="G169" i="13" s="1"/>
  <c r="E162" i="13"/>
  <c r="H164" i="13" s="1"/>
  <c r="S45" i="16" l="1"/>
  <c r="S9" i="16"/>
  <c r="B313" i="13"/>
  <c r="B312" i="13"/>
  <c r="H173" i="13"/>
  <c r="H170" i="13"/>
  <c r="AA60" i="16" l="1"/>
  <c r="AA52" i="16"/>
  <c r="AA44" i="16"/>
  <c r="AA63" i="16"/>
  <c r="AA55" i="16"/>
  <c r="AA43" i="16"/>
  <c r="AA34" i="16"/>
  <c r="AA37" i="16"/>
  <c r="AA25" i="16"/>
  <c r="AA66" i="16"/>
  <c r="AA58" i="16"/>
  <c r="AA50" i="16"/>
  <c r="AA42" i="16"/>
  <c r="AA61" i="16"/>
  <c r="AA53" i="16"/>
  <c r="AA36" i="16"/>
  <c r="AA8" i="16"/>
  <c r="AA15" i="16"/>
  <c r="AA64" i="16"/>
  <c r="AA56" i="16"/>
  <c r="AA48" i="16"/>
  <c r="AA59" i="16"/>
  <c r="AA47" i="16"/>
  <c r="AA38" i="16"/>
  <c r="AA30" i="16"/>
  <c r="AA41" i="16"/>
  <c r="AA33" i="16"/>
  <c r="AA62" i="16"/>
  <c r="AA54" i="16"/>
  <c r="AA46" i="16"/>
  <c r="AA65" i="16"/>
  <c r="AA57" i="16"/>
  <c r="AA49" i="16"/>
  <c r="AA40" i="16"/>
  <c r="AA23" i="16"/>
  <c r="AA7" i="16"/>
  <c r="S8" i="16"/>
  <c r="S15" i="16"/>
  <c r="S23" i="16"/>
  <c r="S43" i="16"/>
  <c r="S47" i="16"/>
  <c r="S55" i="16"/>
  <c r="S59" i="16"/>
  <c r="S63" i="16"/>
  <c r="S30" i="16"/>
  <c r="S34" i="16"/>
  <c r="S38" i="16"/>
  <c r="S42" i="16"/>
  <c r="S46" i="16"/>
  <c r="S50" i="16"/>
  <c r="S54" i="16"/>
  <c r="S58" i="16"/>
  <c r="S62" i="16"/>
  <c r="S66" i="16"/>
  <c r="S25" i="16"/>
  <c r="S33" i="16"/>
  <c r="S37" i="16"/>
  <c r="S41" i="16"/>
  <c r="S49" i="16"/>
  <c r="S53" i="16"/>
  <c r="S57" i="16"/>
  <c r="S61" i="16"/>
  <c r="S65" i="16"/>
  <c r="S36" i="16"/>
  <c r="S40" i="16"/>
  <c r="S44" i="16"/>
  <c r="S48" i="16"/>
  <c r="S52" i="16"/>
  <c r="S56" i="16"/>
  <c r="S60" i="16"/>
  <c r="S64" i="16"/>
  <c r="BK23" i="16"/>
  <c r="BK21" i="16"/>
  <c r="BK66" i="16" l="1"/>
  <c r="BK64" i="16"/>
  <c r="BK62" i="16"/>
  <c r="BK60" i="16"/>
  <c r="BK59" i="16"/>
  <c r="BK57" i="16"/>
  <c r="BK55" i="16"/>
  <c r="BK53" i="16"/>
  <c r="BK51" i="16"/>
  <c r="BK49" i="16"/>
  <c r="BK47" i="16"/>
  <c r="BK44" i="16"/>
  <c r="BK42" i="16"/>
  <c r="BK40" i="16"/>
  <c r="BK34" i="16"/>
  <c r="BK30" i="16"/>
  <c r="BK27" i="16"/>
  <c r="BK24" i="16"/>
  <c r="BK20" i="16"/>
  <c r="BK12" i="16"/>
  <c r="BK38" i="16"/>
  <c r="BK36" i="16"/>
  <c r="BK32" i="16"/>
  <c r="BK29" i="16"/>
  <c r="BK19" i="16"/>
  <c r="BK17" i="16"/>
  <c r="BK14" i="16"/>
  <c r="BK10" i="16"/>
  <c r="BK8" i="16"/>
  <c r="BK65" i="16"/>
  <c r="BK63" i="16"/>
  <c r="BK61" i="16"/>
  <c r="BK45" i="16"/>
  <c r="BK58" i="16"/>
  <c r="BK56" i="16"/>
  <c r="BK54" i="16"/>
  <c r="BK52" i="16"/>
  <c r="BK50" i="16"/>
  <c r="BK48" i="16"/>
  <c r="BK46" i="16"/>
  <c r="BK43" i="16"/>
  <c r="BK41" i="16"/>
  <c r="BK39" i="16"/>
  <c r="BK33" i="16"/>
  <c r="BK28" i="16"/>
  <c r="BK26" i="16"/>
  <c r="BK22" i="16"/>
  <c r="BK15" i="16"/>
  <c r="BK11" i="16"/>
  <c r="BK37" i="16"/>
  <c r="BK35" i="16"/>
  <c r="BK31" i="16"/>
  <c r="BK25" i="16"/>
  <c r="BK18" i="16"/>
  <c r="BK16" i="16"/>
  <c r="BK13" i="16"/>
  <c r="BK9" i="16"/>
  <c r="AN67" i="16" l="1"/>
  <c r="BK7" i="16"/>
  <c r="AN68" i="16" l="1"/>
  <c r="I53" i="8"/>
  <c r="BJ53" i="16"/>
  <c r="BJ48" i="16"/>
  <c r="BJ47" i="16"/>
  <c r="BJ44" i="16"/>
  <c r="BJ61" i="16"/>
  <c r="BJ60" i="16"/>
  <c r="BJ45" i="16"/>
  <c r="BJ37" i="16"/>
  <c r="BJ25" i="16"/>
  <c r="BJ23" i="16"/>
  <c r="BJ21" i="16"/>
  <c r="BJ19" i="16"/>
  <c r="BJ18" i="16"/>
  <c r="BJ17" i="16"/>
  <c r="BJ13" i="16"/>
  <c r="BJ10" i="16"/>
  <c r="BJ9" i="16"/>
  <c r="BJ8" i="16"/>
  <c r="BJ42" i="16"/>
  <c r="BJ34" i="16"/>
  <c r="BJ33" i="16"/>
  <c r="BJ30" i="16"/>
  <c r="BJ28" i="16"/>
  <c r="BJ27" i="16"/>
  <c r="BJ20" i="16"/>
  <c r="BJ15" i="16"/>
  <c r="BJ12" i="16"/>
  <c r="BJ11" i="16"/>
  <c r="BJ7" i="16" l="1"/>
  <c r="BJ64" i="16" l="1"/>
  <c r="BJ58" i="16"/>
  <c r="BJ56" i="16"/>
  <c r="BJ54" i="16"/>
  <c r="BJ52" i="16"/>
  <c r="BJ50" i="16"/>
  <c r="BJ46" i="16"/>
  <c r="BJ63" i="16"/>
  <c r="BJ38" i="16"/>
  <c r="BJ36" i="16"/>
  <c r="BJ32" i="16"/>
  <c r="BJ29" i="16"/>
  <c r="BJ40" i="16"/>
  <c r="BJ24" i="16"/>
  <c r="BJ66" i="16"/>
  <c r="BJ65" i="16"/>
  <c r="BJ59" i="16"/>
  <c r="BJ57" i="16"/>
  <c r="BJ55" i="16"/>
  <c r="BJ51" i="16"/>
  <c r="BJ49" i="16"/>
  <c r="BJ62" i="16"/>
  <c r="BJ43" i="16"/>
  <c r="BJ35" i="16"/>
  <c r="BJ31" i="16"/>
  <c r="BJ16" i="16"/>
  <c r="BJ41" i="16"/>
  <c r="BJ39" i="16"/>
  <c r="BJ26" i="16"/>
  <c r="BJ22" i="16"/>
  <c r="BJ14" i="16" l="1"/>
  <c r="AM67" i="16"/>
  <c r="AM68" i="16" l="1"/>
  <c r="I47" i="8"/>
  <c r="BH66" i="16"/>
  <c r="BH65" i="16"/>
  <c r="BH64" i="16"/>
  <c r="BH59" i="16"/>
  <c r="BH58" i="16"/>
  <c r="BH57" i="16"/>
  <c r="BH56" i="16"/>
  <c r="BH55" i="16"/>
  <c r="BH54" i="16"/>
  <c r="BH53" i="16"/>
  <c r="BH52" i="16"/>
  <c r="BH51" i="16"/>
  <c r="BH50" i="16"/>
  <c r="BH49" i="16"/>
  <c r="BH48" i="16"/>
  <c r="BH47" i="16"/>
  <c r="BH46" i="16"/>
  <c r="BH44" i="16"/>
  <c r="BH63" i="16"/>
  <c r="BH62" i="16"/>
  <c r="BH61" i="16"/>
  <c r="BH60" i="16"/>
  <c r="BH45" i="16"/>
  <c r="BH43" i="16"/>
  <c r="BH38" i="16"/>
  <c r="BH37" i="16"/>
  <c r="BH36" i="16"/>
  <c r="BH35" i="16"/>
  <c r="BH32" i="16"/>
  <c r="BH31" i="16"/>
  <c r="BH29" i="16"/>
  <c r="BH25" i="16"/>
  <c r="BH23" i="16"/>
  <c r="BH21" i="16"/>
  <c r="BH19" i="16"/>
  <c r="BH18" i="16"/>
  <c r="BH17" i="16"/>
  <c r="BH16" i="16"/>
  <c r="BH14" i="16"/>
  <c r="BH13" i="16"/>
  <c r="BH10" i="16"/>
  <c r="BH9" i="16"/>
  <c r="BH8" i="16"/>
  <c r="BH42" i="16"/>
  <c r="BH41" i="16"/>
  <c r="BH40" i="16"/>
  <c r="BH39" i="16"/>
  <c r="BH34" i="16"/>
  <c r="BH33" i="16"/>
  <c r="BH30" i="16"/>
  <c r="BH28" i="16"/>
  <c r="BH27" i="16"/>
  <c r="BH26" i="16"/>
  <c r="BH24" i="16"/>
  <c r="BH22" i="16"/>
  <c r="BH20" i="16"/>
  <c r="BH15" i="16"/>
  <c r="BH12" i="16"/>
  <c r="BH11" i="16"/>
  <c r="BH7" i="16" l="1"/>
  <c r="AK67" i="16"/>
  <c r="AK68" i="16" l="1"/>
  <c r="I35" i="8"/>
  <c r="BF65" i="16"/>
  <c r="BF46" i="16"/>
  <c r="BF25" i="16"/>
  <c r="BF23" i="16"/>
  <c r="BF21" i="16"/>
  <c r="BF19" i="16"/>
  <c r="BF18" i="16"/>
  <c r="BF17" i="16"/>
  <c r="BF16" i="16"/>
  <c r="BF14" i="16"/>
  <c r="BF13" i="16"/>
  <c r="BF10" i="16"/>
  <c r="BF8" i="16"/>
  <c r="S7" i="16"/>
  <c r="BF40" i="16"/>
  <c r="BF28" i="16"/>
  <c r="BF27" i="16"/>
  <c r="BF26" i="16"/>
  <c r="BF24" i="16"/>
  <c r="BF22" i="16"/>
  <c r="BF20" i="16"/>
  <c r="BF15" i="16"/>
  <c r="BF12" i="16"/>
  <c r="BF11" i="16"/>
  <c r="BF33" i="16" l="1"/>
  <c r="BF39" i="16"/>
  <c r="BF41" i="16"/>
  <c r="BF7" i="16"/>
  <c r="BF9" i="16"/>
  <c r="BF31" i="16"/>
  <c r="BF35" i="16"/>
  <c r="BF37" i="16"/>
  <c r="BF43" i="16"/>
  <c r="BF60" i="16"/>
  <c r="BF62" i="16"/>
  <c r="BF66" i="16"/>
  <c r="BF48" i="16"/>
  <c r="BF50" i="16"/>
  <c r="BF52" i="16"/>
  <c r="BF54" i="16"/>
  <c r="BF56" i="16"/>
  <c r="BF58" i="16"/>
  <c r="BF64" i="16"/>
  <c r="BF30" i="16"/>
  <c r="BF34" i="16"/>
  <c r="BF42" i="16"/>
  <c r="BF29" i="16"/>
  <c r="BF32" i="16"/>
  <c r="BF36" i="16"/>
  <c r="BF38" i="16"/>
  <c r="BF45" i="16"/>
  <c r="BF61" i="16"/>
  <c r="BF63" i="16"/>
  <c r="BF44" i="16"/>
  <c r="BF47" i="16"/>
  <c r="BF49" i="16"/>
  <c r="BF51" i="16"/>
  <c r="BF53" i="16"/>
  <c r="BF55" i="16"/>
  <c r="BF57" i="16"/>
  <c r="BF59" i="16"/>
  <c r="AI67" i="16" l="1"/>
  <c r="AI68" i="16" l="1"/>
  <c r="I28" i="8"/>
  <c r="AY63" i="16"/>
  <c r="AY49" i="16"/>
  <c r="AY46" i="16"/>
  <c r="AY30" i="16"/>
  <c r="AY27" i="16"/>
  <c r="AY26" i="16"/>
  <c r="AY24" i="16"/>
  <c r="AY12" i="16"/>
  <c r="AY11" i="16"/>
  <c r="AY31" i="16"/>
  <c r="AY21" i="16"/>
  <c r="AY18" i="16"/>
  <c r="AY16" i="16"/>
  <c r="AY14" i="16"/>
  <c r="AY13" i="16"/>
  <c r="AY10" i="16"/>
  <c r="AY8" i="16"/>
  <c r="AY7" i="16" l="1"/>
  <c r="AY66" i="16" l="1"/>
  <c r="AY62" i="16"/>
  <c r="AY60" i="16"/>
  <c r="AY65" i="16"/>
  <c r="AY59" i="16"/>
  <c r="AY57" i="16"/>
  <c r="AY55" i="16"/>
  <c r="AY53" i="16"/>
  <c r="AY51" i="16"/>
  <c r="AY47" i="16"/>
  <c r="AY44" i="16"/>
  <c r="AY42" i="16"/>
  <c r="AY40" i="16"/>
  <c r="AY34" i="16"/>
  <c r="AY20" i="16"/>
  <c r="AY38" i="16"/>
  <c r="AY36" i="16"/>
  <c r="AY32" i="16"/>
  <c r="AY29" i="16"/>
  <c r="AY23" i="16"/>
  <c r="AY19" i="16"/>
  <c r="AY17" i="16"/>
  <c r="AY61" i="16"/>
  <c r="AY45" i="16"/>
  <c r="AY64" i="16"/>
  <c r="AY58" i="16"/>
  <c r="AY56" i="16"/>
  <c r="AY54" i="16"/>
  <c r="AY52" i="16"/>
  <c r="AY50" i="16"/>
  <c r="AY48" i="16"/>
  <c r="AY43" i="16"/>
  <c r="AY41" i="16"/>
  <c r="AY39" i="16"/>
  <c r="AY33" i="16"/>
  <c r="AY28" i="16"/>
  <c r="AY22" i="16"/>
  <c r="AY15" i="16"/>
  <c r="AY37" i="16"/>
  <c r="AY35" i="16"/>
  <c r="AY25" i="16"/>
  <c r="AY9" i="16" l="1"/>
  <c r="AB67" i="16"/>
  <c r="AB68" i="16" l="1"/>
  <c r="I8" i="8"/>
  <c r="R11" i="16" l="1"/>
  <c r="AS11" i="16"/>
  <c r="AX11" i="16"/>
  <c r="AV11" i="16" s="1"/>
  <c r="AT11" i="16"/>
  <c r="AR11" i="16"/>
  <c r="R15" i="16"/>
  <c r="AS15" i="16"/>
  <c r="AT15" i="16"/>
  <c r="AX15" i="16"/>
  <c r="AV15" i="16" s="1"/>
  <c r="W15" i="16"/>
  <c r="AR15" i="16"/>
  <c r="R22" i="16"/>
  <c r="AS22" i="16"/>
  <c r="AX22" i="16"/>
  <c r="AV22" i="16" s="1"/>
  <c r="AR22" i="16"/>
  <c r="AT22" i="16"/>
  <c r="R26" i="16"/>
  <c r="AS26" i="16"/>
  <c r="AX26" i="16"/>
  <c r="AV26" i="16" s="1"/>
  <c r="AR26" i="16"/>
  <c r="AT26" i="16"/>
  <c r="R28" i="16"/>
  <c r="AS28" i="16"/>
  <c r="AX28" i="16"/>
  <c r="AV28" i="16" s="1"/>
  <c r="AT28" i="16"/>
  <c r="AR28" i="16"/>
  <c r="W28" i="16"/>
  <c r="R33" i="16"/>
  <c r="AS33" i="16"/>
  <c r="AX33" i="16"/>
  <c r="AV33" i="16" s="1"/>
  <c r="AT33" i="16"/>
  <c r="AR33" i="16"/>
  <c r="R39" i="16"/>
  <c r="AI17" i="23" s="1"/>
  <c r="AS39" i="16"/>
  <c r="AR39" i="16"/>
  <c r="AX39" i="16"/>
  <c r="AV39" i="16" s="1"/>
  <c r="AT39" i="16"/>
  <c r="R43" i="16"/>
  <c r="AX43" i="16"/>
  <c r="AV43" i="16" s="1"/>
  <c r="AR43" i="16"/>
  <c r="AS43" i="16"/>
  <c r="AT43" i="16"/>
  <c r="W43" i="16"/>
  <c r="AX8" i="16"/>
  <c r="AV8" i="16" s="1"/>
  <c r="AR8" i="16"/>
  <c r="R8" i="16"/>
  <c r="AS8" i="16"/>
  <c r="AT8" i="16"/>
  <c r="T8" i="16"/>
  <c r="R10" i="16"/>
  <c r="AS10" i="16"/>
  <c r="AT10" i="16"/>
  <c r="AR10" i="16"/>
  <c r="W10" i="16"/>
  <c r="AX10" i="16"/>
  <c r="AV10" i="16" s="1"/>
  <c r="R14" i="16"/>
  <c r="AS14" i="16"/>
  <c r="AX14" i="16"/>
  <c r="AV14" i="16" s="1"/>
  <c r="AT14" i="16"/>
  <c r="AR14" i="16"/>
  <c r="AR17" i="16"/>
  <c r="R17" i="16"/>
  <c r="AS17" i="16"/>
  <c r="AT17" i="16"/>
  <c r="AX17" i="16"/>
  <c r="AV17" i="16" s="1"/>
  <c r="T17" i="16"/>
  <c r="R19" i="16"/>
  <c r="AX19" i="16"/>
  <c r="AV19" i="16" s="1"/>
  <c r="AS19" i="16"/>
  <c r="AT19" i="16"/>
  <c r="AR19" i="16"/>
  <c r="R23" i="16"/>
  <c r="AS23" i="16"/>
  <c r="AX23" i="16"/>
  <c r="AV23" i="16" s="1"/>
  <c r="AR23" i="16"/>
  <c r="AT23" i="16"/>
  <c r="R29" i="16"/>
  <c r="AI13" i="34" s="1"/>
  <c r="AS29" i="16"/>
  <c r="AX29" i="16"/>
  <c r="AV29" i="16" s="1"/>
  <c r="AT29" i="16"/>
  <c r="AR29" i="16"/>
  <c r="R32" i="16"/>
  <c r="W32" i="16" s="1"/>
  <c r="AX32" i="16"/>
  <c r="AV32" i="16" s="1"/>
  <c r="AS32" i="16"/>
  <c r="AT32" i="16"/>
  <c r="AR32" i="16"/>
  <c r="R36" i="16"/>
  <c r="AI19" i="34" s="1"/>
  <c r="AS36" i="16"/>
  <c r="AR36" i="16"/>
  <c r="AX36" i="16"/>
  <c r="AV36" i="16" s="1"/>
  <c r="AT36" i="16"/>
  <c r="R38" i="16"/>
  <c r="AT38" i="16"/>
  <c r="AX38" i="16"/>
  <c r="AV38" i="16" s="1"/>
  <c r="AS38" i="16"/>
  <c r="AR38" i="16"/>
  <c r="R42" i="16"/>
  <c r="AR42" i="16"/>
  <c r="AS42" i="16"/>
  <c r="AX42" i="16"/>
  <c r="AV42" i="16" s="1"/>
  <c r="AT42" i="16"/>
  <c r="R45" i="16"/>
  <c r="AS45" i="16"/>
  <c r="AT45" i="16"/>
  <c r="AX45" i="16"/>
  <c r="AV45" i="16" s="1"/>
  <c r="AR45" i="16"/>
  <c r="R61" i="16"/>
  <c r="AX61" i="16"/>
  <c r="AV61" i="16" s="1"/>
  <c r="AR61" i="16"/>
  <c r="AS61" i="16"/>
  <c r="AT61" i="16"/>
  <c r="R63" i="16"/>
  <c r="S30" i="22" s="1"/>
  <c r="AR63" i="16"/>
  <c r="AO63" i="16" s="1"/>
  <c r="AX63" i="16"/>
  <c r="AV63" i="16" s="1"/>
  <c r="AS63" i="16"/>
  <c r="AT63" i="16"/>
  <c r="R47" i="16"/>
  <c r="AR47" i="16"/>
  <c r="W47" i="16"/>
  <c r="AS47" i="16"/>
  <c r="AX47" i="16"/>
  <c r="AV47" i="16" s="1"/>
  <c r="AT47" i="16"/>
  <c r="R49" i="16"/>
  <c r="U7" i="24" s="1"/>
  <c r="AX49" i="16"/>
  <c r="AV49" i="16" s="1"/>
  <c r="T49" i="16"/>
  <c r="AS49" i="16"/>
  <c r="AR49" i="16"/>
  <c r="AT49" i="16"/>
  <c r="R51" i="16"/>
  <c r="S10" i="41" s="1"/>
  <c r="AX51" i="16"/>
  <c r="AV51" i="16" s="1"/>
  <c r="AS51" i="16"/>
  <c r="AR51" i="16"/>
  <c r="AT51" i="16"/>
  <c r="R53" i="16"/>
  <c r="AX53" i="16"/>
  <c r="AV53" i="16" s="1"/>
  <c r="T53" i="16"/>
  <c r="AS53" i="16"/>
  <c r="AR53" i="16"/>
  <c r="AT53" i="16"/>
  <c r="R55" i="16"/>
  <c r="AX55" i="16"/>
  <c r="AV55" i="16" s="1"/>
  <c r="T55" i="16"/>
  <c r="AS55" i="16"/>
  <c r="AR55" i="16"/>
  <c r="AO55" i="16" s="1"/>
  <c r="AT55" i="16"/>
  <c r="R57" i="16"/>
  <c r="U17" i="43" s="1"/>
  <c r="T57" i="16"/>
  <c r="AS57" i="16"/>
  <c r="AX57" i="16"/>
  <c r="AV57" i="16" s="1"/>
  <c r="AR57" i="16"/>
  <c r="AO57" i="16" s="1"/>
  <c r="AT57" i="16"/>
  <c r="R59" i="16"/>
  <c r="AI14" i="19" s="1"/>
  <c r="AS59" i="16"/>
  <c r="AX59" i="16"/>
  <c r="AV59" i="16" s="1"/>
  <c r="T59" i="16"/>
  <c r="AR59" i="16"/>
  <c r="AO59" i="16" s="1"/>
  <c r="AT59" i="16"/>
  <c r="AX64" i="16"/>
  <c r="AV64" i="16" s="1"/>
  <c r="R64" i="16"/>
  <c r="U24" i="43" s="1"/>
  <c r="AT64" i="16"/>
  <c r="AS64" i="16"/>
  <c r="AR64" i="16"/>
  <c r="AO64" i="16" s="1"/>
  <c r="AR12" i="16"/>
  <c r="R12" i="16"/>
  <c r="AX12" i="16"/>
  <c r="AV12" i="16" s="1"/>
  <c r="AS12" i="16"/>
  <c r="AT12" i="16"/>
  <c r="T12" i="16"/>
  <c r="R20" i="16"/>
  <c r="AX20" i="16"/>
  <c r="AV20" i="16" s="1"/>
  <c r="AS20" i="16"/>
  <c r="AT20" i="16"/>
  <c r="AR20" i="16"/>
  <c r="R24" i="16"/>
  <c r="AX24" i="16"/>
  <c r="AV24" i="16" s="1"/>
  <c r="AS24" i="16"/>
  <c r="AT24" i="16"/>
  <c r="AR24" i="16"/>
  <c r="R27" i="16"/>
  <c r="AX27" i="16"/>
  <c r="AV27" i="16" s="1"/>
  <c r="AR27" i="16"/>
  <c r="AS27" i="16"/>
  <c r="AT27" i="16"/>
  <c r="R30" i="16"/>
  <c r="AX30" i="16"/>
  <c r="AV30" i="16" s="1"/>
  <c r="AS30" i="16"/>
  <c r="AR30" i="16"/>
  <c r="AT30" i="16"/>
  <c r="R34" i="16"/>
  <c r="AX34" i="16"/>
  <c r="AV34" i="16" s="1"/>
  <c r="AS34" i="16"/>
  <c r="AR34" i="16"/>
  <c r="AT34" i="16"/>
  <c r="R40" i="16"/>
  <c r="S30" i="17" s="1"/>
  <c r="AX40" i="16"/>
  <c r="AV40" i="16" s="1"/>
  <c r="AS40" i="16"/>
  <c r="AT40" i="16"/>
  <c r="AR40" i="16"/>
  <c r="R7" i="16"/>
  <c r="AX7" i="16"/>
  <c r="AV7" i="16" s="1"/>
  <c r="AA67" i="16"/>
  <c r="AS7" i="16"/>
  <c r="AT7" i="16"/>
  <c r="AR7" i="16"/>
  <c r="R9" i="16"/>
  <c r="AS9" i="16"/>
  <c r="AX9" i="16"/>
  <c r="AV9" i="16" s="1"/>
  <c r="AT9" i="16"/>
  <c r="AR9" i="16"/>
  <c r="AR13" i="16"/>
  <c r="R13" i="16"/>
  <c r="AX13" i="16"/>
  <c r="AV13" i="16" s="1"/>
  <c r="AS13" i="16"/>
  <c r="AT13" i="16"/>
  <c r="R16" i="16"/>
  <c r="AS16" i="16"/>
  <c r="AX16" i="16"/>
  <c r="AV16" i="16" s="1"/>
  <c r="AT16" i="16"/>
  <c r="AR16" i="16"/>
  <c r="R18" i="16"/>
  <c r="S29" i="31" s="1"/>
  <c r="AX18" i="16"/>
  <c r="AV18" i="16" s="1"/>
  <c r="AS18" i="16"/>
  <c r="AT18" i="16"/>
  <c r="AR18" i="16"/>
  <c r="R21" i="16"/>
  <c r="AS21" i="16"/>
  <c r="AT21" i="16"/>
  <c r="AX21" i="16"/>
  <c r="AV21" i="16" s="1"/>
  <c r="AR21" i="16"/>
  <c r="R25" i="16"/>
  <c r="AS25" i="16"/>
  <c r="AT25" i="16"/>
  <c r="AX25" i="16"/>
  <c r="AV25" i="16" s="1"/>
  <c r="AR25" i="16"/>
  <c r="R31" i="16"/>
  <c r="AK13" i="23" s="1"/>
  <c r="AX31" i="16"/>
  <c r="AV31" i="16" s="1"/>
  <c r="AR31" i="16"/>
  <c r="AS31" i="16"/>
  <c r="AT31" i="16"/>
  <c r="AR35" i="16"/>
  <c r="R35" i="16"/>
  <c r="AS35" i="16"/>
  <c r="AT35" i="16"/>
  <c r="AX35" i="16"/>
  <c r="AV35" i="16" s="1"/>
  <c r="T35" i="16"/>
  <c r="R37" i="16"/>
  <c r="AS37" i="16"/>
  <c r="AT37" i="16"/>
  <c r="AX37" i="16"/>
  <c r="AV37" i="16" s="1"/>
  <c r="AR37" i="16"/>
  <c r="R41" i="16"/>
  <c r="AS41" i="16"/>
  <c r="AT41" i="16"/>
  <c r="AX41" i="16"/>
  <c r="AV41" i="16" s="1"/>
  <c r="AR41" i="16"/>
  <c r="R44" i="16"/>
  <c r="AT44" i="16"/>
  <c r="W44" i="16"/>
  <c r="AS44" i="16"/>
  <c r="AX44" i="16"/>
  <c r="AV44" i="16" s="1"/>
  <c r="AR44" i="16"/>
  <c r="AR60" i="16"/>
  <c r="R60" i="16"/>
  <c r="AT60" i="16"/>
  <c r="AX60" i="16"/>
  <c r="AV60" i="16" s="1"/>
  <c r="AS60" i="16"/>
  <c r="R62" i="16"/>
  <c r="S24" i="43" s="1"/>
  <c r="R24" i="43" s="1"/>
  <c r="AX62" i="16"/>
  <c r="AV62" i="16" s="1"/>
  <c r="AR62" i="16"/>
  <c r="AO62" i="16" s="1"/>
  <c r="AS62" i="16"/>
  <c r="AT62" i="16"/>
  <c r="R46" i="16"/>
  <c r="AX46" i="16"/>
  <c r="AV46" i="16" s="1"/>
  <c r="AT46" i="16"/>
  <c r="AS46" i="16"/>
  <c r="AR46" i="16"/>
  <c r="R48" i="16"/>
  <c r="AT48" i="16"/>
  <c r="AS48" i="16"/>
  <c r="AX48" i="16"/>
  <c r="AV48" i="16" s="1"/>
  <c r="AR48" i="16"/>
  <c r="R50" i="16"/>
  <c r="AX50" i="16"/>
  <c r="AV50" i="16" s="1"/>
  <c r="AS50" i="16"/>
  <c r="AR50" i="16"/>
  <c r="AT50" i="16"/>
  <c r="R52" i="16"/>
  <c r="AX52" i="16"/>
  <c r="AV52" i="16" s="1"/>
  <c r="W52" i="16"/>
  <c r="AS52" i="16"/>
  <c r="AR52" i="16"/>
  <c r="AT52" i="16"/>
  <c r="R54" i="16"/>
  <c r="AK10" i="20" s="1"/>
  <c r="AX54" i="16"/>
  <c r="AV54" i="16" s="1"/>
  <c r="W54" i="16"/>
  <c r="AS54" i="16"/>
  <c r="AR54" i="16"/>
  <c r="AO54" i="16" s="1"/>
  <c r="AT54" i="16"/>
  <c r="R56" i="16"/>
  <c r="S17" i="43" s="1"/>
  <c r="R17" i="43" s="1"/>
  <c r="AX56" i="16"/>
  <c r="AV56" i="16" s="1"/>
  <c r="W56" i="16"/>
  <c r="AS56" i="16"/>
  <c r="AR56" i="16"/>
  <c r="AO56" i="16" s="1"/>
  <c r="AT56" i="16"/>
  <c r="R58" i="16"/>
  <c r="AX58" i="16"/>
  <c r="AV58" i="16" s="1"/>
  <c r="AS58" i="16"/>
  <c r="AR58" i="16"/>
  <c r="AO58" i="16" s="1"/>
  <c r="W58" i="16"/>
  <c r="AT58" i="16"/>
  <c r="R66" i="16"/>
  <c r="AI19" i="27" s="1"/>
  <c r="AX66" i="16"/>
  <c r="AV66" i="16" s="1"/>
  <c r="W66" i="16"/>
  <c r="AR66" i="16"/>
  <c r="AO66" i="16" s="1"/>
  <c r="AS66" i="16"/>
  <c r="AT66" i="16"/>
  <c r="AR65" i="16"/>
  <c r="AO65" i="16" s="1"/>
  <c r="AX65" i="16"/>
  <c r="AV65" i="16" s="1"/>
  <c r="R65" i="16"/>
  <c r="S23" i="17" s="1"/>
  <c r="AT65" i="16"/>
  <c r="AS65" i="16"/>
  <c r="U9" i="41"/>
  <c r="T51" i="16" l="1"/>
  <c r="S35" i="45"/>
  <c r="R35" i="45" s="1"/>
  <c r="S29" i="45"/>
  <c r="R29" i="45" s="1"/>
  <c r="S10" i="45"/>
  <c r="R10" i="45" s="1"/>
  <c r="S15" i="45"/>
  <c r="R15" i="45" s="1"/>
  <c r="S45" i="45"/>
  <c r="R45" i="45" s="1"/>
  <c r="S44" i="45"/>
  <c r="R44" i="45" s="1"/>
  <c r="S36" i="45"/>
  <c r="R36" i="45" s="1"/>
  <c r="S43" i="45"/>
  <c r="R43" i="45" s="1"/>
  <c r="S28" i="45"/>
  <c r="R28" i="45" s="1"/>
  <c r="S22" i="45"/>
  <c r="R22" i="45" s="1"/>
  <c r="S38" i="45"/>
  <c r="R38" i="45" s="1"/>
  <c r="S30" i="45"/>
  <c r="R30" i="45" s="1"/>
  <c r="S7" i="45"/>
  <c r="R7" i="45" s="1"/>
  <c r="S8" i="45"/>
  <c r="R8" i="45" s="1"/>
  <c r="S21" i="45"/>
  <c r="R21" i="45" s="1"/>
  <c r="U30" i="31"/>
  <c r="S31" i="45"/>
  <c r="R31" i="45" s="1"/>
  <c r="S9" i="31"/>
  <c r="S42" i="45"/>
  <c r="R42" i="45" s="1"/>
  <c r="U9" i="31"/>
  <c r="S23" i="45"/>
  <c r="R23" i="45" s="1"/>
  <c r="AI12" i="34"/>
  <c r="S16" i="45"/>
  <c r="R16" i="45" s="1"/>
  <c r="AI11" i="34"/>
  <c r="S9" i="45"/>
  <c r="R9" i="45" s="1"/>
  <c r="U15" i="31"/>
  <c r="S14" i="45"/>
  <c r="R14" i="45" s="1"/>
  <c r="S24" i="31"/>
  <c r="S24" i="45"/>
  <c r="R24" i="45" s="1"/>
  <c r="U10" i="41"/>
  <c r="R10" i="41" s="1"/>
  <c r="S37" i="45"/>
  <c r="R37" i="45" s="1"/>
  <c r="U30" i="43"/>
  <c r="U31" i="31"/>
  <c r="AK20" i="34"/>
  <c r="U30" i="39"/>
  <c r="U13" i="40"/>
  <c r="U14" i="43"/>
  <c r="U21" i="31"/>
  <c r="AK13" i="34"/>
  <c r="AK14" i="34"/>
  <c r="W12" i="40"/>
  <c r="S16" i="31"/>
  <c r="S7" i="40"/>
  <c r="S7" i="31"/>
  <c r="AI10" i="34"/>
  <c r="W34" i="16"/>
  <c r="AK12" i="34"/>
  <c r="AK17" i="34"/>
  <c r="S11" i="40"/>
  <c r="S21" i="31"/>
  <c r="R21" i="31" s="1"/>
  <c r="U17" i="41"/>
  <c r="U24" i="31"/>
  <c r="W42" i="16"/>
  <c r="U16" i="31"/>
  <c r="AK19" i="34"/>
  <c r="AH19" i="34" s="1"/>
  <c r="S30" i="31"/>
  <c r="R30" i="31" s="1"/>
  <c r="W23" i="16"/>
  <c r="S10" i="40"/>
  <c r="S8" i="31"/>
  <c r="AI18" i="34"/>
  <c r="U11" i="40"/>
  <c r="U23" i="31"/>
  <c r="AK8" i="34"/>
  <c r="S8" i="40"/>
  <c r="S14" i="31"/>
  <c r="AI9" i="34"/>
  <c r="U22" i="31"/>
  <c r="W9" i="40"/>
  <c r="U7" i="40"/>
  <c r="U7" i="31"/>
  <c r="AK10" i="34"/>
  <c r="S12" i="40"/>
  <c r="AI15" i="34"/>
  <c r="AH12" i="34"/>
  <c r="U29" i="31"/>
  <c r="R29" i="31" s="1"/>
  <c r="AK11" i="34"/>
  <c r="AH11" i="34" s="1"/>
  <c r="S31" i="31"/>
  <c r="R31" i="31" s="1"/>
  <c r="AI20" i="34"/>
  <c r="AH20" i="34" s="1"/>
  <c r="S23" i="31"/>
  <c r="R23" i="31" s="1"/>
  <c r="AI8" i="34"/>
  <c r="AH8" i="34" s="1"/>
  <c r="U15" i="41"/>
  <c r="Y9" i="40"/>
  <c r="U8" i="31"/>
  <c r="AK18" i="34"/>
  <c r="S29" i="41"/>
  <c r="S13" i="40"/>
  <c r="S22" i="31"/>
  <c r="R22" i="31" s="1"/>
  <c r="AI14" i="34"/>
  <c r="U28" i="31"/>
  <c r="AK16" i="34"/>
  <c r="U8" i="40"/>
  <c r="U14" i="31"/>
  <c r="AK9" i="34"/>
  <c r="AK8" i="21"/>
  <c r="Y12" i="40"/>
  <c r="AK15" i="34"/>
  <c r="AH13" i="34"/>
  <c r="S8" i="41"/>
  <c r="S9" i="40"/>
  <c r="R9" i="40" s="1"/>
  <c r="S15" i="31"/>
  <c r="R15" i="31" s="1"/>
  <c r="AI17" i="34"/>
  <c r="AH17" i="34" s="1"/>
  <c r="U10" i="40"/>
  <c r="S28" i="31"/>
  <c r="R28" i="31" s="1"/>
  <c r="AI16" i="34"/>
  <c r="AH16" i="34" s="1"/>
  <c r="W30" i="16"/>
  <c r="W38" i="16"/>
  <c r="W19" i="16"/>
  <c r="AK19" i="23"/>
  <c r="U16" i="43"/>
  <c r="U22" i="41"/>
  <c r="S28" i="43"/>
  <c r="U7" i="41"/>
  <c r="U21" i="43"/>
  <c r="U28" i="41"/>
  <c r="U15" i="43"/>
  <c r="S17" i="41"/>
  <c r="R17" i="41" s="1"/>
  <c r="S30" i="43"/>
  <c r="R30" i="43" s="1"/>
  <c r="AI9" i="18"/>
  <c r="S9" i="43"/>
  <c r="S23" i="41"/>
  <c r="U16" i="41"/>
  <c r="U8" i="43"/>
  <c r="S29" i="43"/>
  <c r="S14" i="41"/>
  <c r="S7" i="43"/>
  <c r="S28" i="41"/>
  <c r="R28" i="41" s="1"/>
  <c r="S14" i="43"/>
  <c r="R14" i="43" s="1"/>
  <c r="S21" i="41"/>
  <c r="U24" i="41"/>
  <c r="U23" i="43"/>
  <c r="U22" i="43"/>
  <c r="S9" i="41"/>
  <c r="R9" i="41" s="1"/>
  <c r="Y29" i="39"/>
  <c r="Y7" i="43"/>
  <c r="U16" i="39"/>
  <c r="S16" i="41"/>
  <c r="AI15" i="23"/>
  <c r="S30" i="41"/>
  <c r="AI19" i="23"/>
  <c r="S16" i="43"/>
  <c r="U30" i="41"/>
  <c r="S15" i="41"/>
  <c r="R15" i="41" s="1"/>
  <c r="S8" i="43"/>
  <c r="R8" i="43" s="1"/>
  <c r="S21" i="43"/>
  <c r="S7" i="41"/>
  <c r="R7" i="41" s="1"/>
  <c r="U29" i="41"/>
  <c r="R29" i="41" s="1"/>
  <c r="U28" i="43"/>
  <c r="U21" i="41"/>
  <c r="W7" i="43"/>
  <c r="S24" i="41"/>
  <c r="S23" i="43"/>
  <c r="R23" i="43" s="1"/>
  <c r="S15" i="43"/>
  <c r="S22" i="41"/>
  <c r="R22" i="41" s="1"/>
  <c r="U8" i="41"/>
  <c r="R8" i="41" s="1"/>
  <c r="S22" i="43"/>
  <c r="R22" i="43" s="1"/>
  <c r="U14" i="41"/>
  <c r="U29" i="43"/>
  <c r="U9" i="43"/>
  <c r="U23" i="41"/>
  <c r="S31" i="22"/>
  <c r="S17" i="39"/>
  <c r="AI8" i="23"/>
  <c r="S15" i="39"/>
  <c r="S8" i="17"/>
  <c r="AK10" i="23"/>
  <c r="AK13" i="27"/>
  <c r="S21" i="39"/>
  <c r="U12" i="24"/>
  <c r="U14" i="17"/>
  <c r="U16" i="17"/>
  <c r="U21" i="39"/>
  <c r="U12" i="15"/>
  <c r="U11" i="24"/>
  <c r="U24" i="39"/>
  <c r="AI17" i="27"/>
  <c r="AK17" i="27"/>
  <c r="U9" i="17"/>
  <c r="S24" i="39"/>
  <c r="R24" i="39" s="1"/>
  <c r="U23" i="22"/>
  <c r="U31" i="17"/>
  <c r="U10" i="24"/>
  <c r="AI18" i="27"/>
  <c r="S31" i="39"/>
  <c r="S24" i="17"/>
  <c r="AK15" i="19"/>
  <c r="W29" i="39"/>
  <c r="U8" i="24"/>
  <c r="AK20" i="23"/>
  <c r="U15" i="17"/>
  <c r="U22" i="39"/>
  <c r="U30" i="17"/>
  <c r="R30" i="17" s="1"/>
  <c r="S16" i="39"/>
  <c r="R16" i="39" s="1"/>
  <c r="S28" i="39"/>
  <c r="AI14" i="27"/>
  <c r="S22" i="17"/>
  <c r="AK17" i="23"/>
  <c r="AK14" i="23"/>
  <c r="AK12" i="27"/>
  <c r="U23" i="17"/>
  <c r="R23" i="17" s="1"/>
  <c r="S7" i="24"/>
  <c r="R7" i="24" s="1"/>
  <c r="AK9" i="27"/>
  <c r="S9" i="17"/>
  <c r="S29" i="39"/>
  <c r="R29" i="39" s="1"/>
  <c r="AK18" i="20"/>
  <c r="AK20" i="27"/>
  <c r="AK11" i="23"/>
  <c r="U23" i="39"/>
  <c r="S30" i="39"/>
  <c r="R30" i="39" s="1"/>
  <c r="AI10" i="27"/>
  <c r="U15" i="39"/>
  <c r="U8" i="17"/>
  <c r="AK12" i="23"/>
  <c r="AK11" i="27"/>
  <c r="U21" i="17"/>
  <c r="AI16" i="27"/>
  <c r="S16" i="17"/>
  <c r="R16" i="17" s="1"/>
  <c r="S9" i="39"/>
  <c r="AK15" i="23"/>
  <c r="AI11" i="20"/>
  <c r="S11" i="24"/>
  <c r="R11" i="24" s="1"/>
  <c r="S17" i="13"/>
  <c r="AI16" i="23"/>
  <c r="S17" i="17"/>
  <c r="U24" i="17"/>
  <c r="AK18" i="27"/>
  <c r="U31" i="39"/>
  <c r="U31" i="22"/>
  <c r="U17" i="39"/>
  <c r="AK16" i="27"/>
  <c r="U9" i="39"/>
  <c r="AH15" i="23"/>
  <c r="AH19" i="23"/>
  <c r="AI14" i="23"/>
  <c r="AH14" i="23" s="1"/>
  <c r="AI12" i="27"/>
  <c r="AH12" i="27" s="1"/>
  <c r="S8" i="24"/>
  <c r="R8" i="24" s="1"/>
  <c r="AK19" i="27"/>
  <c r="AH19" i="27" s="1"/>
  <c r="AI20" i="23"/>
  <c r="AH20" i="23" s="1"/>
  <c r="S22" i="39"/>
  <c r="R22" i="39" s="1"/>
  <c r="S15" i="17"/>
  <c r="R15" i="17" s="1"/>
  <c r="S9" i="24"/>
  <c r="AI18" i="23"/>
  <c r="S8" i="39"/>
  <c r="AI15" i="27"/>
  <c r="S29" i="17"/>
  <c r="AI10" i="23"/>
  <c r="AH10" i="23" s="1"/>
  <c r="S14" i="17"/>
  <c r="R14" i="17" s="1"/>
  <c r="AI13" i="27"/>
  <c r="AH13" i="27" s="1"/>
  <c r="U28" i="17"/>
  <c r="U14" i="39"/>
  <c r="AK10" i="27"/>
  <c r="AI13" i="23"/>
  <c r="AH13" i="23" s="1"/>
  <c r="AK9" i="23"/>
  <c r="AK8" i="27"/>
  <c r="U7" i="39"/>
  <c r="AH17" i="23"/>
  <c r="AI18" i="20"/>
  <c r="AI20" i="27"/>
  <c r="AH20" i="27" s="1"/>
  <c r="AI11" i="23"/>
  <c r="AH11" i="23" s="1"/>
  <c r="S23" i="39"/>
  <c r="R23" i="39" s="1"/>
  <c r="S12" i="24"/>
  <c r="R12" i="24" s="1"/>
  <c r="U8" i="39"/>
  <c r="S28" i="17"/>
  <c r="R28" i="17" s="1"/>
  <c r="AI9" i="27"/>
  <c r="AH9" i="27" s="1"/>
  <c r="AK16" i="23"/>
  <c r="U17" i="17"/>
  <c r="S10" i="24"/>
  <c r="R10" i="24" s="1"/>
  <c r="S31" i="17"/>
  <c r="R31" i="17" s="1"/>
  <c r="U9" i="24"/>
  <c r="AK15" i="27"/>
  <c r="U29" i="17"/>
  <c r="AK18" i="23"/>
  <c r="U22" i="17"/>
  <c r="U28" i="39"/>
  <c r="AK8" i="23"/>
  <c r="AK14" i="27"/>
  <c r="AI12" i="23"/>
  <c r="AH12" i="23" s="1"/>
  <c r="S21" i="17"/>
  <c r="R21" i="17" s="1"/>
  <c r="S14" i="39"/>
  <c r="AI11" i="27"/>
  <c r="AH11" i="27" s="1"/>
  <c r="AI8" i="27"/>
  <c r="AI9" i="23"/>
  <c r="AH9" i="23" s="1"/>
  <c r="S7" i="39"/>
  <c r="R7" i="39" s="1"/>
  <c r="AK8" i="19"/>
  <c r="U22" i="13"/>
  <c r="U14" i="22"/>
  <c r="AI10" i="20"/>
  <c r="AH10" i="20" s="1"/>
  <c r="AI8" i="18"/>
  <c r="S30" i="13"/>
  <c r="S29" i="22"/>
  <c r="AK14" i="20"/>
  <c r="AK15" i="21"/>
  <c r="AK13" i="19"/>
  <c r="AK11" i="18"/>
  <c r="U10" i="15"/>
  <c r="U21" i="13"/>
  <c r="U21" i="22"/>
  <c r="AK14" i="21"/>
  <c r="AK13" i="18"/>
  <c r="U8" i="22"/>
  <c r="U29" i="13"/>
  <c r="W11" i="16"/>
  <c r="T60" i="16"/>
  <c r="S11" i="15"/>
  <c r="U14" i="13"/>
  <c r="U7" i="22"/>
  <c r="AK17" i="20"/>
  <c r="AK14" i="18"/>
  <c r="AK16" i="21"/>
  <c r="AK16" i="19"/>
  <c r="U7" i="13"/>
  <c r="U22" i="22"/>
  <c r="U9" i="15"/>
  <c r="AK9" i="20"/>
  <c r="AI10" i="21"/>
  <c r="AK14" i="19"/>
  <c r="AH14" i="19" s="1"/>
  <c r="AI15" i="18"/>
  <c r="U16" i="22"/>
  <c r="S16" i="13"/>
  <c r="AI16" i="20"/>
  <c r="AK13" i="21"/>
  <c r="AI17" i="19"/>
  <c r="U9" i="13"/>
  <c r="S15" i="22"/>
  <c r="AK19" i="20"/>
  <c r="AK11" i="19"/>
  <c r="AK10" i="18"/>
  <c r="AK10" i="21"/>
  <c r="U15" i="22"/>
  <c r="U8" i="13"/>
  <c r="T13" i="16"/>
  <c r="AK12" i="20"/>
  <c r="AI8" i="21"/>
  <c r="AH8" i="21" s="1"/>
  <c r="AI12" i="18"/>
  <c r="AK10" i="19"/>
  <c r="U16" i="13"/>
  <c r="U7" i="15"/>
  <c r="AI8" i="20"/>
  <c r="AI9" i="19"/>
  <c r="AK9" i="18"/>
  <c r="AH9" i="18" s="1"/>
  <c r="AI12" i="21"/>
  <c r="S12" i="15"/>
  <c r="R12" i="15" s="1"/>
  <c r="U28" i="13"/>
  <c r="S16" i="22"/>
  <c r="R16" i="22" s="1"/>
  <c r="U30" i="13"/>
  <c r="U29" i="22"/>
  <c r="AK17" i="21"/>
  <c r="U15" i="13"/>
  <c r="U9" i="22"/>
  <c r="AI19" i="20"/>
  <c r="AH19" i="20" s="1"/>
  <c r="AM15" i="18"/>
  <c r="AI14" i="21"/>
  <c r="AH14" i="21" s="1"/>
  <c r="S8" i="22"/>
  <c r="R8" i="22" s="1"/>
  <c r="S29" i="13"/>
  <c r="R29" i="13" s="1"/>
  <c r="AK13" i="20"/>
  <c r="U30" i="22"/>
  <c r="R30" i="22" s="1"/>
  <c r="AK16" i="18"/>
  <c r="U23" i="13"/>
  <c r="AI9" i="20"/>
  <c r="AH9" i="20" s="1"/>
  <c r="AI8" i="19"/>
  <c r="AH8" i="19" s="1"/>
  <c r="S7" i="15"/>
  <c r="R7" i="15" s="1"/>
  <c r="S22" i="13"/>
  <c r="R22" i="13" s="1"/>
  <c r="S14" i="22"/>
  <c r="R14" i="22" s="1"/>
  <c r="AI10" i="18"/>
  <c r="AH10" i="18" s="1"/>
  <c r="S8" i="13"/>
  <c r="R8" i="13" s="1"/>
  <c r="AI17" i="20"/>
  <c r="AH17" i="20" s="1"/>
  <c r="AI14" i="18"/>
  <c r="AH14" i="18" s="1"/>
  <c r="AI16" i="19"/>
  <c r="AH16" i="19" s="1"/>
  <c r="AI16" i="21"/>
  <c r="AH16" i="21" s="1"/>
  <c r="S9" i="15"/>
  <c r="R9" i="15" s="1"/>
  <c r="S7" i="13"/>
  <c r="R7" i="13" s="1"/>
  <c r="S22" i="22"/>
  <c r="R22" i="22" s="1"/>
  <c r="AI15" i="20"/>
  <c r="AI17" i="18"/>
  <c r="AM12" i="21"/>
  <c r="AI12" i="19"/>
  <c r="S24" i="13"/>
  <c r="AI14" i="20"/>
  <c r="AH14" i="20" s="1"/>
  <c r="AI15" i="21"/>
  <c r="AH15" i="21" s="1"/>
  <c r="AI13" i="19"/>
  <c r="AH13" i="19" s="1"/>
  <c r="AI11" i="18"/>
  <c r="AH11" i="18" s="1"/>
  <c r="S21" i="22"/>
  <c r="R21" i="22" s="1"/>
  <c r="S10" i="15"/>
  <c r="R10" i="15" s="1"/>
  <c r="S21" i="13"/>
  <c r="R21" i="13" s="1"/>
  <c r="AI13" i="20"/>
  <c r="AH13" i="20" s="1"/>
  <c r="AI11" i="21"/>
  <c r="AO15" i="18"/>
  <c r="AI11" i="19"/>
  <c r="AH11" i="19" s="1"/>
  <c r="S7" i="22"/>
  <c r="R7" i="22" s="1"/>
  <c r="U11" i="15"/>
  <c r="S14" i="13"/>
  <c r="R14" i="13" s="1"/>
  <c r="AK8" i="20"/>
  <c r="AK9" i="21"/>
  <c r="AK9" i="19"/>
  <c r="U28" i="22"/>
  <c r="U8" i="15"/>
  <c r="AK11" i="20"/>
  <c r="AH11" i="20" s="1"/>
  <c r="AI13" i="21"/>
  <c r="AH13" i="21" s="1"/>
  <c r="S9" i="13"/>
  <c r="R9" i="13" s="1"/>
  <c r="AH18" i="20"/>
  <c r="AI16" i="18"/>
  <c r="AH16" i="18" s="1"/>
  <c r="S23" i="13"/>
  <c r="R23" i="13" s="1"/>
  <c r="AK11" i="21"/>
  <c r="AK12" i="18"/>
  <c r="AI15" i="19"/>
  <c r="AH15" i="19" s="1"/>
  <c r="U17" i="13"/>
  <c r="R17" i="13" s="1"/>
  <c r="S23" i="22"/>
  <c r="R23" i="22" s="1"/>
  <c r="AK15" i="20"/>
  <c r="AO12" i="21"/>
  <c r="AK12" i="19"/>
  <c r="AK17" i="18"/>
  <c r="U24" i="13"/>
  <c r="AK16" i="20"/>
  <c r="AK17" i="19"/>
  <c r="AK8" i="18"/>
  <c r="AI12" i="20"/>
  <c r="AH12" i="20" s="1"/>
  <c r="AI13" i="18"/>
  <c r="AH13" i="18" s="1"/>
  <c r="AI17" i="21"/>
  <c r="AH17" i="21" s="1"/>
  <c r="AI10" i="19"/>
  <c r="AH10" i="19" s="1"/>
  <c r="S15" i="13"/>
  <c r="R15" i="13" s="1"/>
  <c r="S9" i="22"/>
  <c r="R9" i="22" s="1"/>
  <c r="S28" i="22"/>
  <c r="AI9" i="21"/>
  <c r="AH9" i="21" s="1"/>
  <c r="S28" i="13"/>
  <c r="R28" i="13" s="1"/>
  <c r="S8" i="15"/>
  <c r="AA68" i="16"/>
  <c r="I6" i="8"/>
  <c r="I66" i="16"/>
  <c r="G66" i="16"/>
  <c r="T66" i="16"/>
  <c r="I58" i="16"/>
  <c r="G58" i="16"/>
  <c r="T58" i="16"/>
  <c r="A56" i="16"/>
  <c r="G56" i="16"/>
  <c r="C56" i="16"/>
  <c r="I56" i="16"/>
  <c r="T56" i="16"/>
  <c r="A54" i="16"/>
  <c r="G54" i="16"/>
  <c r="C54" i="16"/>
  <c r="I54" i="16"/>
  <c r="T54" i="16"/>
  <c r="E52" i="16"/>
  <c r="T52" i="16"/>
  <c r="E50" i="16"/>
  <c r="T50" i="16"/>
  <c r="W50" i="16"/>
  <c r="G48" i="16"/>
  <c r="C48" i="16"/>
  <c r="W48" i="16"/>
  <c r="A48" i="16"/>
  <c r="T48" i="16"/>
  <c r="G46" i="16"/>
  <c r="I46" i="16"/>
  <c r="T46" i="16"/>
  <c r="G62" i="16"/>
  <c r="A62" i="16"/>
  <c r="W62" i="16"/>
  <c r="C62" i="16"/>
  <c r="T62" i="16"/>
  <c r="C44" i="16"/>
  <c r="G44" i="16"/>
  <c r="T44" i="16"/>
  <c r="T41" i="16"/>
  <c r="G41" i="16"/>
  <c r="W41" i="16"/>
  <c r="I41" i="16"/>
  <c r="C41" i="16"/>
  <c r="G37" i="16"/>
  <c r="I37" i="16"/>
  <c r="T37" i="16"/>
  <c r="T31" i="16"/>
  <c r="G31" i="16"/>
  <c r="I31" i="16"/>
  <c r="W31" i="16"/>
  <c r="G25" i="16"/>
  <c r="I25" i="16"/>
  <c r="T25" i="16"/>
  <c r="G21" i="16"/>
  <c r="I21" i="16"/>
  <c r="T21" i="16"/>
  <c r="T18" i="16"/>
  <c r="G18" i="16"/>
  <c r="A18" i="16"/>
  <c r="I18" i="16"/>
  <c r="C18" i="16"/>
  <c r="W18" i="16"/>
  <c r="I16" i="16"/>
  <c r="C16" i="16"/>
  <c r="W16" i="16"/>
  <c r="T16" i="16"/>
  <c r="G16" i="16"/>
  <c r="A16" i="16"/>
  <c r="I9" i="16"/>
  <c r="T9" i="16"/>
  <c r="G9" i="16"/>
  <c r="W9" i="16"/>
  <c r="I7" i="16"/>
  <c r="W7" i="16"/>
  <c r="A7" i="16"/>
  <c r="T7" i="16"/>
  <c r="G7" i="16"/>
  <c r="C7" i="16"/>
  <c r="I12" i="16"/>
  <c r="C12" i="16"/>
  <c r="G12" i="16"/>
  <c r="W12" i="16"/>
  <c r="T63" i="16"/>
  <c r="E63" i="16"/>
  <c r="W63" i="16"/>
  <c r="I63" i="16"/>
  <c r="A63" i="16"/>
  <c r="C63" i="16"/>
  <c r="G17" i="16"/>
  <c r="I17" i="16"/>
  <c r="C17" i="16"/>
  <c r="W17" i="16"/>
  <c r="I65" i="16"/>
  <c r="C65" i="16"/>
  <c r="T65" i="16"/>
  <c r="W65" i="16"/>
  <c r="E65" i="16"/>
  <c r="A65" i="16"/>
  <c r="W46" i="16"/>
  <c r="I60" i="16"/>
  <c r="C60" i="16"/>
  <c r="E60" i="16"/>
  <c r="A60" i="16"/>
  <c r="W60" i="16"/>
  <c r="W37" i="16"/>
  <c r="C35" i="16"/>
  <c r="I35" i="16"/>
  <c r="E35" i="16"/>
  <c r="W35" i="16"/>
  <c r="W25" i="16"/>
  <c r="W21" i="16"/>
  <c r="G13" i="16"/>
  <c r="A13" i="16"/>
  <c r="I13" i="16"/>
  <c r="C13" i="16"/>
  <c r="W13" i="16"/>
  <c r="I40" i="16"/>
  <c r="A40" i="16"/>
  <c r="G40" i="16"/>
  <c r="T40" i="16"/>
  <c r="W40" i="16"/>
  <c r="I34" i="16"/>
  <c r="C34" i="16"/>
  <c r="G34" i="16"/>
  <c r="T34" i="16"/>
  <c r="I30" i="16"/>
  <c r="C30" i="16"/>
  <c r="G30" i="16"/>
  <c r="A30" i="16"/>
  <c r="T30" i="16"/>
  <c r="W27" i="16"/>
  <c r="E27" i="16"/>
  <c r="A27" i="16"/>
  <c r="T27" i="16"/>
  <c r="I27" i="16"/>
  <c r="C27" i="16"/>
  <c r="T24" i="16"/>
  <c r="G24" i="16"/>
  <c r="A24" i="16"/>
  <c r="I24" i="16"/>
  <c r="C24" i="16"/>
  <c r="W24" i="16"/>
  <c r="T20" i="16"/>
  <c r="E20" i="16"/>
  <c r="A20" i="16"/>
  <c r="I20" i="16"/>
  <c r="C20" i="16"/>
  <c r="W20" i="16"/>
  <c r="W64" i="16"/>
  <c r="G64" i="16"/>
  <c r="A64" i="16"/>
  <c r="I64" i="16"/>
  <c r="C64" i="16"/>
  <c r="T64" i="16"/>
  <c r="C59" i="16"/>
  <c r="I59" i="16"/>
  <c r="W59" i="16"/>
  <c r="A59" i="16"/>
  <c r="E59" i="16"/>
  <c r="A57" i="16"/>
  <c r="G57" i="16"/>
  <c r="I57" i="16"/>
  <c r="C57" i="16"/>
  <c r="W57" i="16"/>
  <c r="C55" i="16"/>
  <c r="I55" i="16"/>
  <c r="W55" i="16"/>
  <c r="G55" i="16"/>
  <c r="C53" i="16"/>
  <c r="I53" i="16"/>
  <c r="W53" i="16"/>
  <c r="E53" i="16"/>
  <c r="E51" i="16"/>
  <c r="C51" i="16"/>
  <c r="I51" i="16"/>
  <c r="W51" i="16"/>
  <c r="I49" i="16"/>
  <c r="W49" i="16"/>
  <c r="G49" i="16"/>
  <c r="C47" i="16"/>
  <c r="G47" i="16"/>
  <c r="T47" i="16"/>
  <c r="W61" i="16"/>
  <c r="I61" i="16"/>
  <c r="C61" i="16"/>
  <c r="T61" i="16"/>
  <c r="G61" i="16"/>
  <c r="I45" i="16"/>
  <c r="W45" i="16"/>
  <c r="T45" i="16"/>
  <c r="E45" i="16"/>
  <c r="E42" i="16"/>
  <c r="T42" i="16"/>
  <c r="G38" i="16"/>
  <c r="A38" i="16"/>
  <c r="C38" i="16"/>
  <c r="I38" i="16"/>
  <c r="T38" i="16"/>
  <c r="T36" i="16"/>
  <c r="E36" i="16"/>
  <c r="C36" i="16"/>
  <c r="I36" i="16"/>
  <c r="W36" i="16"/>
  <c r="G32" i="16"/>
  <c r="I32" i="16"/>
  <c r="C32" i="16"/>
  <c r="T32" i="16"/>
  <c r="T29" i="16"/>
  <c r="G29" i="16"/>
  <c r="A29" i="16"/>
  <c r="I29" i="16"/>
  <c r="C29" i="16"/>
  <c r="W29" i="16"/>
  <c r="G23" i="16"/>
  <c r="I23" i="16"/>
  <c r="T23" i="16"/>
  <c r="G19" i="16"/>
  <c r="I19" i="16"/>
  <c r="T19" i="16"/>
  <c r="T14" i="16"/>
  <c r="G14" i="16"/>
  <c r="W14" i="16"/>
  <c r="I14" i="16"/>
  <c r="C14" i="16"/>
  <c r="G10" i="16"/>
  <c r="A10" i="16"/>
  <c r="T10" i="16"/>
  <c r="I10" i="16"/>
  <c r="G8" i="16"/>
  <c r="A8" i="16"/>
  <c r="I8" i="16"/>
  <c r="C8" i="16"/>
  <c r="W8" i="16"/>
  <c r="C43" i="16"/>
  <c r="I43" i="16"/>
  <c r="T43" i="16"/>
  <c r="E43" i="16"/>
  <c r="I39" i="16"/>
  <c r="C39" i="16"/>
  <c r="T39" i="16"/>
  <c r="G39" i="16"/>
  <c r="W39" i="16"/>
  <c r="I33" i="16"/>
  <c r="C33" i="16"/>
  <c r="T33" i="16"/>
  <c r="E33" i="16"/>
  <c r="W33" i="16"/>
  <c r="G28" i="16"/>
  <c r="T28" i="16"/>
  <c r="T26" i="16"/>
  <c r="G26" i="16"/>
  <c r="W26" i="16"/>
  <c r="I26" i="16"/>
  <c r="C26" i="16"/>
  <c r="T22" i="16"/>
  <c r="G22" i="16"/>
  <c r="I22" i="16"/>
  <c r="W22" i="16"/>
  <c r="G15" i="16"/>
  <c r="C15" i="16"/>
  <c r="I15" i="16"/>
  <c r="A15" i="16"/>
  <c r="T15" i="16"/>
  <c r="T11" i="16"/>
  <c r="G11" i="16"/>
  <c r="I11" i="16"/>
  <c r="C11" i="16"/>
  <c r="R8" i="15" l="1"/>
  <c r="R24" i="31"/>
  <c r="R28" i="22"/>
  <c r="AH8" i="27"/>
  <c r="R14" i="39"/>
  <c r="R9" i="17"/>
  <c r="R15" i="43"/>
  <c r="R21" i="43"/>
  <c r="R16" i="43"/>
  <c r="AH14" i="34"/>
  <c r="R13" i="40"/>
  <c r="R9" i="31"/>
  <c r="R24" i="41"/>
  <c r="R16" i="41"/>
  <c r="X15" i="16"/>
  <c r="U11" i="16"/>
  <c r="R12" i="40"/>
  <c r="AH9" i="34"/>
  <c r="R8" i="40"/>
  <c r="AH18" i="34"/>
  <c r="R10" i="40"/>
  <c r="R11" i="40"/>
  <c r="AH10" i="34"/>
  <c r="R7" i="40"/>
  <c r="AH15" i="34"/>
  <c r="R14" i="31"/>
  <c r="R8" i="31"/>
  <c r="R7" i="31"/>
  <c r="R16" i="31"/>
  <c r="R30" i="41"/>
  <c r="R7" i="43"/>
  <c r="R29" i="43"/>
  <c r="R9" i="43"/>
  <c r="R28" i="43"/>
  <c r="R21" i="41"/>
  <c r="R14" i="41"/>
  <c r="R23" i="41"/>
  <c r="R29" i="17"/>
  <c r="R8" i="39"/>
  <c r="R9" i="24"/>
  <c r="AH16" i="23"/>
  <c r="R22" i="17"/>
  <c r="R28" i="39"/>
  <c r="R31" i="39"/>
  <c r="AH17" i="27"/>
  <c r="R21" i="39"/>
  <c r="R15" i="39"/>
  <c r="R17" i="39"/>
  <c r="AH15" i="27"/>
  <c r="AH18" i="23"/>
  <c r="R17" i="17"/>
  <c r="R9" i="39"/>
  <c r="AH16" i="27"/>
  <c r="AH10" i="27"/>
  <c r="AH14" i="27"/>
  <c r="R24" i="17"/>
  <c r="AH18" i="27"/>
  <c r="R8" i="17"/>
  <c r="AH8" i="23"/>
  <c r="R31" i="22"/>
  <c r="AH11" i="21"/>
  <c r="AH12" i="19"/>
  <c r="AH17" i="18"/>
  <c r="AH12" i="21"/>
  <c r="AH9" i="19"/>
  <c r="R16" i="13"/>
  <c r="AH15" i="18"/>
  <c r="AH10" i="21"/>
  <c r="R30" i="13"/>
  <c r="R24" i="13"/>
  <c r="AH15" i="20"/>
  <c r="AH8" i="20"/>
  <c r="AH12" i="18"/>
  <c r="R15" i="22"/>
  <c r="AH17" i="19"/>
  <c r="AH16" i="20"/>
  <c r="R11" i="15"/>
  <c r="R29" i="22"/>
  <c r="AH8" i="18"/>
  <c r="X30" i="16"/>
  <c r="X22" i="16"/>
  <c r="J11" i="16"/>
  <c r="B11" i="16"/>
  <c r="D11" i="16"/>
  <c r="F11" i="16"/>
  <c r="H11" i="16"/>
  <c r="U22" i="16"/>
  <c r="X26" i="16"/>
  <c r="U26" i="16"/>
  <c r="U28" i="16"/>
  <c r="U43" i="16"/>
  <c r="U10" i="16"/>
  <c r="U19" i="16"/>
  <c r="X29" i="16"/>
  <c r="X36" i="16"/>
  <c r="U36" i="16"/>
  <c r="U45" i="16"/>
  <c r="X61" i="16"/>
  <c r="X47" i="16"/>
  <c r="X49" i="16"/>
  <c r="U49" i="16"/>
  <c r="X51" i="16"/>
  <c r="X53" i="16"/>
  <c r="U55" i="16"/>
  <c r="X59" i="16"/>
  <c r="X64" i="16"/>
  <c r="X20" i="16"/>
  <c r="X24" i="16"/>
  <c r="U27" i="16"/>
  <c r="U30" i="16"/>
  <c r="U34" i="16"/>
  <c r="U40" i="16"/>
  <c r="X13" i="16"/>
  <c r="X25" i="16"/>
  <c r="X35" i="16"/>
  <c r="U35" i="16"/>
  <c r="X60" i="16"/>
  <c r="X65" i="16"/>
  <c r="X11" i="16"/>
  <c r="X43" i="16"/>
  <c r="X17" i="16"/>
  <c r="U17" i="16"/>
  <c r="X23" i="16"/>
  <c r="X38" i="16"/>
  <c r="U51" i="16"/>
  <c r="U59" i="16"/>
  <c r="U53" i="16"/>
  <c r="U7" i="16"/>
  <c r="X7" i="16"/>
  <c r="X9" i="16"/>
  <c r="U9" i="16"/>
  <c r="U13" i="16"/>
  <c r="X16" i="16"/>
  <c r="U18" i="16"/>
  <c r="U25" i="16"/>
  <c r="U31" i="16"/>
  <c r="U44" i="16"/>
  <c r="U60" i="16"/>
  <c r="U62" i="16"/>
  <c r="X62" i="16"/>
  <c r="X50" i="16"/>
  <c r="U54" i="16"/>
  <c r="U56" i="16"/>
  <c r="U58" i="16"/>
  <c r="U66" i="16"/>
  <c r="U15" i="16"/>
  <c r="X33" i="16"/>
  <c r="U33" i="16"/>
  <c r="X39" i="16"/>
  <c r="U39" i="16"/>
  <c r="X8" i="16"/>
  <c r="X10" i="16"/>
  <c r="X14" i="16"/>
  <c r="U14" i="16"/>
  <c r="U23" i="16"/>
  <c r="U29" i="16"/>
  <c r="U32" i="16"/>
  <c r="U38" i="16"/>
  <c r="U42" i="16"/>
  <c r="X45" i="16"/>
  <c r="U61" i="16"/>
  <c r="U47" i="16"/>
  <c r="X55" i="16"/>
  <c r="X57" i="16"/>
  <c r="U64" i="16"/>
  <c r="U20" i="16"/>
  <c r="U24" i="16"/>
  <c r="X27" i="16"/>
  <c r="X40" i="16"/>
  <c r="X21" i="16"/>
  <c r="X37" i="16"/>
  <c r="X46" i="16"/>
  <c r="U65" i="16"/>
  <c r="X28" i="16"/>
  <c r="U8" i="16"/>
  <c r="X19" i="16"/>
  <c r="X32" i="16"/>
  <c r="X42" i="16"/>
  <c r="X63" i="16"/>
  <c r="U63" i="16"/>
  <c r="U57" i="16"/>
  <c r="X12" i="16"/>
  <c r="U12" i="16"/>
  <c r="X34" i="16"/>
  <c r="U16" i="16"/>
  <c r="X18" i="16"/>
  <c r="U21" i="16"/>
  <c r="X31" i="16"/>
  <c r="U37" i="16"/>
  <c r="X41" i="16"/>
  <c r="U41" i="16"/>
  <c r="X44" i="16"/>
  <c r="U46" i="16"/>
  <c r="U48" i="16"/>
  <c r="X48" i="16"/>
  <c r="U50" i="16"/>
  <c r="U52" i="16"/>
  <c r="X52" i="16"/>
  <c r="X54" i="16"/>
  <c r="X56" i="16"/>
  <c r="X58" i="16"/>
  <c r="X66" i="16"/>
  <c r="Y22" i="16" l="1"/>
  <c r="Y58" i="16"/>
  <c r="Y54" i="16"/>
  <c r="B52" i="16"/>
  <c r="H52" i="16"/>
  <c r="D52" i="16"/>
  <c r="J52" i="16"/>
  <c r="F52" i="16"/>
  <c r="K52" i="16"/>
  <c r="AO52" i="16" s="1"/>
  <c r="Y48" i="16"/>
  <c r="J46" i="16"/>
  <c r="F46" i="16"/>
  <c r="B46" i="16"/>
  <c r="H46" i="16"/>
  <c r="D46" i="16"/>
  <c r="K46" i="16"/>
  <c r="AO46" i="16" s="1"/>
  <c r="J41" i="16"/>
  <c r="F41" i="16"/>
  <c r="B41" i="16"/>
  <c r="H41" i="16"/>
  <c r="D41" i="16"/>
  <c r="K41" i="16"/>
  <c r="AO41" i="16" s="1"/>
  <c r="H37" i="16"/>
  <c r="D37" i="16"/>
  <c r="J37" i="16"/>
  <c r="F37" i="16"/>
  <c r="B37" i="16"/>
  <c r="K37" i="16"/>
  <c r="AO37" i="16" s="1"/>
  <c r="H21" i="16"/>
  <c r="D21" i="16"/>
  <c r="J21" i="16"/>
  <c r="F21" i="16"/>
  <c r="B21" i="16"/>
  <c r="K21" i="16"/>
  <c r="AO21" i="16" s="1"/>
  <c r="B16" i="16"/>
  <c r="D16" i="16"/>
  <c r="J16" i="16"/>
  <c r="H16" i="16"/>
  <c r="F16" i="16"/>
  <c r="K16" i="16"/>
  <c r="AO16" i="16" s="1"/>
  <c r="Y34" i="16"/>
  <c r="Y12" i="16"/>
  <c r="H57" i="16"/>
  <c r="D57" i="16"/>
  <c r="J57" i="16"/>
  <c r="F57" i="16"/>
  <c r="B57" i="16"/>
  <c r="K57" i="16"/>
  <c r="AP57" i="16" s="1"/>
  <c r="Y63" i="16"/>
  <c r="Y32" i="16"/>
  <c r="J8" i="16"/>
  <c r="F8" i="16"/>
  <c r="B8" i="16"/>
  <c r="H8" i="16"/>
  <c r="D8" i="16"/>
  <c r="K8" i="16"/>
  <c r="AO8" i="16" s="1"/>
  <c r="J65" i="16"/>
  <c r="F65" i="16"/>
  <c r="B65" i="16"/>
  <c r="H65" i="16"/>
  <c r="D65" i="16"/>
  <c r="K65" i="16"/>
  <c r="AP65" i="16" s="1"/>
  <c r="Y37" i="16"/>
  <c r="Y40" i="16"/>
  <c r="J24" i="16"/>
  <c r="F24" i="16"/>
  <c r="B24" i="16"/>
  <c r="H24" i="16"/>
  <c r="D24" i="16"/>
  <c r="K24" i="16"/>
  <c r="AO24" i="16" s="1"/>
  <c r="Y57" i="16"/>
  <c r="H47" i="16"/>
  <c r="D47" i="16"/>
  <c r="J47" i="16"/>
  <c r="F47" i="16"/>
  <c r="B47" i="16"/>
  <c r="K47" i="16"/>
  <c r="AO47" i="16" s="1"/>
  <c r="Y45" i="16"/>
  <c r="J38" i="16"/>
  <c r="B38" i="16"/>
  <c r="D38" i="16"/>
  <c r="F38" i="16"/>
  <c r="H38" i="16"/>
  <c r="K38" i="16"/>
  <c r="AO38" i="16" s="1"/>
  <c r="J29" i="16"/>
  <c r="F29" i="16"/>
  <c r="B29" i="16"/>
  <c r="H29" i="16"/>
  <c r="D29" i="16"/>
  <c r="K29" i="16"/>
  <c r="AO29" i="16" s="1"/>
  <c r="H14" i="16"/>
  <c r="J14" i="16"/>
  <c r="B14" i="16"/>
  <c r="D14" i="16"/>
  <c r="F14" i="16"/>
  <c r="K14" i="16"/>
  <c r="AO14" i="16" s="1"/>
  <c r="Y10" i="16"/>
  <c r="B39" i="16"/>
  <c r="D39" i="16"/>
  <c r="J39" i="16"/>
  <c r="H39" i="16"/>
  <c r="F39" i="16"/>
  <c r="K39" i="16"/>
  <c r="AO39" i="16" s="1"/>
  <c r="H33" i="16"/>
  <c r="D33" i="16"/>
  <c r="J33" i="16"/>
  <c r="F33" i="16"/>
  <c r="B33" i="16"/>
  <c r="K33" i="16"/>
  <c r="AO33" i="16" s="1"/>
  <c r="H66" i="16"/>
  <c r="D66" i="16"/>
  <c r="J66" i="16"/>
  <c r="F66" i="16"/>
  <c r="B66" i="16"/>
  <c r="K66" i="16"/>
  <c r="AP66" i="16" s="1"/>
  <c r="H56" i="16"/>
  <c r="D56" i="16"/>
  <c r="J56" i="16"/>
  <c r="F56" i="16"/>
  <c r="B56" i="16"/>
  <c r="K56" i="16"/>
  <c r="AP56" i="16" s="1"/>
  <c r="Y50" i="16"/>
  <c r="J62" i="16"/>
  <c r="F62" i="16"/>
  <c r="B62" i="16"/>
  <c r="H62" i="16"/>
  <c r="D62" i="16"/>
  <c r="K62" i="16"/>
  <c r="AP62" i="16" s="1"/>
  <c r="J44" i="16"/>
  <c r="F44" i="16"/>
  <c r="B44" i="16"/>
  <c r="H44" i="16"/>
  <c r="D44" i="16"/>
  <c r="K44" i="16"/>
  <c r="AO44" i="16" s="1"/>
  <c r="J25" i="16"/>
  <c r="F25" i="16"/>
  <c r="B25" i="16"/>
  <c r="H25" i="16"/>
  <c r="D25" i="16"/>
  <c r="K25" i="16"/>
  <c r="AO25" i="16" s="1"/>
  <c r="Y16" i="16"/>
  <c r="D9" i="16"/>
  <c r="F9" i="16"/>
  <c r="H9" i="16"/>
  <c r="J9" i="16"/>
  <c r="B9" i="16"/>
  <c r="K9" i="16"/>
  <c r="AO9" i="16" s="1"/>
  <c r="Y7" i="16"/>
  <c r="J7" i="16"/>
  <c r="B7" i="16"/>
  <c r="F7" i="16"/>
  <c r="D7" i="16"/>
  <c r="H7" i="16"/>
  <c r="K7" i="16"/>
  <c r="K11" i="16"/>
  <c r="AO11" i="16" s="1"/>
  <c r="H51" i="16"/>
  <c r="D51" i="16"/>
  <c r="J51" i="16"/>
  <c r="F51" i="16"/>
  <c r="B51" i="16"/>
  <c r="K51" i="16"/>
  <c r="AO51" i="16" s="1"/>
  <c r="Y23" i="16"/>
  <c r="Y17" i="16"/>
  <c r="Y11" i="16"/>
  <c r="Y65" i="16"/>
  <c r="H35" i="16"/>
  <c r="D35" i="16"/>
  <c r="J35" i="16"/>
  <c r="F35" i="16"/>
  <c r="B35" i="16"/>
  <c r="K35" i="16"/>
  <c r="AO35" i="16" s="1"/>
  <c r="Y25" i="16"/>
  <c r="J40" i="16"/>
  <c r="F40" i="16"/>
  <c r="B40" i="16"/>
  <c r="H40" i="16"/>
  <c r="D40" i="16"/>
  <c r="K40" i="16"/>
  <c r="AO40" i="16" s="1"/>
  <c r="H30" i="16"/>
  <c r="D30" i="16"/>
  <c r="J30" i="16"/>
  <c r="F30" i="16"/>
  <c r="B30" i="16"/>
  <c r="K30" i="16"/>
  <c r="AO30" i="16" s="1"/>
  <c r="Y24" i="16"/>
  <c r="Y59" i="16"/>
  <c r="Y53" i="16"/>
  <c r="H49" i="16"/>
  <c r="D49" i="16"/>
  <c r="J49" i="16"/>
  <c r="F49" i="16"/>
  <c r="B49" i="16"/>
  <c r="K49" i="16"/>
  <c r="AO49" i="16" s="1"/>
  <c r="Y47" i="16"/>
  <c r="H45" i="16"/>
  <c r="D45" i="16"/>
  <c r="J45" i="16"/>
  <c r="F45" i="16"/>
  <c r="B45" i="16"/>
  <c r="K45" i="16"/>
  <c r="AO45" i="16" s="1"/>
  <c r="Y36" i="16"/>
  <c r="H19" i="16"/>
  <c r="D19" i="16"/>
  <c r="J19" i="16"/>
  <c r="F19" i="16"/>
  <c r="B19" i="16"/>
  <c r="K19" i="16"/>
  <c r="AO19" i="16" s="1"/>
  <c r="J43" i="16"/>
  <c r="F43" i="16"/>
  <c r="B43" i="16"/>
  <c r="H43" i="16"/>
  <c r="D43" i="16"/>
  <c r="K43" i="16"/>
  <c r="AO43" i="16" s="1"/>
  <c r="H26" i="16"/>
  <c r="D26" i="16"/>
  <c r="J26" i="16"/>
  <c r="F26" i="16"/>
  <c r="B26" i="16"/>
  <c r="K26" i="16"/>
  <c r="AO26" i="16" s="1"/>
  <c r="J22" i="16"/>
  <c r="F22" i="16"/>
  <c r="B22" i="16"/>
  <c r="H22" i="16"/>
  <c r="D22" i="16"/>
  <c r="K22" i="16"/>
  <c r="AO22" i="16" s="1"/>
  <c r="Y66" i="16"/>
  <c r="Y56" i="16"/>
  <c r="Y52" i="16"/>
  <c r="J50" i="16"/>
  <c r="F50" i="16"/>
  <c r="B50" i="16"/>
  <c r="H50" i="16"/>
  <c r="D50" i="16"/>
  <c r="K50" i="16"/>
  <c r="AO50" i="16" s="1"/>
  <c r="J48" i="16"/>
  <c r="H48" i="16"/>
  <c r="B48" i="16"/>
  <c r="F48" i="16"/>
  <c r="D48" i="16"/>
  <c r="K48" i="16"/>
  <c r="AO48" i="16" s="1"/>
  <c r="Y44" i="16"/>
  <c r="Y41" i="16"/>
  <c r="Y31" i="16"/>
  <c r="Y18" i="16"/>
  <c r="H12" i="16"/>
  <c r="D12" i="16"/>
  <c r="J12" i="16"/>
  <c r="F12" i="16"/>
  <c r="B12" i="16"/>
  <c r="K12" i="16"/>
  <c r="AO12" i="16" s="1"/>
  <c r="J63" i="16"/>
  <c r="F63" i="16"/>
  <c r="B63" i="16"/>
  <c r="H63" i="16"/>
  <c r="D63" i="16"/>
  <c r="K63" i="16"/>
  <c r="AP63" i="16" s="1"/>
  <c r="Y42" i="16"/>
  <c r="Y19" i="16"/>
  <c r="Y28" i="16"/>
  <c r="Y46" i="16"/>
  <c r="Y21" i="16"/>
  <c r="Y27" i="16"/>
  <c r="B20" i="16"/>
  <c r="D20" i="16"/>
  <c r="J20" i="16"/>
  <c r="H20" i="16"/>
  <c r="F20" i="16"/>
  <c r="K20" i="16"/>
  <c r="AO20" i="16" s="1"/>
  <c r="J64" i="16"/>
  <c r="F64" i="16"/>
  <c r="B64" i="16"/>
  <c r="H64" i="16"/>
  <c r="D64" i="16"/>
  <c r="K64" i="16"/>
  <c r="AP64" i="16" s="1"/>
  <c r="Y55" i="16"/>
  <c r="J61" i="16"/>
  <c r="B61" i="16"/>
  <c r="D61" i="16"/>
  <c r="F61" i="16"/>
  <c r="H61" i="16"/>
  <c r="K61" i="16"/>
  <c r="AO61" i="16" s="1"/>
  <c r="H42" i="16"/>
  <c r="D42" i="16"/>
  <c r="J42" i="16"/>
  <c r="F42" i="16"/>
  <c r="B42" i="16"/>
  <c r="K42" i="16"/>
  <c r="AO42" i="16" s="1"/>
  <c r="J32" i="16"/>
  <c r="F32" i="16"/>
  <c r="B32" i="16"/>
  <c r="H32" i="16"/>
  <c r="D32" i="16"/>
  <c r="K32" i="16"/>
  <c r="AO32" i="16" s="1"/>
  <c r="J23" i="16"/>
  <c r="F23" i="16"/>
  <c r="B23" i="16"/>
  <c r="H23" i="16"/>
  <c r="D23" i="16"/>
  <c r="K23" i="16"/>
  <c r="AO23" i="16" s="1"/>
  <c r="Y14" i="16"/>
  <c r="Y8" i="16"/>
  <c r="Y39" i="16"/>
  <c r="Y33" i="16"/>
  <c r="H15" i="16"/>
  <c r="D15" i="16"/>
  <c r="J15" i="16"/>
  <c r="F15" i="16"/>
  <c r="B15" i="16"/>
  <c r="K15" i="16"/>
  <c r="AO15" i="16" s="1"/>
  <c r="J58" i="16"/>
  <c r="F58" i="16"/>
  <c r="B58" i="16"/>
  <c r="H58" i="16"/>
  <c r="D58" i="16"/>
  <c r="K58" i="16"/>
  <c r="AP58" i="16" s="1"/>
  <c r="J54" i="16"/>
  <c r="F54" i="16"/>
  <c r="B54" i="16"/>
  <c r="H54" i="16"/>
  <c r="D54" i="16"/>
  <c r="K54" i="16"/>
  <c r="AP54" i="16" s="1"/>
  <c r="Y62" i="16"/>
  <c r="J60" i="16"/>
  <c r="F60" i="16"/>
  <c r="B60" i="16"/>
  <c r="H60" i="16"/>
  <c r="D60" i="16"/>
  <c r="K60" i="16"/>
  <c r="AO60" i="16" s="1"/>
  <c r="J31" i="16"/>
  <c r="F31" i="16"/>
  <c r="B31" i="16"/>
  <c r="H31" i="16"/>
  <c r="D31" i="16"/>
  <c r="K31" i="16"/>
  <c r="AO31" i="16" s="1"/>
  <c r="D18" i="16"/>
  <c r="F18" i="16"/>
  <c r="H18" i="16"/>
  <c r="J18" i="16"/>
  <c r="B18" i="16"/>
  <c r="K18" i="16"/>
  <c r="AO18" i="16" s="1"/>
  <c r="D13" i="16"/>
  <c r="F13" i="16"/>
  <c r="H13" i="16"/>
  <c r="J13" i="16"/>
  <c r="B13" i="16"/>
  <c r="K13" i="16"/>
  <c r="AO13" i="16" s="1"/>
  <c r="Y9" i="16"/>
  <c r="J53" i="16"/>
  <c r="F53" i="16"/>
  <c r="B53" i="16"/>
  <c r="H53" i="16"/>
  <c r="D53" i="16"/>
  <c r="K53" i="16"/>
  <c r="AO53" i="16" s="1"/>
  <c r="H59" i="16"/>
  <c r="D59" i="16"/>
  <c r="J59" i="16"/>
  <c r="F59" i="16"/>
  <c r="B59" i="16"/>
  <c r="K59" i="16"/>
  <c r="AP59" i="16" s="1"/>
  <c r="Y38" i="16"/>
  <c r="J17" i="16"/>
  <c r="F17" i="16"/>
  <c r="B17" i="16"/>
  <c r="H17" i="16"/>
  <c r="D17" i="16"/>
  <c r="K17" i="16"/>
  <c r="AO17" i="16" s="1"/>
  <c r="Y43" i="16"/>
  <c r="Y60" i="16"/>
  <c r="Y35" i="16"/>
  <c r="Y13" i="16"/>
  <c r="J34" i="16"/>
  <c r="F34" i="16"/>
  <c r="B34" i="16"/>
  <c r="H34" i="16"/>
  <c r="D34" i="16"/>
  <c r="K34" i="16"/>
  <c r="AO34" i="16" s="1"/>
  <c r="H27" i="16"/>
  <c r="D27" i="16"/>
  <c r="J27" i="16"/>
  <c r="F27" i="16"/>
  <c r="B27" i="16"/>
  <c r="K27" i="16"/>
  <c r="AO27" i="16" s="1"/>
  <c r="Y20" i="16"/>
  <c r="Y64" i="16"/>
  <c r="H55" i="16"/>
  <c r="D55" i="16"/>
  <c r="J55" i="16"/>
  <c r="F55" i="16"/>
  <c r="B55" i="16"/>
  <c r="K55" i="16"/>
  <c r="AP55" i="16" s="1"/>
  <c r="Y51" i="16"/>
  <c r="Y49" i="16"/>
  <c r="Y61" i="16"/>
  <c r="H36" i="16"/>
  <c r="J36" i="16"/>
  <c r="B36" i="16"/>
  <c r="D36" i="16"/>
  <c r="F36" i="16"/>
  <c r="K36" i="16"/>
  <c r="AO36" i="16" s="1"/>
  <c r="Y29" i="16"/>
  <c r="J10" i="16"/>
  <c r="F10" i="16"/>
  <c r="B10" i="16"/>
  <c r="H10" i="16"/>
  <c r="D10" i="16"/>
  <c r="K10" i="16"/>
  <c r="AO10" i="16" s="1"/>
  <c r="J28" i="16"/>
  <c r="F28" i="16"/>
  <c r="B28" i="16"/>
  <c r="H28" i="16"/>
  <c r="D28" i="16"/>
  <c r="K28" i="16"/>
  <c r="AO28" i="16" s="1"/>
  <c r="Y26" i="16"/>
  <c r="Y15" i="16"/>
  <c r="Y30" i="16"/>
  <c r="E28" i="16" l="1"/>
  <c r="A36" i="16"/>
  <c r="A11" i="16"/>
  <c r="E10" i="16"/>
  <c r="G36" i="16"/>
  <c r="E55" i="16"/>
  <c r="E34" i="16"/>
  <c r="E17" i="16"/>
  <c r="G59" i="16"/>
  <c r="G53" i="16"/>
  <c r="E13" i="16"/>
  <c r="E18" i="16"/>
  <c r="E31" i="16"/>
  <c r="G60" i="16"/>
  <c r="C58" i="16"/>
  <c r="A58" i="16"/>
  <c r="E15" i="16"/>
  <c r="E23" i="16"/>
  <c r="E32" i="16"/>
  <c r="C42" i="16"/>
  <c r="E61" i="16"/>
  <c r="A61" i="16"/>
  <c r="G20" i="16"/>
  <c r="A12" i="16"/>
  <c r="I48" i="16"/>
  <c r="A50" i="16"/>
  <c r="I50" i="16"/>
  <c r="E22" i="16"/>
  <c r="E26" i="16"/>
  <c r="G43" i="16"/>
  <c r="E19" i="16"/>
  <c r="C19" i="16"/>
  <c r="A45" i="16"/>
  <c r="G45" i="16"/>
  <c r="E49" i="16"/>
  <c r="C49" i="16"/>
  <c r="E30" i="16"/>
  <c r="E40" i="16"/>
  <c r="A35" i="16"/>
  <c r="G35" i="16"/>
  <c r="K67" i="16"/>
  <c r="AO7" i="16"/>
  <c r="AP33" i="16" s="1"/>
  <c r="A9" i="16"/>
  <c r="C9" i="16"/>
  <c r="E25" i="16"/>
  <c r="E44" i="16"/>
  <c r="E62" i="16"/>
  <c r="A66" i="16"/>
  <c r="E14" i="16"/>
  <c r="A14" i="16"/>
  <c r="E47" i="16"/>
  <c r="E8" i="16"/>
  <c r="E57" i="16"/>
  <c r="E16" i="16"/>
  <c r="A21" i="16"/>
  <c r="A37" i="16"/>
  <c r="A41" i="16"/>
  <c r="C46" i="16"/>
  <c r="A46" i="16"/>
  <c r="I52" i="16"/>
  <c r="G52" i="16"/>
  <c r="E11" i="16"/>
  <c r="C28" i="16"/>
  <c r="A28" i="16"/>
  <c r="I28" i="16"/>
  <c r="C10" i="16"/>
  <c r="A55" i="16"/>
  <c r="G27" i="16"/>
  <c r="A34" i="16"/>
  <c r="A17" i="16"/>
  <c r="A53" i="16"/>
  <c r="C31" i="16"/>
  <c r="A31" i="16"/>
  <c r="E54" i="16"/>
  <c r="E58" i="16"/>
  <c r="C23" i="16"/>
  <c r="A23" i="16"/>
  <c r="A32" i="16"/>
  <c r="A42" i="16"/>
  <c r="I42" i="16"/>
  <c r="G42" i="16"/>
  <c r="E64" i="16"/>
  <c r="G63" i="16"/>
  <c r="E12" i="16"/>
  <c r="E48" i="16"/>
  <c r="G50" i="16"/>
  <c r="C22" i="16"/>
  <c r="A22" i="16"/>
  <c r="A26" i="16"/>
  <c r="A43" i="16"/>
  <c r="A19" i="16"/>
  <c r="AP45" i="16"/>
  <c r="C45" i="16"/>
  <c r="A49" i="16"/>
  <c r="C40" i="16"/>
  <c r="AP35" i="16"/>
  <c r="A51" i="16"/>
  <c r="G51" i="16"/>
  <c r="E7" i="16"/>
  <c r="E9" i="16"/>
  <c r="C25" i="16"/>
  <c r="A25" i="16"/>
  <c r="A44" i="16"/>
  <c r="I44" i="16"/>
  <c r="I62" i="16"/>
  <c r="E56" i="16"/>
  <c r="E66" i="16"/>
  <c r="C66" i="16"/>
  <c r="A33" i="16"/>
  <c r="G33" i="16"/>
  <c r="E39" i="16"/>
  <c r="A39" i="16"/>
  <c r="AP29" i="16"/>
  <c r="E29" i="16"/>
  <c r="AP38" i="16"/>
  <c r="E38" i="16"/>
  <c r="A47" i="16"/>
  <c r="I47" i="16"/>
  <c r="E24" i="16"/>
  <c r="G65" i="16"/>
  <c r="AP16" i="16"/>
  <c r="AP21" i="16"/>
  <c r="E21" i="16"/>
  <c r="C21" i="16"/>
  <c r="AP37" i="16"/>
  <c r="E37" i="16"/>
  <c r="C37" i="16"/>
  <c r="AP41" i="16"/>
  <c r="E41" i="16"/>
  <c r="AP46" i="16"/>
  <c r="E46" i="16"/>
  <c r="A52" i="16"/>
  <c r="AP14" i="16" l="1"/>
  <c r="AP9" i="16"/>
  <c r="AP11" i="16"/>
  <c r="AP50" i="16"/>
  <c r="AP48" i="16"/>
  <c r="AP12" i="16"/>
  <c r="AP36" i="16"/>
  <c r="AP52" i="16"/>
  <c r="AP39" i="16"/>
  <c r="AP28" i="16"/>
  <c r="AP8" i="16"/>
  <c r="AP47" i="16"/>
  <c r="I67" i="16"/>
  <c r="A67" i="16"/>
  <c r="G67" i="16"/>
  <c r="E67" i="16"/>
  <c r="C67" i="16"/>
  <c r="AP24" i="16"/>
  <c r="AP7" i="16"/>
  <c r="AP51" i="16"/>
  <c r="AP40" i="16"/>
  <c r="AP30" i="16"/>
  <c r="AP19" i="16"/>
  <c r="AP43" i="16"/>
  <c r="AP26" i="16"/>
  <c r="AP22" i="16"/>
  <c r="AP20" i="16"/>
  <c r="AP17" i="16"/>
  <c r="AP34" i="16"/>
  <c r="AP44" i="16"/>
  <c r="AP25" i="16"/>
  <c r="AP49" i="16"/>
  <c r="AP61" i="16"/>
  <c r="AP42" i="16"/>
  <c r="AP32" i="16"/>
  <c r="AP23" i="16"/>
  <c r="AP15" i="16"/>
  <c r="AP60" i="16"/>
  <c r="AP31" i="16"/>
  <c r="AP18" i="16"/>
  <c r="AP13" i="16"/>
  <c r="AP53" i="16"/>
  <c r="AP27" i="16"/>
  <c r="AP10" i="16"/>
  <c r="M46" i="45"/>
  <c r="M45" i="45"/>
  <c r="M43" i="45"/>
  <c r="M44" i="45"/>
  <c r="I44" i="45" s="1"/>
  <c r="M42" i="45"/>
  <c r="I45" i="45" s="1"/>
  <c r="I42" i="45" l="1"/>
  <c r="I43" i="45"/>
  <c r="B124" i="45" l="1"/>
  <c r="C165" i="45" s="1"/>
  <c r="E165" i="45" s="1"/>
  <c r="B216" i="45"/>
  <c r="C257" i="45" s="1"/>
  <c r="E257" i="45" s="1"/>
  <c r="B202" i="45"/>
  <c r="C202" i="45" s="1"/>
  <c r="B110" i="45"/>
  <c r="C111" i="45" s="1"/>
  <c r="E140" i="45" s="1"/>
  <c r="G139" i="45" s="1"/>
  <c r="J141" i="45" s="1"/>
  <c r="B305" i="45" l="1"/>
  <c r="B306" i="45"/>
  <c r="B307" i="45"/>
  <c r="B304" i="45"/>
  <c r="E273" i="45"/>
  <c r="G273" i="45" s="1"/>
  <c r="E256" i="45"/>
  <c r="G258" i="45" s="1"/>
  <c r="J259" i="45" s="1"/>
  <c r="C203" i="45"/>
  <c r="E205" i="45" s="1"/>
  <c r="G223" i="45" s="1"/>
  <c r="J224" i="45" s="1"/>
  <c r="C251" i="45"/>
  <c r="E251" i="45" s="1"/>
  <c r="E181" i="45"/>
  <c r="G181" i="45" s="1"/>
  <c r="E164" i="45"/>
  <c r="G166" i="45" s="1"/>
  <c r="J162" i="45" s="1"/>
  <c r="E252" i="45" l="1"/>
  <c r="E271" i="45"/>
  <c r="G271" i="45" s="1"/>
  <c r="G182" i="45"/>
  <c r="I182" i="45"/>
  <c r="G187" i="45"/>
  <c r="I187" i="45" s="1"/>
  <c r="I274" i="45"/>
  <c r="G274" i="45"/>
  <c r="G279" i="45"/>
  <c r="I279" i="45" s="1"/>
  <c r="B310" i="45"/>
  <c r="B309" i="45"/>
  <c r="B311" i="45"/>
  <c r="B308" i="45"/>
  <c r="I186" i="45" l="1"/>
  <c r="J186" i="45"/>
  <c r="J189" i="45"/>
  <c r="G252" i="45"/>
  <c r="G248" i="45"/>
  <c r="J183" i="45"/>
  <c r="I180" i="45"/>
  <c r="J180" i="45"/>
  <c r="G270" i="45"/>
  <c r="I270" i="45"/>
  <c r="G277" i="45"/>
  <c r="I277" i="45" s="1"/>
  <c r="J281" i="45" l="1"/>
  <c r="I278" i="45"/>
  <c r="J278" i="45"/>
  <c r="I272" i="45"/>
  <c r="J275" i="45"/>
  <c r="J272" i="45"/>
  <c r="B319" i="45"/>
  <c r="B316" i="45"/>
  <c r="B312" i="45"/>
  <c r="B318" i="45"/>
  <c r="B315" i="45"/>
  <c r="B317" i="45"/>
  <c r="B313" i="45"/>
  <c r="B314" i="45"/>
  <c r="G250" i="45"/>
  <c r="J254" i="45" s="1"/>
  <c r="B320" i="45" s="1"/>
  <c r="G262" i="45"/>
  <c r="I264" i="45" l="1"/>
  <c r="I262" i="45"/>
  <c r="B321" i="45"/>
  <c r="J266" i="45" l="1"/>
  <c r="J263" i="45"/>
  <c r="B322" i="45" s="1"/>
</calcChain>
</file>

<file path=xl/comments1.xml><?xml version="1.0" encoding="utf-8"?>
<comments xmlns="http://schemas.openxmlformats.org/spreadsheetml/2006/main">
  <authors>
    <author>Author</author>
  </authors>
  <commentList>
    <comment ref="I3" authorId="0">
      <text>
        <r>
          <rPr>
            <b/>
            <sz val="8"/>
            <color indexed="81"/>
            <rFont val="Tahoma"/>
            <family val="2"/>
            <charset val="186"/>
          </rPr>
          <t>Osalejaid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9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1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11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13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1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1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17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1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
Kohtla-Järve, Spordi 2, 
Vanalinna petangihall</t>
        </r>
      </text>
    </comment>
    <comment ref="H18" authorId="0">
      <text>
        <r>
          <rPr>
            <b/>
            <sz val="8"/>
            <color indexed="81"/>
            <rFont val="Tahoma"/>
            <family val="2"/>
            <charset val="186"/>
          </rPr>
          <t>Juunioridel 2 €</t>
        </r>
      </text>
    </comment>
    <comment ref="F19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H19" authorId="0">
      <text>
        <r>
          <rPr>
            <b/>
            <sz val="8"/>
            <color indexed="81"/>
            <rFont val="Tahoma"/>
            <family val="2"/>
            <charset val="186"/>
          </rPr>
          <t>Juunioridel 2 €</t>
        </r>
      </text>
    </comment>
    <comment ref="F2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C21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F2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22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24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2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26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C27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F2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2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29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3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32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33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34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3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C36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F3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37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3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39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40" authorId="0">
      <text>
        <r>
          <rPr>
            <b/>
            <sz val="8"/>
            <color indexed="81"/>
            <rFont val="Tahoma"/>
            <family val="2"/>
            <charset val="186"/>
          </rPr>
          <t>Voka, Metsa 2
Voka spordihoone juures (paisjärve jääl)</t>
        </r>
      </text>
    </comment>
    <comment ref="F43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44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4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
Kohtla-Järve, Spordi 2, 
Vanalinna petangihall</t>
        </r>
      </text>
    </comment>
    <comment ref="H45" authorId="0">
      <text>
        <r>
          <rPr>
            <b/>
            <sz val="8"/>
            <color indexed="81"/>
            <rFont val="Tahoma"/>
            <family val="2"/>
            <charset val="186"/>
          </rPr>
          <t>Juunioridel 2 €</t>
        </r>
      </text>
    </comment>
    <comment ref="F4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H46" authorId="0">
      <text>
        <r>
          <rPr>
            <b/>
            <sz val="8"/>
            <color indexed="81"/>
            <rFont val="Tahoma"/>
            <family val="2"/>
            <charset val="186"/>
          </rPr>
          <t>Juunioridel 2 €</t>
        </r>
      </text>
    </comment>
    <comment ref="F4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48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49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5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52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53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54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F5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5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5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F5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</commentList>
</comments>
</file>

<file path=xl/comments14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15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K199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199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199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16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17.xml><?xml version="1.0" encoding="utf-8"?>
<comments xmlns="http://schemas.openxmlformats.org/spreadsheetml/2006/main">
  <authors>
    <author>Author</author>
  </authors>
  <commentLis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</commentList>
</comments>
</file>

<file path=xl/comments18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19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K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1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14" authorId="0">
      <text>
        <r>
          <rPr>
            <b/>
            <sz val="8"/>
            <color indexed="81"/>
            <rFont val="Tahoma"/>
            <family val="2"/>
            <charset val="186"/>
          </rPr>
          <t>Helsingi, Pohjoinen Hesperiankatu 24</t>
        </r>
      </text>
    </comment>
    <comment ref="M14" authorId="0">
      <text>
        <r>
          <rPr>
            <b/>
            <sz val="8"/>
            <color indexed="81"/>
            <rFont val="Tahoma"/>
            <family val="2"/>
            <charset val="186"/>
          </rPr>
          <t>Koosolek toimub kohe pärast võistlust. 
Orienteeruvalt 16:00</t>
        </r>
      </text>
    </comment>
    <comment ref="K15" authorId="0">
      <text>
        <r>
          <rPr>
            <b/>
            <sz val="8"/>
            <color indexed="81"/>
            <rFont val="Tahoma"/>
            <family val="2"/>
            <charset val="186"/>
          </rPr>
          <t>Helsingi, Pohjoinen Hesperiankatu 24</t>
        </r>
      </text>
    </comment>
    <comment ref="M1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21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21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K2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25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L26" authorId="0">
      <text>
        <r>
          <rPr>
            <b/>
            <sz val="8"/>
            <color indexed="81"/>
            <rFont val="Tahoma"/>
            <family val="2"/>
            <charset val="186"/>
          </rPr>
          <t>Ida-Virumaa klubid ei osale</t>
        </r>
      </text>
    </comment>
    <comment ref="L27" authorId="0">
      <text>
        <r>
          <rPr>
            <b/>
            <sz val="8"/>
            <color indexed="81"/>
            <rFont val="Tahoma"/>
            <family val="2"/>
            <charset val="186"/>
          </rPr>
          <t>Vähese osalejate arvu tõttu toimus võistlus ühel päeval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33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34" authorId="0">
      <text>
        <r>
          <rPr>
            <b/>
            <sz val="8"/>
            <color indexed="81"/>
            <rFont val="Tahoma"/>
            <family val="2"/>
            <charset val="186"/>
          </rPr>
          <t>Eesti finaalturniirile ei pääsenud</t>
        </r>
      </text>
    </comment>
    <comment ref="K3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4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4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42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J43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K44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44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B45" authorId="0">
      <text>
        <r>
          <rPr>
            <b/>
            <sz val="8"/>
            <color indexed="81"/>
            <rFont val="Tahoma"/>
            <family val="2"/>
            <charset val="186"/>
          </rPr>
          <t>jõululaupäev</t>
        </r>
      </text>
    </comment>
    <comment ref="D45" authorId="0">
      <text>
        <r>
          <rPr>
            <b/>
            <sz val="8"/>
            <color indexed="81"/>
            <rFont val="Tahoma"/>
            <family val="2"/>
            <charset val="186"/>
          </rPr>
          <t>esimene jõulupüha</t>
        </r>
      </text>
    </comment>
    <comment ref="F45" authorId="0">
      <text>
        <r>
          <rPr>
            <b/>
            <sz val="8"/>
            <color indexed="81"/>
            <rFont val="Tahoma"/>
            <family val="2"/>
            <charset val="186"/>
          </rPr>
          <t>teine jõulupüha</t>
        </r>
      </text>
    </comment>
    <comment ref="K4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B49" authorId="0">
      <text>
        <r>
          <rPr>
            <b/>
            <sz val="8"/>
            <color indexed="81"/>
            <rFont val="Tahoma"/>
            <family val="2"/>
            <charset val="186"/>
          </rPr>
          <t>uusaasta</t>
        </r>
      </text>
    </comment>
    <comment ref="C5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5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52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M54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57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57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K6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60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K63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66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K7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72" authorId="0">
      <text>
        <r>
          <rPr>
            <b/>
            <sz val="8"/>
            <color indexed="81"/>
            <rFont val="Tahoma"/>
            <family val="2"/>
            <charset val="186"/>
          </rPr>
          <t>võistlus kestis 
10:00 - 16:30</t>
        </r>
      </text>
    </comment>
    <comment ref="K73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73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75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76" authorId="0">
      <text>
        <r>
          <rPr>
            <b/>
            <sz val="8"/>
            <color indexed="81"/>
            <rFont val="Tahoma"/>
            <family val="2"/>
            <charset val="186"/>
          </rPr>
          <t>Ainult klubi liikmetele. 
Osalejatel palun registreeruda reede õhtul kella 21-ni.</t>
        </r>
      </text>
    </comment>
    <comment ref="K7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78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81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N82" authorId="0">
      <text>
        <r>
          <rPr>
            <b/>
            <sz val="8"/>
            <color indexed="81"/>
            <rFont val="Tahoma"/>
            <family val="2"/>
            <charset val="186"/>
          </rPr>
          <t>iseseisvuspäe, 
Eesti Vabariigi aastapäev</t>
        </r>
      </text>
    </comment>
    <comment ref="K8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86" authorId="0">
      <text>
        <r>
          <rPr>
            <b/>
            <sz val="8"/>
            <color indexed="81"/>
            <rFont val="Tahoma"/>
            <family val="2"/>
            <charset val="186"/>
          </rPr>
          <t>Voka, Metsa 2
Voka spordihoone juures (paisjärve jääl)</t>
        </r>
      </text>
    </comment>
    <comment ref="K89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K93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96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97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M9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L98" authorId="0">
      <text>
        <r>
          <rPr>
            <b/>
            <sz val="8"/>
            <color indexed="81"/>
            <rFont val="Tahoma"/>
            <family val="2"/>
            <charset val="186"/>
          </rPr>
          <t>Helsingi, Pasila petangihall</t>
        </r>
      </text>
    </comment>
    <comment ref="K10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101" authorId="0">
      <text>
        <r>
          <rPr>
            <b/>
            <sz val="8"/>
            <color indexed="81"/>
            <rFont val="Tahoma"/>
            <family val="2"/>
            <charset val="186"/>
          </rPr>
          <t>Kohtla-Järve, Spordi 2, 
Vanalinna petangihall</t>
        </r>
      </text>
    </comment>
    <comment ref="M104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107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10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111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114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114" authorId="0">
      <text>
        <r>
          <rPr>
            <b/>
            <sz val="8"/>
            <color indexed="81"/>
            <rFont val="Tahoma"/>
            <family val="2"/>
            <charset val="186"/>
          </rPr>
          <t>Tallinn, Algi 38
Tallinna petangihall</t>
        </r>
      </text>
    </comment>
    <comment ref="M117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J118" authorId="0">
      <text>
        <r>
          <rPr>
            <b/>
            <sz val="8"/>
            <color indexed="81"/>
            <rFont val="Tahoma"/>
            <family val="2"/>
            <charset val="186"/>
          </rPr>
          <t>suur reede</t>
        </r>
      </text>
    </comment>
    <comment ref="N118" authorId="0">
      <text>
        <r>
          <rPr>
            <b/>
            <sz val="8"/>
            <color indexed="81"/>
            <rFont val="Tahoma"/>
            <family val="2"/>
            <charset val="186"/>
          </rPr>
          <t>ülestõusmispühade 1. püha</t>
        </r>
      </text>
    </comment>
    <comment ref="G119" authorId="0">
      <text>
        <r>
          <rPr>
            <b/>
            <sz val="8"/>
            <color indexed="81"/>
            <rFont val="Tahoma"/>
            <family val="2"/>
            <charset val="186"/>
          </rPr>
          <t>Klubid peavad oma osalemise kinnitama EPKL’le 20. aprilliks ja meeskonna andmed teatama 30. aprilliks.</t>
        </r>
      </text>
    </comment>
    <comment ref="I12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M120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  <comment ref="K122" authorId="0">
      <text>
        <r>
          <rPr>
            <b/>
            <sz val="8"/>
            <color indexed="81"/>
            <rFont val="Tahoma"/>
            <family val="2"/>
            <charset val="186"/>
          </rPr>
          <t>5-liikmelised võistkonnad, kelle koosseisus on vähemalt 2 naist.
Iga kohtumine koosneb kahest mängust: trio ja duppel, mille koosseisu valik on vaba (M/N suhtes).</t>
        </r>
      </text>
    </comment>
    <comment ref="K123" authorId="0">
      <text>
        <r>
          <rPr>
            <b/>
            <sz val="8"/>
            <color indexed="81"/>
            <rFont val="Tahoma"/>
            <family val="2"/>
            <charset val="186"/>
          </rPr>
          <t>Tartu, Lossi 25 
Toomkiriku varemed</t>
        </r>
      </text>
    </comment>
    <comment ref="M123" authorId="0">
      <text>
        <r>
          <rPr>
            <b/>
            <sz val="8"/>
            <color indexed="81"/>
            <rFont val="Tahoma"/>
            <family val="2"/>
            <charset val="186"/>
          </rPr>
          <t>Voka, Narva mnt 2
Voka petangihall</t>
        </r>
      </text>
    </comment>
  </commentList>
</comments>
</file>

<file path=xl/comments20.xml><?xml version="1.0" encoding="utf-8"?>
<comments xmlns="http://schemas.openxmlformats.org/spreadsheetml/2006/main">
  <authors>
    <author>Author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186"/>
          </rPr>
          <t>Väljaku number</t>
        </r>
      </text>
    </comment>
  </commentList>
</comments>
</file>

<file path=xl/comments21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I17" authorId="0">
      <text>
        <r>
          <rPr>
            <b/>
            <sz val="8"/>
            <color indexed="81"/>
            <rFont val="Tahoma"/>
            <family val="2"/>
            <charset val="186"/>
          </rPr>
          <t>valem kustutatud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22.xml><?xml version="1.0" encoding="utf-8"?>
<comments xmlns="http://schemas.openxmlformats.org/spreadsheetml/2006/main">
  <authors>
    <author>Author</author>
  </authors>
  <commentList>
    <comment ref="N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</commentList>
</comments>
</file>

<file path=xl/comments23.xml><?xml version="1.0" encoding="utf-8"?>
<comments xmlns="http://schemas.openxmlformats.org/spreadsheetml/2006/main">
  <authors>
    <author>Author</author>
  </authors>
  <commentList>
    <comment ref="J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G11" authorId="0">
      <text>
        <r>
          <rPr>
            <b/>
            <sz val="8"/>
            <color indexed="81"/>
            <rFont val="Tahoma"/>
            <family val="2"/>
            <charset val="186"/>
          </rPr>
          <t>Finaalis isiklik rekord 38 punkti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186"/>
          </rPr>
          <t>Veerandfinaalis isiklik rekord 33 punkti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P1" authorId="0">
      <text>
        <r>
          <rPr>
            <b/>
            <sz val="8"/>
            <color indexed="81"/>
            <rFont val="Tahoma"/>
            <family val="2"/>
            <charset val="186"/>
          </rPr>
          <t>Koht - Punkte
  1. - 15 p
  2. - 14 p
  3. - 13 p
  4. - 12 p
  5. - 11 p
  6. - 10 p
  7. -   9 p
  8. -   8 p
  9. -   7 p
10. -   6 p
11. -   5 p
12. -   4 p
13. -   3 p
14. -   2 p
15… - 1 p
DSQ - 0 p</t>
        </r>
      </text>
    </comment>
    <comment ref="A6" authorId="0">
      <text>
        <r>
          <rPr>
            <b/>
            <sz val="8"/>
            <color indexed="81"/>
            <rFont val="Tahoma"/>
            <family val="2"/>
            <charset val="186"/>
          </rPr>
          <t>Viru SK mängijad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  <comment ref="P6" authorId="0">
      <text>
        <r>
          <rPr>
            <b/>
            <sz val="8"/>
            <color indexed="81"/>
            <rFont val="Tahoma"/>
            <family val="2"/>
            <charset val="186"/>
          </rPr>
          <t>Kohalikud mängijad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  <comment ref="Q6" authorId="0">
      <text>
        <r>
          <rPr>
            <b/>
            <sz val="8"/>
            <color indexed="81"/>
            <rFont val="Tahoma"/>
            <family val="2"/>
            <charset val="186"/>
          </rPr>
          <t>Viru SK mängijad seisuga 16.02.2019</t>
        </r>
      </text>
    </comment>
    <comment ref="R6" authorId="0">
      <text>
        <r>
          <rPr>
            <b/>
            <sz val="8"/>
            <color indexed="81"/>
            <rFont val="Tahoma"/>
            <family val="2"/>
            <charset val="186"/>
          </rPr>
          <t>4 kehvemat tulemust võetakse maha</t>
        </r>
      </text>
    </comment>
    <comment ref="AL68" authorId="0">
      <text>
        <r>
          <rPr>
            <b/>
            <sz val="8"/>
            <color indexed="81"/>
            <rFont val="Tahoma"/>
            <family val="2"/>
            <charset val="186"/>
          </rPr>
          <t>valemita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K6" authorId="0">
      <text>
        <r>
          <rPr>
            <b/>
            <sz val="8"/>
            <color indexed="81"/>
            <rFont val="Tahoma"/>
            <family val="2"/>
            <charset val="186"/>
          </rPr>
          <t>Võite omavahelistes mängudes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  <comment ref="M34" authorId="0">
      <text>
        <r>
          <rPr>
            <b/>
            <sz val="8"/>
            <color indexed="81"/>
            <rFont val="Tahoma"/>
            <family val="2"/>
            <charset val="186"/>
          </rPr>
          <t>TRUE kui: 
3-ses alagrupis 3 nime ja   6 tulemust või
4-ses alagrupis 4 nime ja 12 tulemust või
5-ses alagrupis 5 nime ja 20 tulemust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S17" authorId="0">
      <text>
        <r>
          <rPr>
            <b/>
            <sz val="8"/>
            <color indexed="81"/>
            <rFont val="Tahoma"/>
            <family val="2"/>
            <charset val="186"/>
          </rPr>
          <t>loobusid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L6" authorId="0">
      <text>
        <r>
          <rPr>
            <b/>
            <sz val="8"/>
            <color indexed="81"/>
            <rFont val="Tahoma"/>
            <family val="2"/>
            <charset val="186"/>
          </rPr>
          <t>Punktide vahe omavahelistes mängudes</t>
        </r>
      </text>
    </comment>
  </commentList>
</comments>
</file>

<file path=xl/sharedStrings.xml><?xml version="1.0" encoding="utf-8"?>
<sst xmlns="http://schemas.openxmlformats.org/spreadsheetml/2006/main" count="3763" uniqueCount="640">
  <si>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</si>
  <si>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</si>
  <si>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</si>
  <si>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</si>
  <si>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</si>
  <si>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</si>
  <si>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</si>
  <si>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</si>
  <si>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</si>
  <si>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</si>
  <si>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</si>
  <si>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</si>
  <si>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</si>
  <si>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</si>
  <si>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</si>
  <si>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</si>
  <si>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</si>
  <si>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</si>
  <si>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</si>
  <si>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</si>
  <si>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</si>
  <si>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</si>
  <si>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</si>
  <si>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</si>
  <si>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</si>
  <si>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</si>
  <si>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Etappide arvule vastav täht</t>
  </si>
  <si>
    <t>Etappide arv, millel on võistleja saanud näiteks 20 punkti</t>
  </si>
  <si>
    <t>Nagu näha, saab hooajal teha kuni 31 etappi (kuid tähtede ette võib lisada ka 9 numbrit - seega max 40 etappi)</t>
  </si>
  <si>
    <t>Ida-Viru punktid</t>
  </si>
  <si>
    <t>Kollase taustaga on põhitabelile lisatud punktid</t>
  </si>
  <si>
    <t>DSQ</t>
  </si>
  <si>
    <t xml:space="preserve">  </t>
  </si>
  <si>
    <t>kaks tühikut - ei osalenud</t>
  </si>
  <si>
    <t>Voka punktid</t>
  </si>
  <si>
    <t>Kui osales 11 võistkonda, sai võitja 11 punkti</t>
  </si>
  <si>
    <t>IDA-VIRUMAA PETANGIKALENDER 2018-2019 (SISE)</t>
  </si>
  <si>
    <t>Kuupäev</t>
  </si>
  <si>
    <t>Aeg</t>
  </si>
  <si>
    <t>Võistlus</t>
  </si>
  <si>
    <t>Mänguviis</t>
  </si>
  <si>
    <t>Toimumiskoht</t>
  </si>
  <si>
    <t>Korraldaja</t>
  </si>
  <si>
    <t>Tasu</t>
  </si>
  <si>
    <t>Osal</t>
  </si>
  <si>
    <t>Oktoober 2018</t>
  </si>
  <si>
    <t>L, 20.10.2018</t>
  </si>
  <si>
    <t>11:30</t>
  </si>
  <si>
    <t>Voka 2. sise-KV 1. etapp</t>
  </si>
  <si>
    <t>Duo</t>
  </si>
  <si>
    <t>Johannes Neiland</t>
  </si>
  <si>
    <t>P, 28.10.2018</t>
  </si>
  <si>
    <t>Voka 2. sise-KV 2. etapp</t>
  </si>
  <si>
    <t>November 2018</t>
  </si>
  <si>
    <t>P, 04.11.2018</t>
  </si>
  <si>
    <t>10:00</t>
  </si>
  <si>
    <t>Voka 2. sise-KV 3. etapp</t>
  </si>
  <si>
    <t>~16:00</t>
  </si>
  <si>
    <t>Viru SK aastakoosolek (lükati edasi)</t>
  </si>
  <si>
    <t>L, 10.11.2018</t>
  </si>
  <si>
    <t>Voka 2. sise-KV 4. etapp</t>
  </si>
  <si>
    <t>P, 11.11.2018</t>
  </si>
  <si>
    <t>11:00</t>
  </si>
  <si>
    <t>TOP 16 Masters, 1. etapp</t>
  </si>
  <si>
    <t>Üksik</t>
  </si>
  <si>
    <t>Ivar Viljaste</t>
  </si>
  <si>
    <t>3-5 €</t>
  </si>
  <si>
    <t>L, 24.11.2018</t>
  </si>
  <si>
    <t>Voka 2. sise-KV 5. etapp</t>
  </si>
  <si>
    <t>P, 25.11.2018</t>
  </si>
  <si>
    <t>I-Virumaa sise-MV, 1. etapp</t>
  </si>
  <si>
    <t>Tul</t>
  </si>
  <si>
    <t>Detsember 2018</t>
  </si>
  <si>
    <t>P, 02.12.2018</t>
  </si>
  <si>
    <t>Voka 2. sise-KV 6. etapp</t>
  </si>
  <si>
    <t>L, 08.12.2018</t>
  </si>
  <si>
    <t>Voka 2. sise-KV 7. etapp</t>
  </si>
  <si>
    <t>P, 09.12.2018</t>
  </si>
  <si>
    <t>TOP 16 Masters, 2. etapp</t>
  </si>
  <si>
    <t>L, 15.12.2018</t>
  </si>
  <si>
    <t>Segaduo</t>
  </si>
  <si>
    <t>Voka ja K-Järve petangihall</t>
  </si>
  <si>
    <t>P, 16.12.2018</t>
  </si>
  <si>
    <t>Trio</t>
  </si>
  <si>
    <t>L, 22.12.2018</t>
  </si>
  <si>
    <t>"Jõuluhane" turniir</t>
  </si>
  <si>
    <t>P, 23.12.2018</t>
  </si>
  <si>
    <t>15:30</t>
  </si>
  <si>
    <t>Viru SK 1. sise-MV</t>
  </si>
  <si>
    <t>L, 29.12.2018</t>
  </si>
  <si>
    <t>Voka 2. sise-KV 8. etapp</t>
  </si>
  <si>
    <t>Jaanuar 2019</t>
  </si>
  <si>
    <t>T, 01.01.2019</t>
  </si>
  <si>
    <t>Noorte Uusaastaturniir</t>
  </si>
  <si>
    <t>L, 05.01.2019</t>
  </si>
  <si>
    <t>Voka 2. sise-KV 9. etapp</t>
  </si>
  <si>
    <t>P, 06.01.2019</t>
  </si>
  <si>
    <t>TOP 16 Masters, 3. etapp</t>
  </si>
  <si>
    <t>P, 13.01.2019</t>
  </si>
  <si>
    <t>16:00</t>
  </si>
  <si>
    <t>L, 19.01.2019</t>
  </si>
  <si>
    <t>Voka 2. sise-KV 10. etapp</t>
  </si>
  <si>
    <t>P, 20.01.2019</t>
  </si>
  <si>
    <t>I-Virumaa sise-MV, 2. etapp</t>
  </si>
  <si>
    <t>L, 26.01.2019</t>
  </si>
  <si>
    <t>Voka 2. sise-KV 11. etapp</t>
  </si>
  <si>
    <t>Veebruar 2019</t>
  </si>
  <si>
    <t>L, 02.02.2019</t>
  </si>
  <si>
    <t>Ida-Virumaa sise-MV</t>
  </si>
  <si>
    <t>P, 03.02.2019</t>
  </si>
  <si>
    <t>TOP 16 Masters, 4. etapp</t>
  </si>
  <si>
    <t>P, 10.02.2019</t>
  </si>
  <si>
    <t>Turniir noortele</t>
  </si>
  <si>
    <t>L, 16.02.2019</t>
  </si>
  <si>
    <t>Voka 2. sise-KV 12. etapp</t>
  </si>
  <si>
    <t>P, 17.02.2019</t>
  </si>
  <si>
    <t>I-Virumaa sise-MV 3. etapp</t>
  </si>
  <si>
    <t>L, 23.02.2019</t>
  </si>
  <si>
    <t>Eesti 101, Toila valla sise-MV</t>
  </si>
  <si>
    <t>Asetusvõistlus Ida-Virumaalt riigikokku kandideerijatele</t>
  </si>
  <si>
    <t>Individ, võistk</t>
  </si>
  <si>
    <t>P, 24.02.2019</t>
  </si>
  <si>
    <t>14:30</t>
  </si>
  <si>
    <t>Jää pliks-plaks(12kiiremat võistkonda)</t>
  </si>
  <si>
    <t>Märts 2019</t>
  </si>
  <si>
    <t>L, 02.03.2019</t>
  </si>
  <si>
    <t>Voka 2. sise-KV 13. etapp</t>
  </si>
  <si>
    <t>P, 03.03.2019</t>
  </si>
  <si>
    <t>TOP 16 Masters, 5. etapp</t>
  </si>
  <si>
    <t>L, 09.03.2019</t>
  </si>
  <si>
    <t>P, 10.03.2019</t>
  </si>
  <si>
    <t>L, 16.03.2019</t>
  </si>
  <si>
    <t>Voka 2. sise-KV 14. etapp</t>
  </si>
  <si>
    <t>P, 17.03 2019</t>
  </si>
  <si>
    <t>I-Virumaa sise-MV finaal</t>
  </si>
  <si>
    <t>P, 24.03.2019</t>
  </si>
  <si>
    <t>P, 31.03.2019</t>
  </si>
  <si>
    <t>K-Järve SHK - Viru SK</t>
  </si>
  <si>
    <t>5D, 1SD</t>
  </si>
  <si>
    <t>SHK, Viru SK</t>
  </si>
  <si>
    <t>Aprill 2019</t>
  </si>
  <si>
    <t>P, 07.04.2019</t>
  </si>
  <si>
    <t>TOP 16 Masters, 6. etapp</t>
  </si>
  <si>
    <t>L, 06.04.2019</t>
  </si>
  <si>
    <t>Voka 2. sise-KV 15. etapp</t>
  </si>
  <si>
    <t>P, 14.04.2019</t>
  </si>
  <si>
    <t>Voka 2. sise-KV superfinaal</t>
  </si>
  <si>
    <t>Loositrio</t>
  </si>
  <si>
    <t>R, 19.04.2019</t>
  </si>
  <si>
    <t>19:00</t>
  </si>
  <si>
    <t>Öö pliks-plaks</t>
  </si>
  <si>
    <t>P, 21.04.2019</t>
  </si>
  <si>
    <t>P, 28.04.2019</t>
  </si>
  <si>
    <t>Erinevad</t>
  </si>
  <si>
    <t>Ida-Viru reitinguvõistlused on rasvases trükis ja valge taustaga</t>
  </si>
  <si>
    <t xml:space="preserve">Eesti reitingusarja võistlused on kollase taustaga, </t>
  </si>
  <si>
    <r>
      <t xml:space="preserve">arvesse läheb 8 võistlust 13st (4 reitinguvõistlust 7st </t>
    </r>
    <r>
      <rPr>
        <sz val="10"/>
        <color rgb="FF0070C0"/>
        <rFont val="Arial"/>
        <family val="2"/>
        <charset val="186"/>
      </rPr>
      <t>(sh klubide sari)</t>
    </r>
    <r>
      <rPr>
        <sz val="10"/>
        <color theme="1"/>
        <rFont val="Arial"/>
        <family val="2"/>
        <charset val="186"/>
      </rPr>
      <t xml:space="preserve"> + 4 Eesti sise-MV-d 6st)</t>
    </r>
  </si>
  <si>
    <t>Voka karikasarja võistlused on rohelise taustaga</t>
  </si>
  <si>
    <t>Arvesse läheb 11 paremat tulemust. Finaali pääsemiseks on vajalik osavõtt vähemalt 2st etapist</t>
  </si>
  <si>
    <t>Viimased muudatused on punasega</t>
  </si>
  <si>
    <t>EESTI JA IDA-VIRUMAA PETANGIKALENDER 2018-2019 (SISE)</t>
  </si>
  <si>
    <t>Esmaspäev</t>
  </si>
  <si>
    <t>Teisipäev</t>
  </si>
  <si>
    <t>Kolmapäev</t>
  </si>
  <si>
    <t>Neljapäev</t>
  </si>
  <si>
    <t>Reede</t>
  </si>
  <si>
    <t>Laupäev</t>
  </si>
  <si>
    <t>Pühapäev</t>
  </si>
  <si>
    <t>DUO</t>
  </si>
  <si>
    <t>TRIO</t>
  </si>
  <si>
    <t>Viru SK üldkoosolek (jäi ära)</t>
  </si>
  <si>
    <t>SEGATRIO</t>
  </si>
  <si>
    <t xml:space="preserve">I-Virumaa sise-MV 1.etapp, </t>
  </si>
  <si>
    <t>TUL</t>
  </si>
  <si>
    <t>TRIO, DUO, ÜKSIK</t>
  </si>
  <si>
    <t>ÜKSIK, DUO, SEGADUO, TRIO, SEGATRIO</t>
  </si>
  <si>
    <t>Saint-Yrieix-sur Charente (Prantsusmaa)</t>
  </si>
  <si>
    <t>SEGADUO</t>
  </si>
  <si>
    <t>registreeri ennast</t>
  </si>
  <si>
    <t>DUO (15:30)</t>
  </si>
  <si>
    <t>Viru SK MV-le</t>
  </si>
  <si>
    <t>Noorte</t>
  </si>
  <si>
    <t>Uusaastaturniir</t>
  </si>
  <si>
    <t>TRIO (16:00)</t>
  </si>
  <si>
    <t>DUO, SEGADUO, ÜKSIK</t>
  </si>
  <si>
    <t xml:space="preserve">I-Virumaa sise-MV 2.etapp, </t>
  </si>
  <si>
    <t>ÜKSIK</t>
  </si>
  <si>
    <t>ÜKSIK (16:00)</t>
  </si>
  <si>
    <t xml:space="preserve">I-Virumaa sise-MV 3.etapp, </t>
  </si>
  <si>
    <t xml:space="preserve">Jää pliks-plaks, </t>
  </si>
  <si>
    <t xml:space="preserve">ÜKSIK (14:30), </t>
  </si>
  <si>
    <t xml:space="preserve">Asetusvõistlus Ida-Virumaalt </t>
  </si>
  <si>
    <t>"pingviinide paraad", pildis-</t>
  </si>
  <si>
    <t>riigikokku kandideerijatele</t>
  </si>
  <si>
    <t>tamine koos "pingviinidega"</t>
  </si>
  <si>
    <t xml:space="preserve">Voka paisjärve jääl </t>
  </si>
  <si>
    <t>auhindadele</t>
  </si>
  <si>
    <t>Hpet Open, DUO</t>
  </si>
  <si>
    <t xml:space="preserve">I-Virumaa sise-MV finaal, </t>
  </si>
  <si>
    <t>5 DUOT, 1 SEGADUO</t>
  </si>
  <si>
    <t>LOOSITRIO</t>
  </si>
  <si>
    <t>Öö pliks-</t>
  </si>
  <si>
    <t xml:space="preserve">registr. </t>
  </si>
  <si>
    <t>Klubide karikale</t>
  </si>
  <si>
    <t xml:space="preserve">Ida-Virumaa omavalitsuste </t>
  </si>
  <si>
    <t>TRIO+DUO</t>
  </si>
  <si>
    <r>
      <t xml:space="preserve">Eesti reitingus läheb arvesse 8 võistlust 13st (4 reitinguvõistlust 7st </t>
    </r>
    <r>
      <rPr>
        <b/>
        <sz val="10"/>
        <color rgb="FF0070C0"/>
        <rFont val="Arial"/>
        <family val="2"/>
        <charset val="186"/>
      </rPr>
      <t>(sh klubide sari)</t>
    </r>
    <r>
      <rPr>
        <b/>
        <sz val="10"/>
        <color theme="1"/>
        <rFont val="Arial"/>
        <family val="2"/>
        <charset val="186"/>
      </rPr>
      <t xml:space="preserve"> + 4 Eesti sise-MV-d 6st)</t>
    </r>
  </si>
  <si>
    <t>Voka KV sarjas läheb arvesse 11 paremat tulemust. Finaali pääsemiseks on vajalik osavõtt vähemalt 2st etapist</t>
  </si>
  <si>
    <t>Rahvusvahelised võistlused on sinisega ja kaldkirjas</t>
  </si>
  <si>
    <t>Hooaja lõpetamine</t>
  </si>
  <si>
    <t>Trophée des Villes - 22.-25.11.2018</t>
  </si>
  <si>
    <t>Hpet Open, DUO 09.03.2019</t>
  </si>
  <si>
    <t>IDA-VIRUMAA SISEMEISTRIVÕISTLUSED TULISTAMISES</t>
  </si>
  <si>
    <t>Toimumiskoht: Kohtla-Järve petangihall</t>
  </si>
  <si>
    <t>Igal etapil läks kirja kahe vooru punktide summa</t>
  </si>
  <si>
    <t>KOHT</t>
  </si>
  <si>
    <t>Nimi</t>
  </si>
  <si>
    <t>KOKKU</t>
  </si>
  <si>
    <t>Finaal</t>
  </si>
  <si>
    <t>Boriss Klubov</t>
  </si>
  <si>
    <t>Janek Tarto</t>
  </si>
  <si>
    <t>Kalle Orro</t>
  </si>
  <si>
    <t>Kristo Viljaste</t>
  </si>
  <si>
    <t>Kenneth Muusikus</t>
  </si>
  <si>
    <t>Matti Vinni</t>
  </si>
  <si>
    <t>Peep Peenema</t>
  </si>
  <si>
    <t>Sirje Viljaste</t>
  </si>
  <si>
    <t>Osalejaid</t>
  </si>
  <si>
    <t>Kuld</t>
  </si>
  <si>
    <t>Hõbe</t>
  </si>
  <si>
    <t>Pronks</t>
  </si>
  <si>
    <t>VOKA 2. SISEKARIKAVÕISTLUSED 2018-2019</t>
  </si>
  <si>
    <t>Punktid</t>
  </si>
  <si>
    <t>Peida halli taustaga veerud</t>
  </si>
  <si>
    <t xml:space="preserve">Arvesse läheb 11 paremat tulemust. </t>
  </si>
  <si>
    <t xml:space="preserve">Finaali pääsemiseks on vajalik osavõtt vähemalt 2st etapist. </t>
  </si>
  <si>
    <t>kehvemat tulemust võetakse maha</t>
  </si>
  <si>
    <t>vasak täht on 17 punkti, järgmine 16 punkti jne</t>
  </si>
  <si>
    <t>paremus-järjestus</t>
  </si>
  <si>
    <t>nimi tähestik</t>
  </si>
  <si>
    <t>kolm paremat numbrit näitavad mitmes on nimi tähestiku järgi</t>
  </si>
  <si>
    <t>sordi selle</t>
  </si>
  <si>
    <t xml:space="preserve"> </t>
  </si>
  <si>
    <t>Osalusi</t>
  </si>
  <si>
    <t>Võite</t>
  </si>
  <si>
    <t>max 17 võistkonda</t>
  </si>
  <si>
    <t>kasutab</t>
  </si>
  <si>
    <t>järgi</t>
  </si>
  <si>
    <t>**</t>
  </si>
  <si>
    <t>edasi/</t>
  </si>
  <si>
    <t>L***</t>
  </si>
  <si>
    <t>Viru SK</t>
  </si>
  <si>
    <t>Voka</t>
  </si>
  <si>
    <t>Kohalikud</t>
  </si>
  <si>
    <t>Mehed</t>
  </si>
  <si>
    <t>Naised</t>
  </si>
  <si>
    <t>Juuniorid</t>
  </si>
  <si>
    <t>Üld</t>
  </si>
  <si>
    <t>val2</t>
  </si>
  <si>
    <t>val 1&amp;2</t>
  </si>
  <si>
    <t>jä val 1&amp;2</t>
  </si>
  <si>
    <t>val3</t>
  </si>
  <si>
    <t>val 1&amp;2&amp;3</t>
  </si>
  <si>
    <t>jä val 1&amp;2&amp;3</t>
  </si>
  <si>
    <t>rank</t>
  </si>
  <si>
    <t>/koht</t>
  </si>
  <si>
    <t>Jaan Sepp</t>
  </si>
  <si>
    <t>Oskar Sepp</t>
  </si>
  <si>
    <t>k</t>
  </si>
  <si>
    <t>v</t>
  </si>
  <si>
    <t>Meelis Luud</t>
  </si>
  <si>
    <t>Karla Purgats</t>
  </si>
  <si>
    <t>Tõnu Piik</t>
  </si>
  <si>
    <t>m</t>
  </si>
  <si>
    <t>Elmo Lageda</t>
  </si>
  <si>
    <t>Vladimir Ogneštšikov</t>
  </si>
  <si>
    <t>Ülo Piik</t>
  </si>
  <si>
    <t>Mait Metsla</t>
  </si>
  <si>
    <t>Illar Tõnurist</t>
  </si>
  <si>
    <t>Klavdia Piik</t>
  </si>
  <si>
    <t>n</t>
  </si>
  <si>
    <t>Jaan Saar</t>
  </si>
  <si>
    <t>Enn Tokman</t>
  </si>
  <si>
    <t>Lemmit Toomra</t>
  </si>
  <si>
    <t>Tarmo Bombe</t>
  </si>
  <si>
    <t>Oleg Rõndenkov</t>
  </si>
  <si>
    <t>Henri Mitt</t>
  </si>
  <si>
    <t>j</t>
  </si>
  <si>
    <t>Tõnu Kapper</t>
  </si>
  <si>
    <t>Urmas Jõeäär</t>
  </si>
  <si>
    <t>Andres Veski</t>
  </si>
  <si>
    <t>Ljudmila Varendi</t>
  </si>
  <si>
    <t>Viktor Švarõgin</t>
  </si>
  <si>
    <t>Svetlana Veski</t>
  </si>
  <si>
    <t>Aigi Orro</t>
  </si>
  <si>
    <t>Tõnis Neiland</t>
  </si>
  <si>
    <t>Einar Juhkam</t>
  </si>
  <si>
    <t>Argo Sepp</t>
  </si>
  <si>
    <t>Kristiin-Marleen Neiland</t>
  </si>
  <si>
    <t>Karoliina Sild</t>
  </si>
  <si>
    <t>Kaspar Mänd</t>
  </si>
  <si>
    <t>Melika Lehtla</t>
  </si>
  <si>
    <t>Toomas Tedrekull</t>
  </si>
  <si>
    <t>Reimo Lõhmus</t>
  </si>
  <si>
    <t>Romek Tarto</t>
  </si>
  <si>
    <t>Urmas Randlaine</t>
  </si>
  <si>
    <t>Ksenija Matšneva</t>
  </si>
  <si>
    <t>Oksana Rõndenkova</t>
  </si>
  <si>
    <t>Veroonika Mendes</t>
  </si>
  <si>
    <t>Sandra Laura Nõmmeloo</t>
  </si>
  <si>
    <t>Andrei Grintšak</t>
  </si>
  <si>
    <t>Mihkel Palk</t>
  </si>
  <si>
    <t>Uku Kollom</t>
  </si>
  <si>
    <t>Fredi Müür</t>
  </si>
  <si>
    <t>Eve Müüdla</t>
  </si>
  <si>
    <t>Heili Vasser</t>
  </si>
  <si>
    <t>Vello Vasser</t>
  </si>
  <si>
    <t>Kevin Sten Liik</t>
  </si>
  <si>
    <t>Rutt Voldek</t>
  </si>
  <si>
    <t>Silver Kingissepp</t>
  </si>
  <si>
    <t>Airi Kruusma</t>
  </si>
  <si>
    <t>Aleksander Korikov</t>
  </si>
  <si>
    <t>Võistkondi</t>
  </si>
  <si>
    <t>Kohalikud mängijad on rasvases trükis</t>
  </si>
  <si>
    <t>VOKA 2. SISEKARIKAVÕISTLUSED PETANGIS</t>
  </si>
  <si>
    <t>JUHEND</t>
  </si>
  <si>
    <t>1. Eesmärk</t>
  </si>
  <si>
    <t xml:space="preserve"> - Võistluste eesmärgiks on välja selgitada parimad mängijad.</t>
  </si>
  <si>
    <t xml:space="preserve"> - Petangi arendamine ja propageerimine.</t>
  </si>
  <si>
    <t xml:space="preserve"> - Meisterlikkuse tõstmine ja spordiharrastuse aktiviseerimine läbi petangi mängimise.</t>
  </si>
  <si>
    <t>2. Aeg ja koht</t>
  </si>
  <si>
    <t>Võistlused toimuvad Voka petangihallis (Narva mnt 2) oktoober 2018 – aprill 2019.</t>
  </si>
  <si>
    <t>3. Juhtimine</t>
  </si>
  <si>
    <t xml:space="preserve"> - Peakorraldaja on Toila Valla spordi- ja kultuurikeskus koos Viru SK-ga.</t>
  </si>
  <si>
    <t xml:space="preserve"> - Peakohtunik Juhan Neiland, tel 5622 8909</t>
  </si>
  <si>
    <t>4. Osavõtjad</t>
  </si>
  <si>
    <t>Osalema lubatakse kõik huvilised, kes on ennast võistlustele registreerinud ja eelnevalt tasunud osalustasu.</t>
  </si>
  <si>
    <t xml:space="preserve"> - Tervisliku seisundi eest vastutab sportlane ise.</t>
  </si>
  <si>
    <t xml:space="preserve"> -  Üle 0,5 ‰ joobe puhul kõrvaldatakse võistleja antud etapilt.</t>
  </si>
  <si>
    <t>5. Võistluste süsteem</t>
  </si>
  <si>
    <t>Võistlused toimuvad paarismängus ja superfinaal trios. Paaride valik on vaba. Võistluste alguses võib registreerida 3 mängijat, vahetada võib iga vooru järel.</t>
  </si>
  <si>
    <t xml:space="preserve"> - Kuni 6 võistkonna puhul toimub turniir kõik-kõigiga.</t>
  </si>
  <si>
    <t xml:space="preserve"> - 7–8 võistkonna puhul 2 alagruppi ja karikas.</t>
  </si>
  <si>
    <t xml:space="preserve"> - 9–13 võistkonna puhul toimub võistlus šveitsi süsteemis (5 vooru).</t>
  </si>
  <si>
    <t xml:space="preserve"> - 14 ja rohkema võistkondade arvu puhul toimub võistlus alagruppides ja karikas.</t>
  </si>
  <si>
    <t>Pärast esimest etappi paigutus reitingu alusel.</t>
  </si>
  <si>
    <t>6. Paremusjärjestuse selgitamine</t>
  </si>
  <si>
    <t>Paremusjärjestus selgitatakse igal etapil eraldi ja ka koondarvestuses. Igal etapil saab esikoht 15 punkti, iga järgnev koht punkti võrra vähem (kõik osalejad saavad vähemalt 1 punkti). Arvesse lähevad 11 parema etapi tulemused. Punktide võrdsuse korral otsustab suurim parimate kohtade arv.</t>
  </si>
  <si>
    <t xml:space="preserve">Superfinaali pääsevad kõik mängijad kes on osalenud vähemalt kahel etapil. </t>
  </si>
  <si>
    <t>7. Autasustamine</t>
  </si>
  <si>
    <t>Iga võistleja, kes on osalenud vähemalt 2-l võistlusel, saab nimelise medali. Kokkuvõttes kuut paremat autasustatakse järgmiselt: 3e esimest karikaga, 4–6-ndat suure nimelise medaliga. Samuti autasustatakse parimat noort, naist ja Viru SK liiget. Superfinaalis autasustatakse 3 parema võistkonna liikmeid.</t>
  </si>
  <si>
    <t>8. Majandamine</t>
  </si>
  <si>
    <t>Osalustasu iga mängija kohta igal etapil on 2 €, mis tasutakse kohapeal. Osalustasust on vabastatud noored kuni 16 a (kaasaarvatud). Võistluselt enneaegse lahkumise (loobumiskaotus) eest määratakse trahv 5 €. Järgmistele etappidele ei lubata osalema enne, kui trahv on tasutud.</t>
  </si>
  <si>
    <t>9. Registreerimine</t>
  </si>
  <si>
    <t>Võistlustele saab eelregistreeruda tel 5622 8909 (Juhan Neiland) või kohapeal 15 min enne võistluste algust.</t>
  </si>
  <si>
    <t>10.  Üleskerkinud küsimuste lahendamine</t>
  </si>
  <si>
    <t>Kõik üleskerkinud küsimused ja protestid lahendab peakohtunik.</t>
  </si>
  <si>
    <t>Jussi turniiridel algavad kõik mängud seisult 1:1</t>
  </si>
  <si>
    <t>punktid</t>
  </si>
  <si>
    <t>enne 1 koma</t>
  </si>
  <si>
    <t>pärast 1 koma</t>
  </si>
  <si>
    <t>1 ja 2 koma vahel</t>
  </si>
  <si>
    <t>pärast 2 koma</t>
  </si>
  <si>
    <t>V-K</t>
  </si>
  <si>
    <t>Koht</t>
  </si>
  <si>
    <t>+/-</t>
  </si>
  <si>
    <t>kokku</t>
  </si>
  <si>
    <t>Andres Veski, Kenneth Muusikus</t>
  </si>
  <si>
    <t>Jaan Sepp, Oskar Sepp</t>
  </si>
  <si>
    <t>Enn Tokman, Tarmo Bombe</t>
  </si>
  <si>
    <t>Elmo Lageda, Tõnu Piik</t>
  </si>
  <si>
    <t>Urmas Jõeäär, Meelis Luud</t>
  </si>
  <si>
    <t>Einar Juhkam, Fredi Müür</t>
  </si>
  <si>
    <t>1. voor</t>
  </si>
  <si>
    <t>1-5</t>
  </si>
  <si>
    <t>2-4</t>
  </si>
  <si>
    <t>2. voor</t>
  </si>
  <si>
    <t>1-3</t>
  </si>
  <si>
    <t>4-5</t>
  </si>
  <si>
    <t>3. voor</t>
  </si>
  <si>
    <t>2-5</t>
  </si>
  <si>
    <t>3-4</t>
  </si>
  <si>
    <t>4. voor</t>
  </si>
  <si>
    <t>2-1</t>
  </si>
  <si>
    <t>3-5</t>
  </si>
  <si>
    <t>5. voor</t>
  </si>
  <si>
    <t>2-3</t>
  </si>
  <si>
    <t>1-4</t>
  </si>
  <si>
    <t>1 - 6 koht</t>
  </si>
  <si>
    <t>1. koht</t>
  </si>
  <si>
    <t>2. koht</t>
  </si>
  <si>
    <t>3. koht</t>
  </si>
  <si>
    <t>4. koht</t>
  </si>
  <si>
    <t>5. koht</t>
  </si>
  <si>
    <t>6. koht</t>
  </si>
  <si>
    <t>Punkte</t>
  </si>
  <si>
    <t>Tõnu Kapper, Vladimir Ogneštšikov</t>
  </si>
  <si>
    <t>Boriss Klubov, Mait Metsla</t>
  </si>
  <si>
    <t>Meelis Luud, Urmas Jõeäär</t>
  </si>
  <si>
    <t>Karla Purgats, Lemmit Toomra</t>
  </si>
  <si>
    <t>Johannes Neiland, Kenneth Muusikus</t>
  </si>
  <si>
    <t>Oksana Rõndenkova, Oleg Rõndenkov</t>
  </si>
  <si>
    <t>Andres Veski, Svetlana Veski</t>
  </si>
  <si>
    <t>Henri Mitt, Melika Lehtla</t>
  </si>
  <si>
    <t>Illar Tõnurist, Jaan Saar</t>
  </si>
  <si>
    <t>Jaan Sepp, Janek Tarto</t>
  </si>
  <si>
    <t>Klavdia Piik, Ülo Piik</t>
  </si>
  <si>
    <t>Ivar Viljaste, Sirje Viljaste</t>
  </si>
  <si>
    <t>1-2</t>
  </si>
  <si>
    <t>1 - 8 koht</t>
  </si>
  <si>
    <t>A1</t>
  </si>
  <si>
    <t>D2</t>
  </si>
  <si>
    <t>B1</t>
  </si>
  <si>
    <t>C2</t>
  </si>
  <si>
    <t>C1</t>
  </si>
  <si>
    <t>B2</t>
  </si>
  <si>
    <t>A2</t>
  </si>
  <si>
    <t>D1</t>
  </si>
  <si>
    <t>7. koht</t>
  </si>
  <si>
    <t>8. koht</t>
  </si>
  <si>
    <t>9 - 14 koht</t>
  </si>
  <si>
    <t>A3</t>
  </si>
  <si>
    <t>C4</t>
  </si>
  <si>
    <t>B3</t>
  </si>
  <si>
    <t>-</t>
  </si>
  <si>
    <t>C3</t>
  </si>
  <si>
    <t>9. koht</t>
  </si>
  <si>
    <t>D3</t>
  </si>
  <si>
    <t>10. koht</t>
  </si>
  <si>
    <t>B4</t>
  </si>
  <si>
    <t>11. koht</t>
  </si>
  <si>
    <t>12. koht</t>
  </si>
  <si>
    <t>13. koht</t>
  </si>
  <si>
    <t>14. koht</t>
  </si>
  <si>
    <t>Mait Metsla, Vladimir Ogneštšikov</t>
  </si>
  <si>
    <t>Janek Tarto, Johannes Neiland</t>
  </si>
  <si>
    <t>Oleg Rõndenkov, Toomas Tedrekull</t>
  </si>
  <si>
    <t>Rutt Voldek, Urmas Randlaine</t>
  </si>
  <si>
    <t>Heili Vasser, Vello Vasser</t>
  </si>
  <si>
    <t>9 - 13 koht</t>
  </si>
  <si>
    <t>D4</t>
  </si>
  <si>
    <t>Võit</t>
  </si>
  <si>
    <t>punkti</t>
  </si>
  <si>
    <t>Viik</t>
  </si>
  <si>
    <t>Kui mängija nimi on vigane või puudub reitingutabelist, teeb punaseks</t>
  </si>
  <si>
    <t>Kaotus</t>
  </si>
  <si>
    <t>6. voor</t>
  </si>
  <si>
    <t>Buch</t>
  </si>
  <si>
    <t>Suhe</t>
  </si>
  <si>
    <t>Kenneth Muusikus, Tõnis Neiland</t>
  </si>
  <si>
    <t>:</t>
  </si>
  <si>
    <t>Johannes Neiland, Vladimir Ogneštšikov</t>
  </si>
  <si>
    <t>Meelis Luud, Oleg Rõndenkov</t>
  </si>
  <si>
    <t>Einar Juhkam, Illar Tõnurist, Jaan Saar</t>
  </si>
  <si>
    <t>Aigi Orro, Johannes Neiland</t>
  </si>
  <si>
    <t>Ivar Viljaste, Kristo Viljaste</t>
  </si>
  <si>
    <t>Andrei Grintšak, Boriss Klubov</t>
  </si>
  <si>
    <t>Karla Purgats, Kenneth Muusikus</t>
  </si>
  <si>
    <t>Meelis Luud, Urmas Randlaine</t>
  </si>
  <si>
    <t>Mait Metsla, Matti Vinni</t>
  </si>
  <si>
    <t>Ljudmila Varendi, Viktor Švarõgin</t>
  </si>
  <si>
    <t>Klavdia Piik, Vladimir Ogneštšikov</t>
  </si>
  <si>
    <t>Aigi Orro, Svetlana Veski</t>
  </si>
  <si>
    <t>Meelis Luud, Vladimir Ogneštšikov</t>
  </si>
  <si>
    <t>Eve Müüdla, Johannes Neiland</t>
  </si>
  <si>
    <t>Oleg Rõndenkov, Peep Peenema</t>
  </si>
  <si>
    <t>Ivar Viljaste, Matti Vinni</t>
  </si>
  <si>
    <t>Argo Sepp, Jaan Sepp</t>
  </si>
  <si>
    <t>Kenneth Muusikus, Oleg Rõndenkov</t>
  </si>
  <si>
    <t>Karla Purgats, Ülo Piik</t>
  </si>
  <si>
    <t>Johannes Neiland, Klavdia Piik, Meelis Luud</t>
  </si>
  <si>
    <t>Einar Juhkam, Kenneth Muusikus</t>
  </si>
  <si>
    <t>vaba voor</t>
  </si>
  <si>
    <t>Alari Keedus, Ülo Piik</t>
  </si>
  <si>
    <t>Aigi Orro, Kalle Orro</t>
  </si>
  <si>
    <t>Johannes Neiland, Karla Purgats</t>
  </si>
  <si>
    <t>Janek Tarto, Klavdia Piik</t>
  </si>
  <si>
    <t>----</t>
  </si>
  <si>
    <t>omav.</t>
  </si>
  <si>
    <t>Kenneth Muusikus, Urmas Randlaine</t>
  </si>
  <si>
    <t>Andrei Grintšak, Fredi Müür</t>
  </si>
  <si>
    <t>Henri Mitt, Tõnu Piik</t>
  </si>
  <si>
    <t>Aigi Orro, Klavdia Piik</t>
  </si>
  <si>
    <t>Aurelia Meldre</t>
  </si>
  <si>
    <t>1 - 4 koht</t>
  </si>
  <si>
    <t>Henri Mitt, Kenneth Muusikus</t>
  </si>
  <si>
    <t>Janek Tarto, Meelis Luud</t>
  </si>
  <si>
    <t>Klavdia Piik, Melika Lehtla</t>
  </si>
  <si>
    <t>Veroonika Mendes, Ksenija Matšneva</t>
  </si>
  <si>
    <t>Kaspar Mänd, Reimo Lõhmus</t>
  </si>
  <si>
    <t>Aleksander Korikov, Enn Tokman</t>
  </si>
  <si>
    <t>Oksana Rõndenkova, Oleg Rõndenkov, Ülo Piik</t>
  </si>
  <si>
    <t>Andres Veski, Karla Purgats, Svetlana Veski</t>
  </si>
  <si>
    <t>Enn Tokman, Illar Tõnurist, Tarmo Bombe</t>
  </si>
  <si>
    <t>Johannes Neiland, Kaspar Mänd, Reimo Lõhmus, Veroonika Mendes</t>
  </si>
  <si>
    <t>Fredi Müür, Joana Taalberg, Kenneth Muusikus, Peep Peenema</t>
  </si>
  <si>
    <t>Aigi Orro, Elmo Lageda, Tõnu Piik</t>
  </si>
  <si>
    <t>1-6</t>
  </si>
  <si>
    <t>4-6</t>
  </si>
  <si>
    <t>3-6</t>
  </si>
  <si>
    <t>2-6</t>
  </si>
  <si>
    <t>5-6</t>
  </si>
  <si>
    <t>Kenneth Muusikus, Ksenija Matšneva</t>
  </si>
  <si>
    <t>1-1</t>
  </si>
  <si>
    <t>Airi Kruusma, Vladimir Ogneštšikov</t>
  </si>
  <si>
    <t>Henri Mitt, Meelis Luud</t>
  </si>
  <si>
    <t>Einar Juhkam, Johannes Neiland</t>
  </si>
  <si>
    <t>A4</t>
  </si>
  <si>
    <t>Peep Peenema, Ülo Piik</t>
  </si>
  <si>
    <t>Henri Mitt, Matti Vinni</t>
  </si>
  <si>
    <t>Janek Tarto, Kenneth Muusikus</t>
  </si>
  <si>
    <t>Karoliina Sild, Tõnis Neiland</t>
  </si>
  <si>
    <t>Illar Tõnurist, Klavdia Piik</t>
  </si>
  <si>
    <t>Aigi Orro, Andres Veski</t>
  </si>
  <si>
    <t>Ksenija Matšneva, Veroonika Mendes</t>
  </si>
  <si>
    <t>Kenneth Muusikus, Tõnu Piik, Ülo Piik</t>
  </si>
  <si>
    <t>Jaan Sepp, Mait Metsla, Oskar Sepp</t>
  </si>
  <si>
    <t>Ivar Viljaste, Matti Vinni, Peep Peenema</t>
  </si>
  <si>
    <t>Einar Juhkam, Illar Tõnurist, Klavdia Piik, Melika Lehtla</t>
  </si>
  <si>
    <t>Andres Veski, Meelis Luud, Svetlana Veski</t>
  </si>
  <si>
    <t>Argo Sepp, Ljudmila Varendi, Viktor Švarõgin</t>
  </si>
  <si>
    <t>Oksana Rõndenkova, Oleg Rõndenkov, Toomas Tedrekull</t>
  </si>
  <si>
    <t>Johannes Neiland, Kristiin-Marleen Neiland, Ksenija Matšneva, Veroonika Mendes</t>
  </si>
  <si>
    <t>Henri Mitt, Karla Purgats, Lemmit Toomra</t>
  </si>
  <si>
    <t>Aigi Orro, Elmo Lageda, Enn Tokman</t>
  </si>
  <si>
    <t>Janek Tarto, Tõnu Kapper, Vladimir Ogneštšikov</t>
  </si>
  <si>
    <t>Mirjel Jõesaar</t>
  </si>
  <si>
    <t>Anne-Mari Pruuns</t>
  </si>
  <si>
    <t>Kenneth Muusikus, Kristiin-Marleen Neiland</t>
  </si>
  <si>
    <t>9 - 16 koht</t>
  </si>
  <si>
    <t>15. koht</t>
  </si>
  <si>
    <t>16. koht</t>
  </si>
  <si>
    <t>17 - 20 koht</t>
  </si>
  <si>
    <t>17. koht</t>
  </si>
  <si>
    <t>18. koht</t>
  </si>
  <si>
    <t>19. koht</t>
  </si>
  <si>
    <t>20. koht</t>
  </si>
  <si>
    <t>13-14</t>
  </si>
  <si>
    <t>15-16</t>
  </si>
  <si>
    <t>5-8</t>
  </si>
  <si>
    <t>7-8</t>
  </si>
  <si>
    <t>Aigi Orro, Ülo Piik</t>
  </si>
  <si>
    <t>Janek Tarto, Tarmo Bombe</t>
  </si>
  <si>
    <t>Kenneth Muusikus, Peep Peenema</t>
  </si>
  <si>
    <t>Fredi Müür, Kristiin-Marleen Neiland</t>
  </si>
  <si>
    <t>Enn Tokman, Veroonika Mendes</t>
  </si>
  <si>
    <t>Boriss Klubov, Andrei Grintšak</t>
  </si>
  <si>
    <t>Illar Tõnurist, Meelis Luud, Tarmo Bombe</t>
  </si>
  <si>
    <t>Enn Tokman, Karla Purgats</t>
  </si>
  <si>
    <t>Karoliina Sild, Kenneth Muusikus, Tõnis Neiland</t>
  </si>
  <si>
    <t>Janek Tarto, Romek Tarto</t>
  </si>
  <si>
    <t>1 - 7 koht</t>
  </si>
  <si>
    <t>Illar Tõnurist, Henri Mitt</t>
  </si>
  <si>
    <t>Karla Purgats, Meelis Luud</t>
  </si>
  <si>
    <t>Johannes Neiland, Kristiin-Marleen Neiland</t>
  </si>
  <si>
    <t>Tõnu Piik, Ülo Piik</t>
  </si>
  <si>
    <t>Kenneth Muusikus, Peep Peenema, Sandra Laura Nõmmeloo</t>
  </si>
  <si>
    <t>Klavdia Piik, Väino Aul</t>
  </si>
  <si>
    <t>Kristiin-Marleen Neiland, Johannes Neiland</t>
  </si>
  <si>
    <t>Henri Mitt, Ivar Viljaste</t>
  </si>
  <si>
    <t>Argo Sepp, Karla Purgats</t>
  </si>
  <si>
    <t>Kenneth Muusikus, Ülo Piik</t>
  </si>
  <si>
    <t>SHK</t>
  </si>
  <si>
    <t>Skoor</t>
  </si>
  <si>
    <t>DUO 1</t>
  </si>
  <si>
    <t>S DUO</t>
  </si>
  <si>
    <t>Kalle Orro, Mait Metsla</t>
  </si>
  <si>
    <t>DUO 2</t>
  </si>
  <si>
    <t>DUO 3</t>
  </si>
  <si>
    <t>Kaspar Mänd, Kenneth Muusikus, Ülo Piik</t>
  </si>
  <si>
    <t>DUO 4</t>
  </si>
  <si>
    <t>Henri Mitt, Oleg Rõndenkov</t>
  </si>
  <si>
    <t>DUO 5</t>
  </si>
  <si>
    <t>Andrei Grintšak, Karla Purgats</t>
  </si>
  <si>
    <t>Janek Tarto, Sirje Viljaste</t>
  </si>
  <si>
    <t>Andres Veski, Enn Tokman, Peep Peenema</t>
  </si>
  <si>
    <t>Kokku</t>
  </si>
  <si>
    <t>Kenneth Muusikus, Oskar Sepp, Sandra Laura Nõmmeloo</t>
  </si>
  <si>
    <t>Enn Tokman, Johannes Neiland</t>
  </si>
  <si>
    <t>Jaan Sepp, Vladimir Ogneštšikov</t>
  </si>
  <si>
    <t>Henri Mitt, Ülo Piik</t>
  </si>
  <si>
    <t>Mihkel Palk, Uku Kollom</t>
  </si>
  <si>
    <t>Jaan Saar, Klavdia Piik</t>
  </si>
  <si>
    <t>Kevin Sten Liik, Silver Kingissepp</t>
  </si>
  <si>
    <t>Ivar Viljaste, Meelis Luud</t>
  </si>
  <si>
    <t>Kaspar Mänd, Veroonika Mendes</t>
  </si>
  <si>
    <t>7. voor</t>
  </si>
  <si>
    <t>2-7</t>
  </si>
  <si>
    <t>6-4</t>
  </si>
  <si>
    <t>7-3</t>
  </si>
  <si>
    <t>3-1</t>
  </si>
  <si>
    <t>4-7</t>
  </si>
  <si>
    <t>7-5</t>
  </si>
  <si>
    <t>4-2</t>
  </si>
  <si>
    <t>5-1</t>
  </si>
  <si>
    <t>6-7</t>
  </si>
  <si>
    <t>5-3</t>
  </si>
  <si>
    <t>6-2</t>
  </si>
  <si>
    <t>7-1</t>
  </si>
  <si>
    <t>Jaan Sepp, Mait Metsla, Melika Lehtla</t>
  </si>
  <si>
    <t>Jaan Saar, Oskar Sepp, Sandra Laura Nõmmeloo</t>
  </si>
  <si>
    <t>Kenneth Muusikus, Oleg Rõndenkov, Viktor Švarõgin</t>
  </si>
  <si>
    <t>Enn Tokman, Meelis Luud, Urmas Randlaine, Vello Vasser</t>
  </si>
  <si>
    <t>Andres Veski, Karla Purgats, Klavdia Piik</t>
  </si>
  <si>
    <t>Henri Mitt, Svetlana Veski, Tõnu Piik</t>
  </si>
  <si>
    <t>Elmo Lageda, Ljudmila Varendi, Ülo Piik</t>
  </si>
  <si>
    <t>4-3</t>
  </si>
  <si>
    <t>5-2</t>
  </si>
  <si>
    <t>1v</t>
  </si>
  <si>
    <t>3v</t>
  </si>
  <si>
    <t>1-8</t>
  </si>
  <si>
    <t>1-7</t>
  </si>
  <si>
    <t>2-8</t>
  </si>
  <si>
    <t>3-7</t>
  </si>
  <si>
    <t>4-8</t>
  </si>
  <si>
    <t>8-7</t>
  </si>
  <si>
    <t>3-8</t>
  </si>
  <si>
    <t>5-7</t>
  </si>
  <si>
    <t>Esikolmikus</t>
  </si>
  <si>
    <t>Seisuga 18.04.2019</t>
  </si>
  <si>
    <t>E1</t>
  </si>
  <si>
    <t>F2</t>
  </si>
  <si>
    <t>F1</t>
  </si>
  <si>
    <t>E2</t>
  </si>
  <si>
    <t>E3</t>
  </si>
  <si>
    <t>F3</t>
  </si>
  <si>
    <t>21. koht</t>
  </si>
  <si>
    <t>22. koht</t>
  </si>
  <si>
    <t>23. koht</t>
  </si>
  <si>
    <t>nimi</t>
  </si>
  <si>
    <t>Üksiku</t>
  </si>
  <si>
    <t>E4</t>
  </si>
  <si>
    <t>F4</t>
  </si>
  <si>
    <t>plaks (19:00)</t>
  </si>
  <si>
    <t>13 - 23 koht</t>
  </si>
  <si>
    <t>2. KV, ERINEVAD</t>
  </si>
  <si>
    <t>Ida-Virumaa omavalitsuste 2.KV</t>
  </si>
  <si>
    <r>
      <t>ÜKSIK</t>
    </r>
    <r>
      <rPr>
        <sz val="10"/>
        <color theme="1"/>
        <rFont val="Arial"/>
        <family val="2"/>
        <charset val="186"/>
      </rPr>
      <t xml:space="preserve"> </t>
    </r>
    <r>
      <rPr>
        <sz val="8"/>
        <color theme="1"/>
        <rFont val="Arial"/>
        <family val="2"/>
        <charset val="186"/>
      </rPr>
      <t>(10:00 - 18:50 - 32 osal)</t>
    </r>
  </si>
  <si>
    <r>
      <t>TUL</t>
    </r>
    <r>
      <rPr>
        <sz val="10"/>
        <color theme="1"/>
        <rFont val="Arial"/>
        <family val="2"/>
        <charset val="186"/>
      </rPr>
      <t xml:space="preserve"> (</t>
    </r>
    <r>
      <rPr>
        <sz val="8"/>
        <color theme="1"/>
        <rFont val="Arial"/>
        <family val="2"/>
        <charset val="186"/>
      </rPr>
      <t>10:00 - 16:30 - 26 osal)</t>
    </r>
  </si>
  <si>
    <t xml:space="preserve">2. Klubide sari, 3. etapp,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</si>
</sst>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d&quot;, &quot;dd/mm/yyyy"/>
    <numFmt numFmtId="165" formatCode="#&quot; €&quot;"/>
    <numFmt numFmtId="166" formatCode="#,##0\ &quot;€&quot;"/>
    <numFmt numFmtId="167" formatCode="0;\-0;;@"/>
    <numFmt numFmtId="168" formatCode="##&quot;.&quot;"/>
    <numFmt numFmtId="169" formatCode="\+0;\-0;0"/>
  </numFmts>
  <fonts count="67" x14ac:knownFonts="1">
    <font>
      <sz val="10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11"/>
      <color indexed="8"/>
      <name val="Calibri"/>
      <family val="2"/>
      <charset val="186"/>
    </font>
    <font>
      <sz val="10"/>
      <color indexed="8"/>
      <name val="Times New Roman"/>
      <family val="1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sz val="8"/>
      <color indexed="8"/>
      <name val="Arial Narrow"/>
      <family val="2"/>
      <charset val="186"/>
    </font>
    <font>
      <u/>
      <sz val="10"/>
      <color theme="10"/>
      <name val="Times New Roman"/>
      <family val="1"/>
      <charset val="186"/>
    </font>
    <font>
      <u/>
      <sz val="11"/>
      <color theme="10"/>
      <name val="Calibri"/>
      <family val="2"/>
      <charset val="186"/>
      <scheme val="minor"/>
    </font>
    <font>
      <sz val="10"/>
      <color rgb="FF000000"/>
      <name val="Times New Roman"/>
      <family val="1"/>
      <charset val="186"/>
    </font>
    <font>
      <sz val="10"/>
      <color rgb="FF00000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0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0"/>
      <color theme="1"/>
      <name val="Arial"/>
      <family val="2"/>
      <charset val="186"/>
    </font>
    <font>
      <sz val="10"/>
      <color theme="0"/>
      <name val="Arial"/>
      <family val="2"/>
      <charset val="186"/>
    </font>
    <font>
      <b/>
      <sz val="10"/>
      <color rgb="FF0070C0"/>
      <name val="Arial"/>
      <family val="2"/>
      <charset val="186"/>
    </font>
    <font>
      <b/>
      <sz val="10"/>
      <name val="Arial"/>
      <family val="2"/>
      <charset val="186"/>
    </font>
    <font>
      <sz val="10"/>
      <color indexed="8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0"/>
      <color indexed="8"/>
      <name val="Arial"/>
      <family val="2"/>
      <charset val="186"/>
    </font>
    <font>
      <u/>
      <sz val="10"/>
      <color theme="1"/>
      <name val="Arial"/>
      <family val="2"/>
      <charset val="186"/>
    </font>
    <font>
      <sz val="9"/>
      <color theme="1"/>
      <name val="Arial"/>
      <family val="2"/>
      <charset val="186"/>
    </font>
    <font>
      <u/>
      <sz val="10"/>
      <color theme="0" tint="-0.499984740745262"/>
      <name val="Arial"/>
      <family val="2"/>
      <charset val="186"/>
    </font>
    <font>
      <sz val="10"/>
      <color rgb="FF0000FF"/>
      <name val="Arial"/>
      <family val="2"/>
      <charset val="186"/>
    </font>
    <font>
      <sz val="10"/>
      <color theme="0" tint="-0.499984740745262"/>
      <name val="Arial"/>
      <family val="2"/>
      <charset val="186"/>
    </font>
    <font>
      <b/>
      <sz val="10"/>
      <color rgb="FFFF0000"/>
      <name val="Arial"/>
      <family val="2"/>
      <charset val="186"/>
    </font>
    <font>
      <sz val="10"/>
      <color theme="10"/>
      <name val="Arial"/>
      <family val="2"/>
      <charset val="186"/>
    </font>
    <font>
      <sz val="10"/>
      <color rgb="FF00FFCC"/>
      <name val="Arial"/>
      <family val="2"/>
      <charset val="186"/>
    </font>
    <font>
      <u/>
      <sz val="10"/>
      <color theme="0"/>
      <name val="Arial"/>
      <family val="2"/>
      <charset val="186"/>
    </font>
    <font>
      <sz val="10"/>
      <color rgb="FF0070C0"/>
      <name val="Arial"/>
      <family val="2"/>
      <charset val="186"/>
    </font>
    <font>
      <b/>
      <sz val="8"/>
      <color indexed="81"/>
      <name val="Tahoma"/>
      <family val="2"/>
      <charset val="186"/>
    </font>
    <font>
      <i/>
      <u/>
      <sz val="10"/>
      <color theme="8" tint="0.39997558519241921"/>
      <name val="Arial"/>
      <family val="2"/>
      <charset val="186"/>
    </font>
    <font>
      <i/>
      <sz val="10"/>
      <color theme="8" tint="0.39997558519241921"/>
      <name val="Arial"/>
      <family val="2"/>
      <charset val="186"/>
    </font>
    <font>
      <b/>
      <u/>
      <sz val="10"/>
      <color theme="1"/>
      <name val="Arial"/>
      <family val="2"/>
      <charset val="186"/>
    </font>
    <font>
      <sz val="10"/>
      <color theme="8" tint="0.39997558519241921"/>
      <name val="Arial"/>
      <family val="2"/>
      <charset val="186"/>
    </font>
    <font>
      <i/>
      <sz val="10"/>
      <color theme="8" tint="-0.249977111117893"/>
      <name val="Arial"/>
      <family val="2"/>
      <charset val="186"/>
    </font>
    <font>
      <sz val="10"/>
      <color theme="8" tint="0.79998168889431442"/>
      <name val="Arial"/>
      <family val="2"/>
      <charset val="186"/>
    </font>
    <font>
      <i/>
      <sz val="10"/>
      <color theme="1"/>
      <name val="Arial"/>
      <family val="2"/>
      <charset val="186"/>
    </font>
    <font>
      <sz val="10"/>
      <color theme="5" tint="0.39997558519241921"/>
      <name val="Arial"/>
      <family val="2"/>
      <charset val="186"/>
    </font>
    <font>
      <b/>
      <sz val="10"/>
      <color indexed="9"/>
      <name val="Arial"/>
      <family val="2"/>
      <charset val="186"/>
    </font>
    <font>
      <sz val="10"/>
      <color theme="4" tint="0.39997558519241921"/>
      <name val="Arial"/>
      <family val="2"/>
      <charset val="186"/>
    </font>
    <font>
      <sz val="9"/>
      <color theme="0" tint="-0.249977111117893"/>
      <name val="Arial"/>
      <family val="2"/>
      <charset val="186"/>
    </font>
    <font>
      <sz val="8"/>
      <color theme="5" tint="0.39997558519241921"/>
      <name val="Arial"/>
      <family val="2"/>
      <charset val="186"/>
    </font>
    <font>
      <sz val="10"/>
      <color indexed="10"/>
      <name val="Arial"/>
      <family val="2"/>
      <charset val="186"/>
    </font>
    <font>
      <b/>
      <sz val="10"/>
      <color theme="1"/>
      <name val="Calibri"/>
      <family val="2"/>
      <charset val="186"/>
      <scheme val="minor"/>
    </font>
    <font>
      <b/>
      <sz val="11"/>
      <color theme="1"/>
      <name val="Arial"/>
      <family val="2"/>
      <charset val="186"/>
    </font>
    <font>
      <sz val="10"/>
      <color rgb="FFCC0000"/>
      <name val="Arial"/>
      <family val="2"/>
      <charset val="186"/>
    </font>
    <font>
      <sz val="10"/>
      <color rgb="FF00B0F0"/>
      <name val="Arial"/>
      <family val="2"/>
      <charset val="186"/>
    </font>
    <font>
      <b/>
      <sz val="9"/>
      <color theme="1"/>
      <name val="Arial"/>
      <family val="2"/>
      <charset val="186"/>
    </font>
    <font>
      <b/>
      <sz val="9"/>
      <color rgb="FFCC0000"/>
      <name val="Arial"/>
      <family val="2"/>
      <charset val="186"/>
    </font>
    <font>
      <b/>
      <sz val="10"/>
      <color theme="0" tint="-0.34998626667073579"/>
      <name val="Arial"/>
      <family val="2"/>
      <charset val="186"/>
    </font>
    <font>
      <b/>
      <sz val="8"/>
      <color rgb="FF0070C0"/>
      <name val="Arial"/>
      <family val="2"/>
      <charset val="186"/>
    </font>
    <font>
      <sz val="10"/>
      <color theme="0" tint="-0.34998626667073579"/>
      <name val="Arial"/>
      <family val="2"/>
      <charset val="186"/>
    </font>
    <font>
      <b/>
      <sz val="8"/>
      <color theme="2" tint="-0.499984740745262"/>
      <name val="Arial"/>
      <family val="2"/>
      <charset val="186"/>
    </font>
    <font>
      <b/>
      <sz val="10"/>
      <color rgb="FF00B0F0"/>
      <name val="Arial"/>
      <family val="2"/>
      <charset val="186"/>
    </font>
    <font>
      <b/>
      <sz val="10"/>
      <color rgb="FFCC0066"/>
      <name val="Arial"/>
      <family val="2"/>
      <charset val="186"/>
    </font>
    <font>
      <b/>
      <sz val="10"/>
      <color rgb="FF00B050"/>
      <name val="Arial"/>
      <family val="2"/>
      <charset val="186"/>
    </font>
    <font>
      <b/>
      <sz val="10"/>
      <color rgb="FFCC0000"/>
      <name val="Arial"/>
      <family val="2"/>
      <charset val="186"/>
    </font>
    <font>
      <b/>
      <sz val="10"/>
      <color theme="2" tint="-0.499984740745262"/>
      <name val="Arial"/>
      <family val="2"/>
      <charset val="186"/>
    </font>
    <font>
      <b/>
      <sz val="10"/>
      <color theme="0" tint="-0.249977111117893"/>
      <name val="Arial"/>
      <family val="2"/>
      <charset val="186"/>
    </font>
    <font>
      <sz val="10"/>
      <color theme="0" tint="-0.14999847407452621"/>
      <name val="Arial"/>
      <family val="2"/>
      <charset val="186"/>
    </font>
    <font>
      <b/>
      <sz val="10"/>
      <color theme="0" tint="-0.14999847407452621"/>
      <name val="Arial"/>
      <family val="2"/>
      <charset val="186"/>
    </font>
    <font>
      <sz val="8"/>
      <color indexed="81"/>
      <name val="Tahoma"/>
      <family val="2"/>
      <charset val="186"/>
    </font>
    <font>
      <sz val="8"/>
      <color theme="1"/>
      <name val="Arial"/>
      <family val="2"/>
      <charset val="186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9999"/>
        <bgColor indexed="64"/>
      </patternFill>
    </fill>
  </fills>
  <borders count="1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8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auto="1"/>
      </top>
      <bottom/>
      <diagonal/>
    </border>
    <border>
      <left style="medium">
        <color theme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theme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theme="1"/>
      </left>
      <right/>
      <top/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thin">
        <color theme="0" tint="-0.24994659260841701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thin">
        <color theme="0" tint="-0.24994659260841701"/>
      </left>
      <right style="thick">
        <color indexed="8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8"/>
      </right>
      <top style="medium">
        <color auto="1"/>
      </top>
      <bottom style="thin">
        <color theme="0" tint="-0.24994659260841701"/>
      </bottom>
      <diagonal/>
    </border>
    <border>
      <left style="medium">
        <color theme="1"/>
      </left>
      <right/>
      <top style="medium">
        <color auto="1"/>
      </top>
      <bottom/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thin">
        <color theme="0" tint="-0.24994659260841701"/>
      </bottom>
      <diagonal/>
    </border>
    <border>
      <left style="medium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theme="1"/>
      </left>
      <right/>
      <top style="dashDot">
        <color theme="1"/>
      </top>
      <bottom/>
      <diagonal/>
    </border>
    <border>
      <left/>
      <right style="medium">
        <color auto="1"/>
      </right>
      <top style="dashDot">
        <color auto="1"/>
      </top>
      <bottom/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 style="medium">
        <color theme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indexed="8"/>
      </left>
      <right/>
      <top/>
      <bottom style="thick">
        <color auto="1"/>
      </bottom>
      <diagonal/>
    </border>
    <border>
      <left/>
      <right style="thick">
        <color indexed="8"/>
      </right>
      <top/>
      <bottom style="thick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0" tint="-0.24994659260841701"/>
      </left>
      <right style="medium">
        <color indexed="8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thin">
        <color theme="0" tint="-0.24994659260841701"/>
      </left>
      <right style="medium">
        <color indexed="8"/>
      </right>
      <top style="medium">
        <color indexed="8"/>
      </top>
      <bottom style="thin">
        <color theme="0" tint="-0.24994659260841701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theme="0" tint="-0.24994659260841701"/>
      </left>
      <right style="medium">
        <color indexed="64"/>
      </right>
      <top style="medium">
        <color indexed="8"/>
      </top>
      <bottom style="thin">
        <color theme="0" tint="-0.24994659260841701"/>
      </bottom>
      <diagonal/>
    </border>
    <border>
      <left style="medium">
        <color indexed="8"/>
      </left>
      <right/>
      <top/>
      <bottom style="dashDot">
        <color indexed="8"/>
      </bottom>
      <diagonal/>
    </border>
    <border>
      <left/>
      <right style="medium">
        <color indexed="8"/>
      </right>
      <top/>
      <bottom style="medium">
        <color auto="1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8"/>
      </right>
      <top/>
      <bottom style="dashDot">
        <color indexed="8"/>
      </bottom>
      <diagonal/>
    </border>
    <border>
      <left style="medium">
        <color indexed="8"/>
      </left>
      <right/>
      <top style="dashDot">
        <color indexed="8"/>
      </top>
      <bottom/>
      <diagonal/>
    </border>
    <border>
      <left/>
      <right/>
      <top style="dashDot">
        <color indexed="8"/>
      </top>
      <bottom/>
      <diagonal/>
    </border>
    <border>
      <left style="medium">
        <color auto="1"/>
      </left>
      <right/>
      <top/>
      <bottom style="dashDot">
        <color auto="1"/>
      </bottom>
      <diagonal/>
    </border>
    <border>
      <left/>
      <right style="medium">
        <color auto="1"/>
      </right>
      <top/>
      <bottom style="dashDot">
        <color auto="1"/>
      </bottom>
      <diagonal/>
    </border>
    <border>
      <left/>
      <right/>
      <top style="dashDot">
        <color auto="1"/>
      </top>
      <bottom/>
      <diagonal/>
    </border>
    <border>
      <left style="thin">
        <color theme="0" tint="-0.24994659260841701"/>
      </left>
      <right/>
      <top style="medium">
        <color indexed="8"/>
      </top>
      <bottom style="thin">
        <color theme="0" tint="-0.24994659260841701"/>
      </bottom>
      <diagonal/>
    </border>
    <border>
      <left/>
      <right style="thick">
        <color indexed="8"/>
      </right>
      <top/>
      <bottom style="dashDot">
        <color indexed="8"/>
      </bottom>
      <diagonal/>
    </border>
    <border>
      <left/>
      <right/>
      <top/>
      <bottom style="dashDot">
        <color indexed="8"/>
      </bottom>
      <diagonal/>
    </border>
    <border>
      <left style="medium">
        <color indexed="8"/>
      </left>
      <right/>
      <top style="dashDot">
        <color indexed="8"/>
      </top>
      <bottom style="thin">
        <color theme="8" tint="0.39994506668294322"/>
      </bottom>
      <diagonal/>
    </border>
    <border>
      <left/>
      <right/>
      <top style="dashDot">
        <color indexed="8"/>
      </top>
      <bottom style="thin">
        <color theme="8" tint="0.39994506668294322"/>
      </bottom>
      <diagonal/>
    </border>
    <border>
      <left/>
      <right style="medium">
        <color rgb="FF000000"/>
      </right>
      <top style="dashDot">
        <color indexed="8"/>
      </top>
      <bottom style="thin">
        <color theme="8" tint="0.39994506668294322"/>
      </bottom>
      <diagonal/>
    </border>
    <border>
      <left style="medium">
        <color indexed="8"/>
      </left>
      <right/>
      <top/>
      <bottom style="thick">
        <color indexed="8"/>
      </bottom>
      <diagonal/>
    </border>
    <border>
      <left/>
      <right style="medium">
        <color indexed="8"/>
      </right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theme="8" tint="0.39994506668294322"/>
      </top>
      <bottom style="thick">
        <color auto="1"/>
      </bottom>
      <diagonal/>
    </border>
    <border>
      <left/>
      <right/>
      <top style="thin">
        <color theme="8" tint="0.39994506668294322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8"/>
      </left>
      <right/>
      <top style="thick">
        <color indexed="8"/>
      </top>
      <bottom/>
      <diagonal/>
    </border>
    <border>
      <left style="thin">
        <color theme="0" tint="-0.24994659260841701"/>
      </left>
      <right style="medium">
        <color indexed="8"/>
      </right>
      <top style="thick">
        <color indexed="8"/>
      </top>
      <bottom style="thin">
        <color theme="0" tint="-0.24994659260841701"/>
      </bottom>
      <diagonal/>
    </border>
    <border>
      <left/>
      <right/>
      <top style="thick">
        <color indexed="8"/>
      </top>
      <bottom/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auto="1"/>
      </right>
      <top/>
      <bottom style="dashDot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dashDot">
        <color auto="1"/>
      </bottom>
      <diagonal/>
    </border>
    <border>
      <left/>
      <right/>
      <top/>
      <bottom style="medium">
        <color indexed="8"/>
      </bottom>
      <diagonal/>
    </border>
    <border>
      <left style="thin">
        <color theme="0" tint="-0.24994659260841701"/>
      </left>
      <right style="thick">
        <color indexed="8"/>
      </right>
      <top style="medium">
        <color indexed="8"/>
      </top>
      <bottom style="thin">
        <color theme="0" tint="-0.24994659260841701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dashDot">
        <color auto="1"/>
      </bottom>
      <diagonal/>
    </border>
    <border>
      <left/>
      <right style="medium">
        <color indexed="8"/>
      </right>
      <top style="dashDot">
        <color auto="1"/>
      </top>
      <bottom/>
      <diagonal/>
    </border>
    <border>
      <left style="thin">
        <color theme="0" tint="-0.24994659260841701"/>
      </left>
      <right style="medium">
        <color auto="1"/>
      </right>
      <top style="medium">
        <color indexed="8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medium">
        <color indexed="8"/>
      </right>
      <top style="thin">
        <color theme="0" tint="-0.24994659260841701"/>
      </top>
      <bottom/>
      <diagonal/>
    </border>
    <border>
      <left/>
      <right style="medium">
        <color indexed="8"/>
      </right>
      <top style="dashDot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theme="0" tint="-0.24994659260841701"/>
      </bottom>
      <diagonal/>
    </border>
    <border>
      <left style="medium">
        <color indexed="8"/>
      </left>
      <right style="thin">
        <color theme="0" tint="-0.24994659260841701"/>
      </right>
      <top style="medium">
        <color indexed="8"/>
      </top>
      <bottom/>
      <diagonal/>
    </border>
    <border>
      <left style="medium">
        <color auto="1"/>
      </left>
      <right/>
      <top style="dashDot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theme="0" tint="-0.499984740745262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theme="1"/>
      </right>
      <top/>
      <bottom style="thick">
        <color theme="1"/>
      </bottom>
      <diagonal/>
    </border>
  </borders>
  <cellStyleXfs count="34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10" fillId="0" borderId="0"/>
    <xf numFmtId="0" fontId="3" fillId="0" borderId="0"/>
    <xf numFmtId="0" fontId="5" fillId="0" borderId="0"/>
    <xf numFmtId="0" fontId="3" fillId="0" borderId="0"/>
    <xf numFmtId="0" fontId="11" fillId="0" borderId="0"/>
    <xf numFmtId="0" fontId="2" fillId="0" borderId="0"/>
    <xf numFmtId="0" fontId="4" fillId="0" borderId="0"/>
    <xf numFmtId="0" fontId="1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4" fillId="0" borderId="0"/>
    <xf numFmtId="0" fontId="11" fillId="0" borderId="0"/>
    <xf numFmtId="0" fontId="1" fillId="0" borderId="0"/>
    <xf numFmtId="49" fontId="6" fillId="2" borderId="0" applyBorder="0" applyProtection="0">
      <alignment horizontal="left" vertical="top" wrapText="1"/>
    </xf>
    <xf numFmtId="0" fontId="3" fillId="0" borderId="0"/>
    <xf numFmtId="0" fontId="21" fillId="0" borderId="0" applyNumberFormat="0" applyFill="0" applyBorder="0" applyAlignment="0" applyProtection="0"/>
  </cellStyleXfs>
  <cellXfs count="1260"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0" fillId="0" borderId="1" xfId="0" applyBorder="1"/>
    <xf numFmtId="0" fontId="0" fillId="3" borderId="0" xfId="0" applyFill="1"/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8" fillId="0" borderId="0" xfId="5" applyNumberFormat="1" applyFont="1" applyFill="1" applyBorder="1" applyAlignment="1">
      <alignment horizontal="left"/>
    </xf>
    <xf numFmtId="20" fontId="19" fillId="0" borderId="0" xfId="5" applyNumberFormat="1" applyFont="1" applyFill="1" applyBorder="1" applyAlignment="1">
      <alignment horizontal="left"/>
    </xf>
    <xf numFmtId="0" fontId="20" fillId="0" borderId="0" xfId="21" applyFont="1" applyFill="1"/>
    <xf numFmtId="0" fontId="20" fillId="0" borderId="0" xfId="21" applyFont="1" applyFill="1" applyAlignment="1">
      <alignment horizontal="center"/>
    </xf>
    <xf numFmtId="0" fontId="20" fillId="0" borderId="0" xfId="21" applyFont="1" applyAlignment="1"/>
    <xf numFmtId="0" fontId="21" fillId="0" borderId="0" xfId="33" applyFill="1" applyAlignment="1">
      <alignment vertical="top"/>
    </xf>
    <xf numFmtId="165" fontId="20" fillId="0" borderId="0" xfId="21" applyNumberFormat="1" applyFont="1" applyAlignment="1">
      <alignment horizontal="right"/>
    </xf>
    <xf numFmtId="0" fontId="20" fillId="0" borderId="0" xfId="21" applyFont="1"/>
    <xf numFmtId="164" fontId="22" fillId="0" borderId="0" xfId="21" applyNumberFormat="1" applyFont="1" applyFill="1" applyAlignment="1">
      <alignment horizontal="left"/>
    </xf>
    <xf numFmtId="20" fontId="22" fillId="0" borderId="0" xfId="21" applyNumberFormat="1" applyFont="1" applyFill="1" applyAlignment="1">
      <alignment horizontal="left"/>
    </xf>
    <xf numFmtId="0" fontId="20" fillId="0" borderId="0" xfId="21" applyFont="1" applyFill="1" applyAlignment="1"/>
    <xf numFmtId="165" fontId="20" fillId="0" borderId="0" xfId="21" applyNumberFormat="1" applyFont="1" applyFill="1" applyAlignment="1">
      <alignment horizontal="right"/>
    </xf>
    <xf numFmtId="164" fontId="16" fillId="4" borderId="2" xfId="21" applyNumberFormat="1" applyFont="1" applyFill="1" applyBorder="1" applyAlignment="1">
      <alignment horizontal="left" wrapText="1"/>
    </xf>
    <xf numFmtId="20" fontId="16" fillId="4" borderId="2" xfId="21" applyNumberFormat="1" applyFont="1" applyFill="1" applyBorder="1" applyAlignment="1">
      <alignment horizontal="left"/>
    </xf>
    <xf numFmtId="0" fontId="16" fillId="4" borderId="2" xfId="21" applyFont="1" applyFill="1" applyBorder="1"/>
    <xf numFmtId="0" fontId="16" fillId="4" borderId="2" xfId="21" applyFont="1" applyFill="1" applyBorder="1" applyAlignment="1">
      <alignment horizontal="left"/>
    </xf>
    <xf numFmtId="0" fontId="22" fillId="4" borderId="2" xfId="21" applyFont="1" applyFill="1" applyBorder="1" applyAlignment="1"/>
    <xf numFmtId="0" fontId="16" fillId="4" borderId="2" xfId="21" applyFont="1" applyFill="1" applyBorder="1" applyAlignment="1"/>
    <xf numFmtId="165" fontId="16" fillId="4" borderId="2" xfId="21" applyNumberFormat="1" applyFont="1" applyFill="1" applyBorder="1" applyAlignment="1"/>
    <xf numFmtId="0" fontId="16" fillId="4" borderId="0" xfId="21" quotePrefix="1" applyNumberFormat="1" applyFont="1" applyFill="1" applyAlignment="1">
      <alignment horizontal="left" vertical="center"/>
    </xf>
    <xf numFmtId="20" fontId="16" fillId="4" borderId="0" xfId="21" applyNumberFormat="1" applyFont="1" applyFill="1" applyAlignment="1">
      <alignment horizontal="left" vertical="center"/>
    </xf>
    <xf numFmtId="0" fontId="1" fillId="0" borderId="0" xfId="21" applyFont="1" applyFill="1" applyAlignment="1">
      <alignment vertical="center"/>
    </xf>
    <xf numFmtId="0" fontId="20" fillId="0" borderId="0" xfId="21" applyFont="1" applyFill="1" applyAlignment="1">
      <alignment vertical="center"/>
    </xf>
    <xf numFmtId="0" fontId="1" fillId="0" borderId="0" xfId="21" applyFont="1" applyFill="1" applyAlignment="1"/>
    <xf numFmtId="165" fontId="1" fillId="0" borderId="0" xfId="21" applyNumberFormat="1" applyFont="1" applyFill="1" applyAlignment="1">
      <alignment horizontal="right" vertical="center"/>
    </xf>
    <xf numFmtId="0" fontId="16" fillId="0" borderId="0" xfId="21" applyFont="1" applyFill="1" applyAlignment="1">
      <alignment vertical="center"/>
    </xf>
    <xf numFmtId="0" fontId="1" fillId="5" borderId="2" xfId="21" applyNumberFormat="1" applyFont="1" applyFill="1" applyBorder="1" applyAlignment="1">
      <alignment horizontal="left"/>
    </xf>
    <xf numFmtId="49" fontId="1" fillId="5" borderId="2" xfId="5" applyNumberFormat="1" applyFont="1" applyFill="1" applyBorder="1"/>
    <xf numFmtId="0" fontId="1" fillId="5" borderId="2" xfId="21" applyFont="1" applyFill="1" applyBorder="1"/>
    <xf numFmtId="0" fontId="1" fillId="5" borderId="2" xfId="21" applyFont="1" applyFill="1" applyBorder="1" applyAlignment="1"/>
    <xf numFmtId="0" fontId="21" fillId="5" borderId="2" xfId="33" applyFill="1" applyBorder="1"/>
    <xf numFmtId="0" fontId="23" fillId="5" borderId="2" xfId="33" applyFont="1" applyFill="1" applyBorder="1" applyAlignment="1"/>
    <xf numFmtId="0" fontId="1" fillId="5" borderId="2" xfId="6" applyFont="1" applyFill="1" applyBorder="1" applyAlignment="1">
      <alignment horizontal="left"/>
    </xf>
    <xf numFmtId="166" fontId="1" fillId="5" borderId="2" xfId="21" applyNumberFormat="1" applyFont="1" applyFill="1" applyBorder="1" applyAlignment="1">
      <alignment horizontal="center"/>
    </xf>
    <xf numFmtId="167" fontId="1" fillId="5" borderId="2" xfId="21" applyNumberFormat="1" applyFont="1" applyFill="1" applyBorder="1" applyAlignment="1">
      <alignment horizontal="center"/>
    </xf>
    <xf numFmtId="49" fontId="24" fillId="5" borderId="2" xfId="5" applyNumberFormat="1" applyFont="1" applyFill="1" applyBorder="1" applyAlignment="1">
      <alignment horizontal="right"/>
    </xf>
    <xf numFmtId="0" fontId="25" fillId="5" borderId="2" xfId="33" applyFont="1" applyFill="1" applyBorder="1"/>
    <xf numFmtId="0" fontId="1" fillId="0" borderId="2" xfId="21" applyNumberFormat="1" applyFont="1" applyFill="1" applyBorder="1" applyAlignment="1">
      <alignment horizontal="left"/>
    </xf>
    <xf numFmtId="49" fontId="1" fillId="0" borderId="2" xfId="5" applyNumberFormat="1" applyFont="1" applyFill="1" applyBorder="1"/>
    <xf numFmtId="0" fontId="1" fillId="0" borderId="2" xfId="21" applyFont="1" applyFill="1" applyBorder="1"/>
    <xf numFmtId="0" fontId="1" fillId="0" borderId="2" xfId="21" applyFont="1" applyFill="1" applyBorder="1" applyAlignment="1"/>
    <xf numFmtId="0" fontId="25" fillId="0" borderId="2" xfId="33" applyFont="1" applyFill="1" applyBorder="1"/>
    <xf numFmtId="0" fontId="23" fillId="0" borderId="2" xfId="33" applyFont="1" applyFill="1" applyBorder="1" applyAlignment="1"/>
    <xf numFmtId="0" fontId="1" fillId="0" borderId="2" xfId="6" applyFont="1" applyFill="1" applyBorder="1" applyAlignment="1">
      <alignment horizontal="left"/>
    </xf>
    <xf numFmtId="166" fontId="1" fillId="0" borderId="2" xfId="21" applyNumberFormat="1" applyFont="1" applyFill="1" applyBorder="1" applyAlignment="1"/>
    <xf numFmtId="167" fontId="1" fillId="0" borderId="2" xfId="21" applyNumberFormat="1" applyFont="1" applyFill="1" applyBorder="1" applyAlignment="1">
      <alignment horizontal="center"/>
    </xf>
    <xf numFmtId="0" fontId="21" fillId="0" borderId="2" xfId="33" applyFill="1" applyBorder="1" applyAlignment="1">
      <alignment horizontal="center"/>
    </xf>
    <xf numFmtId="166" fontId="1" fillId="0" borderId="2" xfId="21" applyNumberFormat="1" applyFont="1" applyFill="1" applyBorder="1" applyAlignment="1">
      <alignment horizontal="center"/>
    </xf>
    <xf numFmtId="20" fontId="1" fillId="4" borderId="0" xfId="21" applyNumberFormat="1" applyFont="1" applyFill="1" applyAlignment="1">
      <alignment horizontal="left" vertical="center"/>
    </xf>
    <xf numFmtId="0" fontId="26" fillId="0" borderId="0" xfId="21" applyFont="1" applyFill="1" applyAlignment="1">
      <alignment vertical="center"/>
    </xf>
    <xf numFmtId="165" fontId="1" fillId="0" borderId="0" xfId="21" applyNumberFormat="1" applyFont="1" applyFill="1" applyAlignment="1">
      <alignment horizontal="center" vertical="center"/>
    </xf>
    <xf numFmtId="167" fontId="1" fillId="0" borderId="0" xfId="21" applyNumberFormat="1" applyFont="1" applyFill="1" applyAlignment="1">
      <alignment horizontal="center" vertical="center"/>
    </xf>
    <xf numFmtId="0" fontId="1" fillId="3" borderId="2" xfId="21" applyNumberFormat="1" applyFont="1" applyFill="1" applyBorder="1" applyAlignment="1">
      <alignment horizontal="left"/>
    </xf>
    <xf numFmtId="49" fontId="1" fillId="3" borderId="2" xfId="5" applyNumberFormat="1" applyFont="1" applyFill="1" applyBorder="1"/>
    <xf numFmtId="0" fontId="23" fillId="3" borderId="2" xfId="33" applyFont="1" applyFill="1" applyBorder="1"/>
    <xf numFmtId="0" fontId="1" fillId="3" borderId="2" xfId="21" applyFont="1" applyFill="1" applyBorder="1" applyAlignment="1"/>
    <xf numFmtId="0" fontId="21" fillId="3" borderId="2" xfId="33" applyFont="1" applyFill="1" applyBorder="1"/>
    <xf numFmtId="0" fontId="1" fillId="3" borderId="2" xfId="33" applyFont="1" applyFill="1" applyBorder="1" applyAlignment="1"/>
    <xf numFmtId="165" fontId="1" fillId="3" borderId="2" xfId="21" applyNumberFormat="1" applyFont="1" applyFill="1" applyBorder="1" applyAlignment="1">
      <alignment horizontal="center"/>
    </xf>
    <xf numFmtId="167" fontId="1" fillId="3" borderId="2" xfId="21" applyNumberFormat="1" applyFont="1" applyFill="1" applyBorder="1" applyAlignment="1">
      <alignment horizontal="center"/>
    </xf>
    <xf numFmtId="0" fontId="23" fillId="3" borderId="2" xfId="33" applyFont="1" applyFill="1" applyBorder="1" applyAlignment="1"/>
    <xf numFmtId="0" fontId="1" fillId="6" borderId="2" xfId="21" applyNumberFormat="1" applyFont="1" applyFill="1" applyBorder="1" applyAlignment="1">
      <alignment horizontal="left"/>
    </xf>
    <xf numFmtId="49" fontId="1" fillId="6" borderId="2" xfId="5" applyNumberFormat="1" applyFont="1" applyFill="1" applyBorder="1"/>
    <xf numFmtId="0" fontId="1" fillId="6" borderId="2" xfId="21" applyFont="1" applyFill="1" applyBorder="1"/>
    <xf numFmtId="0" fontId="1" fillId="6" borderId="2" xfId="21" applyFont="1" applyFill="1" applyBorder="1" applyAlignment="1"/>
    <xf numFmtId="0" fontId="21" fillId="6" borderId="2" xfId="33" applyFill="1" applyBorder="1"/>
    <xf numFmtId="0" fontId="23" fillId="6" borderId="2" xfId="33" applyFont="1" applyFill="1" applyBorder="1" applyAlignment="1"/>
    <xf numFmtId="0" fontId="1" fillId="6" borderId="2" xfId="6" applyFont="1" applyFill="1" applyBorder="1" applyAlignment="1">
      <alignment horizontal="left"/>
    </xf>
    <xf numFmtId="166" fontId="1" fillId="6" borderId="2" xfId="21" applyNumberFormat="1" applyFont="1" applyFill="1" applyBorder="1" applyAlignment="1">
      <alignment horizontal="center"/>
    </xf>
    <xf numFmtId="167" fontId="1" fillId="6" borderId="2" xfId="21" applyNumberFormat="1" applyFont="1" applyFill="1" applyBorder="1" applyAlignment="1">
      <alignment horizontal="center"/>
    </xf>
    <xf numFmtId="0" fontId="1" fillId="7" borderId="2" xfId="21" applyNumberFormat="1" applyFont="1" applyFill="1" applyBorder="1" applyAlignment="1">
      <alignment horizontal="left"/>
    </xf>
    <xf numFmtId="49" fontId="1" fillId="7" borderId="2" xfId="5" applyNumberFormat="1" applyFont="1" applyFill="1" applyBorder="1"/>
    <xf numFmtId="0" fontId="0" fillId="7" borderId="2" xfId="21" applyFont="1" applyFill="1" applyBorder="1"/>
    <xf numFmtId="0" fontId="1" fillId="7" borderId="2" xfId="21" applyFont="1" applyFill="1" applyBorder="1" applyAlignment="1"/>
    <xf numFmtId="0" fontId="21" fillId="7" borderId="2" xfId="33" applyFill="1" applyBorder="1"/>
    <xf numFmtId="0" fontId="23" fillId="7" borderId="2" xfId="33" applyFont="1" applyFill="1" applyBorder="1" applyAlignment="1"/>
    <xf numFmtId="0" fontId="1" fillId="7" borderId="2" xfId="6" applyFont="1" applyFill="1" applyBorder="1" applyAlignment="1">
      <alignment horizontal="left"/>
    </xf>
    <xf numFmtId="166" fontId="1" fillId="7" borderId="2" xfId="21" applyNumberFormat="1" applyFont="1" applyFill="1" applyBorder="1" applyAlignment="1">
      <alignment horizontal="center"/>
    </xf>
    <xf numFmtId="167" fontId="1" fillId="7" borderId="2" xfId="21" applyNumberFormat="1" applyFont="1" applyFill="1" applyBorder="1" applyAlignment="1">
      <alignment horizontal="center"/>
    </xf>
    <xf numFmtId="0" fontId="1" fillId="5" borderId="3" xfId="21" applyNumberFormat="1" applyFont="1" applyFill="1" applyBorder="1" applyAlignment="1">
      <alignment horizontal="left"/>
    </xf>
    <xf numFmtId="49" fontId="1" fillId="5" borderId="3" xfId="5" applyNumberFormat="1" applyFont="1" applyFill="1" applyBorder="1"/>
    <xf numFmtId="0" fontId="1" fillId="5" borderId="3" xfId="21" applyFont="1" applyFill="1" applyBorder="1"/>
    <xf numFmtId="0" fontId="1" fillId="5" borderId="3" xfId="21" applyFont="1" applyFill="1" applyBorder="1" applyAlignment="1"/>
    <xf numFmtId="0" fontId="21" fillId="5" borderId="3" xfId="33" applyFill="1" applyBorder="1"/>
    <xf numFmtId="0" fontId="23" fillId="5" borderId="3" xfId="33" applyFont="1" applyFill="1" applyBorder="1" applyAlignment="1"/>
    <xf numFmtId="0" fontId="1" fillId="5" borderId="3" xfId="6" applyFont="1" applyFill="1" applyBorder="1" applyAlignment="1">
      <alignment horizontal="left"/>
    </xf>
    <xf numFmtId="166" fontId="1" fillId="5" borderId="3" xfId="21" applyNumberFormat="1" applyFont="1" applyFill="1" applyBorder="1" applyAlignment="1">
      <alignment horizontal="center"/>
    </xf>
    <xf numFmtId="167" fontId="1" fillId="5" borderId="3" xfId="21" applyNumberFormat="1" applyFont="1" applyFill="1" applyBorder="1" applyAlignment="1">
      <alignment horizontal="center"/>
    </xf>
    <xf numFmtId="0" fontId="16" fillId="4" borderId="4" xfId="21" quotePrefix="1" applyNumberFormat="1" applyFont="1" applyFill="1" applyBorder="1" applyAlignment="1">
      <alignment horizontal="left" vertical="center"/>
    </xf>
    <xf numFmtId="20" fontId="1" fillId="4" borderId="4" xfId="21" applyNumberFormat="1" applyFont="1" applyFill="1" applyBorder="1" applyAlignment="1">
      <alignment horizontal="left" vertical="center"/>
    </xf>
    <xf numFmtId="0" fontId="1" fillId="0" borderId="4" xfId="21" applyFont="1" applyFill="1" applyBorder="1" applyAlignment="1">
      <alignment vertical="center"/>
    </xf>
    <xf numFmtId="0" fontId="26" fillId="0" borderId="4" xfId="21" applyFont="1" applyFill="1" applyBorder="1" applyAlignment="1">
      <alignment vertical="center"/>
    </xf>
    <xf numFmtId="0" fontId="1" fillId="0" borderId="4" xfId="21" applyFont="1" applyFill="1" applyBorder="1" applyAlignment="1"/>
    <xf numFmtId="165" fontId="1" fillId="0" borderId="4" xfId="21" applyNumberFormat="1" applyFont="1" applyFill="1" applyBorder="1" applyAlignment="1">
      <alignment horizontal="center" vertical="center"/>
    </xf>
    <xf numFmtId="167" fontId="1" fillId="0" borderId="4" xfId="21" applyNumberFormat="1" applyFont="1" applyFill="1" applyBorder="1" applyAlignment="1">
      <alignment horizontal="center" vertical="center"/>
    </xf>
    <xf numFmtId="0" fontId="1" fillId="8" borderId="2" xfId="21" applyNumberFormat="1" applyFont="1" applyFill="1" applyBorder="1" applyAlignment="1">
      <alignment horizontal="left"/>
    </xf>
    <xf numFmtId="49" fontId="1" fillId="8" borderId="2" xfId="5" applyNumberFormat="1" applyFont="1" applyFill="1" applyBorder="1"/>
    <xf numFmtId="0" fontId="1" fillId="8" borderId="2" xfId="21" applyFont="1" applyFill="1" applyBorder="1"/>
    <xf numFmtId="0" fontId="1" fillId="8" borderId="2" xfId="21" applyFont="1" applyFill="1" applyBorder="1" applyAlignment="1"/>
    <xf numFmtId="0" fontId="21" fillId="8" borderId="2" xfId="33" applyFill="1" applyBorder="1"/>
    <xf numFmtId="0" fontId="23" fillId="8" borderId="2" xfId="33" applyFont="1" applyFill="1" applyBorder="1" applyAlignment="1"/>
    <xf numFmtId="0" fontId="1" fillId="8" borderId="2" xfId="6" applyFont="1" applyFill="1" applyBorder="1" applyAlignment="1">
      <alignment horizontal="left"/>
    </xf>
    <xf numFmtId="166" fontId="1" fillId="8" borderId="2" xfId="21" applyNumberFormat="1" applyFont="1" applyFill="1" applyBorder="1" applyAlignment="1">
      <alignment horizontal="center"/>
    </xf>
    <xf numFmtId="167" fontId="1" fillId="8" borderId="2" xfId="21" applyNumberFormat="1" applyFont="1" applyFill="1" applyBorder="1" applyAlignment="1">
      <alignment horizontal="center"/>
    </xf>
    <xf numFmtId="0" fontId="1" fillId="7" borderId="2" xfId="21" applyFont="1" applyFill="1" applyBorder="1"/>
    <xf numFmtId="0" fontId="16" fillId="4" borderId="0" xfId="21" quotePrefix="1" applyNumberFormat="1" applyFont="1" applyFill="1" applyBorder="1" applyAlignment="1">
      <alignment horizontal="left" vertical="center"/>
    </xf>
    <xf numFmtId="20" fontId="1" fillId="4" borderId="0" xfId="21" applyNumberFormat="1" applyFont="1" applyFill="1" applyBorder="1" applyAlignment="1">
      <alignment horizontal="left" vertical="center"/>
    </xf>
    <xf numFmtId="0" fontId="1" fillId="0" borderId="0" xfId="21" applyFont="1" applyFill="1" applyBorder="1" applyAlignment="1">
      <alignment vertical="center"/>
    </xf>
    <xf numFmtId="0" fontId="26" fillId="0" borderId="0" xfId="21" applyFont="1" applyFill="1" applyBorder="1" applyAlignment="1">
      <alignment vertical="center"/>
    </xf>
    <xf numFmtId="0" fontId="1" fillId="0" borderId="0" xfId="21" applyFont="1" applyFill="1" applyBorder="1" applyAlignment="1"/>
    <xf numFmtId="165" fontId="1" fillId="0" borderId="0" xfId="21" applyNumberFormat="1" applyFont="1" applyFill="1" applyBorder="1" applyAlignment="1">
      <alignment horizontal="center" vertical="center"/>
    </xf>
    <xf numFmtId="167" fontId="1" fillId="0" borderId="0" xfId="21" applyNumberFormat="1" applyFont="1" applyFill="1" applyBorder="1" applyAlignment="1">
      <alignment horizontal="center" vertical="center"/>
    </xf>
    <xf numFmtId="0" fontId="21" fillId="9" borderId="2" xfId="33" applyFill="1" applyBorder="1"/>
    <xf numFmtId="0" fontId="21" fillId="10" borderId="2" xfId="33" applyFill="1" applyBorder="1" applyAlignment="1"/>
    <xf numFmtId="0" fontId="21" fillId="0" borderId="2" xfId="33" applyFill="1" applyBorder="1" applyAlignment="1">
      <alignment horizontal="center" vertical="center"/>
    </xf>
    <xf numFmtId="0" fontId="25" fillId="11" borderId="2" xfId="33" applyFont="1" applyFill="1" applyBorder="1"/>
    <xf numFmtId="0" fontId="1" fillId="0" borderId="5" xfId="21" applyNumberFormat="1" applyFont="1" applyFill="1" applyBorder="1" applyAlignment="1">
      <alignment horizontal="left"/>
    </xf>
    <xf numFmtId="49" fontId="1" fillId="0" borderId="5" xfId="5" applyNumberFormat="1" applyFont="1" applyFill="1" applyBorder="1"/>
    <xf numFmtId="0" fontId="1" fillId="0" borderId="5" xfId="21" applyFont="1" applyFill="1" applyBorder="1"/>
    <xf numFmtId="0" fontId="1" fillId="0" borderId="5" xfId="21" applyFont="1" applyFill="1" applyBorder="1" applyAlignment="1"/>
    <xf numFmtId="0" fontId="21" fillId="0" borderId="5" xfId="33" applyFont="1" applyFill="1" applyBorder="1"/>
    <xf numFmtId="0" fontId="23" fillId="0" borderId="5" xfId="33" applyFont="1" applyFill="1" applyBorder="1" applyAlignment="1"/>
    <xf numFmtId="0" fontId="1" fillId="0" borderId="5" xfId="6" applyFont="1" applyFill="1" applyBorder="1" applyAlignment="1">
      <alignment horizontal="left"/>
    </xf>
    <xf numFmtId="166" fontId="1" fillId="0" borderId="5" xfId="21" applyNumberFormat="1" applyFont="1" applyFill="1" applyBorder="1" applyAlignment="1">
      <alignment horizontal="center"/>
    </xf>
    <xf numFmtId="167" fontId="1" fillId="0" borderId="5" xfId="21" applyNumberFormat="1" applyFont="1" applyFill="1" applyBorder="1" applyAlignment="1">
      <alignment horizontal="center"/>
    </xf>
    <xf numFmtId="0" fontId="21" fillId="5" borderId="1" xfId="33" applyFill="1" applyBorder="1"/>
    <xf numFmtId="49" fontId="1" fillId="0" borderId="1" xfId="5" applyNumberFormat="1" applyFont="1" applyFill="1" applyBorder="1"/>
    <xf numFmtId="0" fontId="1" fillId="0" borderId="1" xfId="21" applyFont="1" applyFill="1" applyBorder="1" applyAlignment="1"/>
    <xf numFmtId="0" fontId="23" fillId="0" borderId="1" xfId="33" applyFont="1" applyFill="1" applyBorder="1" applyAlignment="1"/>
    <xf numFmtId="0" fontId="1" fillId="0" borderId="1" xfId="6" applyFont="1" applyFill="1" applyBorder="1" applyAlignment="1">
      <alignment horizontal="left"/>
    </xf>
    <xf numFmtId="167" fontId="1" fillId="0" borderId="1" xfId="21" applyNumberFormat="1" applyFont="1" applyFill="1" applyBorder="1" applyAlignment="1">
      <alignment horizontal="center"/>
    </xf>
    <xf numFmtId="0" fontId="23" fillId="0" borderId="1" xfId="33" applyFont="1" applyFill="1" applyBorder="1"/>
    <xf numFmtId="166" fontId="1" fillId="0" borderId="1" xfId="21" applyNumberFormat="1" applyFont="1" applyFill="1" applyBorder="1" applyAlignment="1"/>
    <xf numFmtId="0" fontId="21" fillId="3" borderId="1" xfId="33" applyFill="1" applyBorder="1" applyAlignment="1">
      <alignment horizontal="center"/>
    </xf>
    <xf numFmtId="0" fontId="21" fillId="9" borderId="1" xfId="33" applyFill="1" applyBorder="1" applyAlignment="1">
      <alignment horizontal="center"/>
    </xf>
    <xf numFmtId="0" fontId="21" fillId="0" borderId="1" xfId="33" applyFill="1" applyBorder="1"/>
    <xf numFmtId="49" fontId="1" fillId="0" borderId="6" xfId="5" applyNumberFormat="1" applyFont="1" applyFill="1" applyBorder="1"/>
    <xf numFmtId="0" fontId="1" fillId="0" borderId="6" xfId="21" applyFont="1" applyFill="1" applyBorder="1" applyAlignment="1"/>
    <xf numFmtId="0" fontId="23" fillId="0" borderId="6" xfId="33" applyFont="1" applyFill="1" applyBorder="1"/>
    <xf numFmtId="0" fontId="23" fillId="0" borderId="6" xfId="33" applyFont="1" applyFill="1" applyBorder="1" applyAlignment="1"/>
    <xf numFmtId="0" fontId="1" fillId="0" borderId="6" xfId="6" applyFont="1" applyFill="1" applyBorder="1" applyAlignment="1">
      <alignment horizontal="left"/>
    </xf>
    <xf numFmtId="166" fontId="1" fillId="0" borderId="6" xfId="21" applyNumberFormat="1" applyFont="1" applyFill="1" applyBorder="1" applyAlignment="1"/>
    <xf numFmtId="167" fontId="1" fillId="0" borderId="6" xfId="21" applyNumberFormat="1" applyFont="1" applyFill="1" applyBorder="1" applyAlignment="1">
      <alignment horizontal="center"/>
    </xf>
    <xf numFmtId="0" fontId="20" fillId="0" borderId="0" xfId="21" applyFont="1" applyAlignment="1">
      <alignment vertical="center"/>
    </xf>
    <xf numFmtId="49" fontId="1" fillId="9" borderId="2" xfId="5" applyNumberFormat="1" applyFont="1" applyFill="1" applyBorder="1"/>
    <xf numFmtId="0" fontId="22" fillId="0" borderId="0" xfId="21" applyNumberFormat="1" applyFont="1" applyFill="1" applyBorder="1" applyAlignment="1">
      <alignment horizontal="left"/>
    </xf>
    <xf numFmtId="0" fontId="16" fillId="0" borderId="0" xfId="0" applyFont="1" applyFill="1"/>
    <xf numFmtId="0" fontId="0" fillId="0" borderId="0" xfId="0" applyFill="1"/>
    <xf numFmtId="0" fontId="0" fillId="0" borderId="0" xfId="0" applyFill="1" applyAlignment="1"/>
    <xf numFmtId="0" fontId="0" fillId="3" borderId="0" xfId="0" applyFont="1" applyFill="1"/>
    <xf numFmtId="0" fontId="0" fillId="0" borderId="0" xfId="0" applyFont="1" applyFill="1"/>
    <xf numFmtId="0" fontId="0" fillId="3" borderId="0" xfId="0" applyFill="1" applyAlignment="1"/>
    <xf numFmtId="0" fontId="0" fillId="5" borderId="0" xfId="0" applyFont="1" applyFill="1"/>
    <xf numFmtId="0" fontId="21" fillId="0" borderId="0" xfId="33" applyFill="1" applyAlignment="1">
      <alignment horizontal="right"/>
    </xf>
    <xf numFmtId="0" fontId="0" fillId="5" borderId="0" xfId="0" applyFill="1"/>
    <xf numFmtId="0" fontId="0" fillId="5" borderId="0" xfId="0" applyFill="1" applyAlignment="1"/>
    <xf numFmtId="0" fontId="15" fillId="0" borderId="0" xfId="0" applyFont="1"/>
    <xf numFmtId="0" fontId="0" fillId="0" borderId="0" xfId="0" applyAlignment="1"/>
    <xf numFmtId="164" fontId="22" fillId="0" borderId="0" xfId="21" applyNumberFormat="1" applyFont="1" applyAlignment="1">
      <alignment horizontal="left"/>
    </xf>
    <xf numFmtId="20" fontId="22" fillId="0" borderId="0" xfId="21" applyNumberFormat="1" applyFont="1" applyAlignment="1">
      <alignment horizontal="left"/>
    </xf>
    <xf numFmtId="0" fontId="20" fillId="0" borderId="0" xfId="21" applyFont="1" applyAlignment="1">
      <alignment horizontal="center"/>
    </xf>
    <xf numFmtId="0" fontId="20" fillId="4" borderId="0" xfId="21" applyFont="1" applyFill="1" applyAlignment="1">
      <alignment vertical="center"/>
    </xf>
    <xf numFmtId="0" fontId="20" fillId="4" borderId="0" xfId="21" applyFont="1" applyFill="1"/>
    <xf numFmtId="0" fontId="25" fillId="0" borderId="7" xfId="33" applyFont="1" applyFill="1" applyBorder="1"/>
    <xf numFmtId="0" fontId="18" fillId="0" borderId="0" xfId="22" applyFont="1" applyAlignment="1">
      <alignment vertical="top"/>
    </xf>
    <xf numFmtId="0" fontId="22" fillId="0" borderId="0" xfId="22" applyFont="1" applyAlignment="1">
      <alignment vertical="top"/>
    </xf>
    <xf numFmtId="0" fontId="20" fillId="0" borderId="0" xfId="22" applyFont="1" applyAlignment="1">
      <alignment vertical="top"/>
    </xf>
    <xf numFmtId="0" fontId="29" fillId="0" borderId="0" xfId="33" applyFont="1" applyAlignment="1">
      <alignment vertical="top"/>
    </xf>
    <xf numFmtId="0" fontId="15" fillId="0" borderId="0" xfId="22" applyFont="1" applyAlignment="1">
      <alignment vertical="top"/>
    </xf>
    <xf numFmtId="0" fontId="22" fillId="4" borderId="8" xfId="22" applyFont="1" applyFill="1" applyBorder="1" applyAlignment="1">
      <alignment vertical="top"/>
    </xf>
    <xf numFmtId="0" fontId="22" fillId="4" borderId="9" xfId="22" applyFont="1" applyFill="1" applyBorder="1" applyAlignment="1">
      <alignment vertical="top"/>
    </xf>
    <xf numFmtId="0" fontId="22" fillId="4" borderId="10" xfId="22" applyFont="1" applyFill="1" applyBorder="1" applyAlignment="1">
      <alignment vertical="top"/>
    </xf>
    <xf numFmtId="0" fontId="16" fillId="14" borderId="0" xfId="14" quotePrefix="1" applyNumberFormat="1" applyFont="1" applyFill="1" applyBorder="1" applyAlignment="1"/>
    <xf numFmtId="0" fontId="16" fillId="14" borderId="0" xfId="14" applyFont="1" applyFill="1" applyBorder="1" applyAlignment="1"/>
    <xf numFmtId="0" fontId="1" fillId="14" borderId="0" xfId="14" applyFont="1" applyFill="1" applyBorder="1" applyAlignment="1"/>
    <xf numFmtId="0" fontId="16" fillId="0" borderId="0" xfId="14" applyFont="1" applyFill="1" applyBorder="1" applyAlignment="1"/>
    <xf numFmtId="0" fontId="1" fillId="0" borderId="0" xfId="14" applyFont="1" applyFill="1" applyBorder="1" applyAlignment="1"/>
    <xf numFmtId="0" fontId="1" fillId="0" borderId="0" xfId="14" applyFont="1" applyBorder="1" applyAlignment="1"/>
    <xf numFmtId="0" fontId="1" fillId="0" borderId="11" xfId="14" applyFont="1" applyFill="1" applyBorder="1" applyAlignment="1"/>
    <xf numFmtId="0" fontId="22" fillId="15" borderId="12" xfId="14" applyFont="1" applyFill="1" applyBorder="1" applyAlignment="1"/>
    <xf numFmtId="0" fontId="1" fillId="0" borderId="13" xfId="14" applyFont="1" applyFill="1" applyBorder="1" applyAlignment="1"/>
    <xf numFmtId="0" fontId="16" fillId="0" borderId="14" xfId="14" applyFont="1" applyFill="1" applyBorder="1" applyAlignment="1"/>
    <xf numFmtId="0" fontId="23" fillId="5" borderId="13" xfId="33" applyFont="1" applyFill="1" applyBorder="1" applyAlignment="1"/>
    <xf numFmtId="0" fontId="1" fillId="0" borderId="15" xfId="14" applyFont="1" applyFill="1" applyBorder="1" applyAlignment="1"/>
    <xf numFmtId="0" fontId="1" fillId="0" borderId="16" xfId="14" applyFont="1" applyBorder="1" applyAlignment="1">
      <alignment vertical="top"/>
    </xf>
    <xf numFmtId="0" fontId="16" fillId="0" borderId="16" xfId="14" applyFont="1" applyFill="1" applyBorder="1" applyAlignment="1"/>
    <xf numFmtId="0" fontId="16" fillId="0" borderId="17" xfId="14" applyFont="1" applyFill="1" applyBorder="1" applyAlignment="1"/>
    <xf numFmtId="0" fontId="1" fillId="5" borderId="0" xfId="14" applyFont="1" applyFill="1" applyBorder="1" applyAlignment="1"/>
    <xf numFmtId="0" fontId="16" fillId="5" borderId="16" xfId="14" applyFont="1" applyFill="1" applyBorder="1" applyAlignment="1"/>
    <xf numFmtId="0" fontId="1" fillId="0" borderId="18" xfId="14" applyFont="1" applyFill="1" applyBorder="1" applyAlignment="1"/>
    <xf numFmtId="0" fontId="1" fillId="0" borderId="19" xfId="14" applyFont="1" applyBorder="1" applyAlignment="1">
      <alignment vertical="top"/>
    </xf>
    <xf numFmtId="0" fontId="1" fillId="0" borderId="20" xfId="14" applyFont="1" applyFill="1" applyBorder="1" applyAlignment="1"/>
    <xf numFmtId="0" fontId="16" fillId="0" borderId="19" xfId="14" applyFont="1" applyFill="1" applyBorder="1" applyAlignment="1"/>
    <xf numFmtId="0" fontId="0" fillId="0" borderId="21" xfId="0" applyFont="1" applyFill="1" applyBorder="1" applyAlignment="1"/>
    <xf numFmtId="0" fontId="23" fillId="5" borderId="21" xfId="33" applyFont="1" applyFill="1" applyBorder="1" applyAlignment="1"/>
    <xf numFmtId="0" fontId="16" fillId="5" borderId="19" xfId="14" applyFont="1" applyFill="1" applyBorder="1" applyAlignment="1"/>
    <xf numFmtId="0" fontId="0" fillId="0" borderId="0" xfId="14" applyFont="1" applyAlignment="1">
      <alignment vertical="top"/>
    </xf>
    <xf numFmtId="0" fontId="1" fillId="0" borderId="0" xfId="14" applyFont="1" applyAlignment="1">
      <alignment vertical="top"/>
    </xf>
    <xf numFmtId="49" fontId="22" fillId="14" borderId="0" xfId="5" applyNumberFormat="1" applyFont="1" applyFill="1" applyAlignment="1"/>
    <xf numFmtId="0" fontId="22" fillId="14" borderId="0" xfId="22" applyFont="1" applyFill="1" applyBorder="1" applyAlignment="1">
      <alignment vertical="top"/>
    </xf>
    <xf numFmtId="0" fontId="20" fillId="14" borderId="0" xfId="22" applyFont="1" applyFill="1" applyBorder="1" applyAlignment="1">
      <alignment vertical="top"/>
    </xf>
    <xf numFmtId="0" fontId="20" fillId="0" borderId="0" xfId="22" applyFont="1" applyBorder="1" applyAlignment="1"/>
    <xf numFmtId="0" fontId="22" fillId="0" borderId="0" xfId="22" applyFont="1" applyBorder="1" applyAlignment="1"/>
    <xf numFmtId="0" fontId="20" fillId="0" borderId="0" xfId="22" applyFont="1" applyAlignment="1"/>
    <xf numFmtId="0" fontId="1" fillId="0" borderId="0" xfId="22" applyFont="1" applyBorder="1" applyAlignment="1"/>
    <xf numFmtId="0" fontId="1" fillId="0" borderId="0" xfId="22" applyFont="1" applyAlignment="1"/>
    <xf numFmtId="0" fontId="16" fillId="0" borderId="0" xfId="22" applyFont="1" applyBorder="1" applyAlignment="1"/>
    <xf numFmtId="0" fontId="1" fillId="0" borderId="14" xfId="14" applyFont="1" applyFill="1" applyBorder="1" applyAlignment="1"/>
    <xf numFmtId="0" fontId="22" fillId="15" borderId="22" xfId="14" applyFont="1" applyFill="1" applyBorder="1" applyAlignment="1"/>
    <xf numFmtId="0" fontId="1" fillId="0" borderId="23" xfId="14" applyFont="1" applyFill="1" applyBorder="1" applyAlignment="1"/>
    <xf numFmtId="0" fontId="22" fillId="15" borderId="24" xfId="14" applyFont="1" applyFill="1" applyBorder="1" applyAlignment="1"/>
    <xf numFmtId="0" fontId="22" fillId="15" borderId="25" xfId="14" applyFont="1" applyFill="1" applyBorder="1" applyAlignment="1"/>
    <xf numFmtId="0" fontId="34" fillId="0" borderId="26" xfId="33" applyFont="1" applyFill="1" applyBorder="1" applyAlignment="1"/>
    <xf numFmtId="0" fontId="22" fillId="15" borderId="27" xfId="14" applyFont="1" applyFill="1" applyBorder="1" applyAlignment="1"/>
    <xf numFmtId="0" fontId="1" fillId="0" borderId="28" xfId="14" applyFont="1" applyFill="1" applyBorder="1" applyAlignment="1"/>
    <xf numFmtId="0" fontId="1" fillId="0" borderId="29" xfId="14" applyFont="1" applyBorder="1" applyAlignment="1">
      <alignment vertical="top"/>
    </xf>
    <xf numFmtId="0" fontId="35" fillId="0" borderId="17" xfId="14" applyFont="1" applyFill="1" applyBorder="1" applyAlignment="1"/>
    <xf numFmtId="0" fontId="16" fillId="5" borderId="30" xfId="14" applyFont="1" applyFill="1" applyBorder="1" applyAlignment="1"/>
    <xf numFmtId="0" fontId="34" fillId="0" borderId="31" xfId="33" applyFont="1" applyFill="1" applyBorder="1" applyAlignment="1"/>
    <xf numFmtId="0" fontId="1" fillId="5" borderId="32" xfId="14" applyFont="1" applyFill="1" applyBorder="1" applyAlignment="1"/>
    <xf numFmtId="0" fontId="16" fillId="5" borderId="33" xfId="14" applyFont="1" applyFill="1" applyBorder="1" applyAlignment="1"/>
    <xf numFmtId="0" fontId="1" fillId="0" borderId="34" xfId="14" applyFont="1" applyFill="1" applyBorder="1" applyAlignment="1"/>
    <xf numFmtId="0" fontId="1" fillId="0" borderId="35" xfId="14" applyFont="1" applyBorder="1" applyAlignment="1">
      <alignment vertical="top"/>
    </xf>
    <xf numFmtId="0" fontId="1" fillId="0" borderId="36" xfId="14" applyFont="1" applyFill="1" applyBorder="1" applyAlignment="1"/>
    <xf numFmtId="0" fontId="16" fillId="0" borderId="36" xfId="14" applyFont="1" applyFill="1" applyBorder="1" applyAlignment="1"/>
    <xf numFmtId="0" fontId="1" fillId="0" borderId="37" xfId="14" applyFont="1" applyFill="1" applyBorder="1" applyAlignment="1"/>
    <xf numFmtId="0" fontId="1" fillId="0" borderId="38" xfId="14" applyFont="1" applyBorder="1" applyAlignment="1">
      <alignment vertical="top"/>
    </xf>
    <xf numFmtId="0" fontId="16" fillId="0" borderId="21" xfId="14" applyFont="1" applyFill="1" applyBorder="1" applyAlignment="1"/>
    <xf numFmtId="0" fontId="16" fillId="5" borderId="39" xfId="14" applyFont="1" applyFill="1" applyBorder="1" applyAlignment="1"/>
    <xf numFmtId="0" fontId="20" fillId="0" borderId="15" xfId="22" applyFont="1" applyFill="1" applyBorder="1" applyAlignment="1">
      <alignment vertical="top"/>
    </xf>
    <xf numFmtId="0" fontId="22" fillId="15" borderId="40" xfId="22" applyFont="1" applyFill="1" applyBorder="1" applyAlignment="1">
      <alignment vertical="top"/>
    </xf>
    <xf numFmtId="0" fontId="20" fillId="0" borderId="0" xfId="22" applyFont="1" applyFill="1" applyBorder="1" applyAlignment="1">
      <alignment vertical="top"/>
    </xf>
    <xf numFmtId="0" fontId="20" fillId="0" borderId="28" xfId="22" applyFont="1" applyBorder="1" applyAlignment="1">
      <alignment vertical="top"/>
    </xf>
    <xf numFmtId="0" fontId="22" fillId="0" borderId="28" xfId="22" applyFont="1" applyBorder="1" applyAlignment="1">
      <alignment vertical="top"/>
    </xf>
    <xf numFmtId="0" fontId="22" fillId="15" borderId="41" xfId="14" applyFont="1" applyFill="1" applyBorder="1" applyAlignment="1"/>
    <xf numFmtId="0" fontId="22" fillId="15" borderId="40" xfId="14" applyFont="1" applyFill="1" applyBorder="1" applyAlignment="1"/>
    <xf numFmtId="0" fontId="1" fillId="4" borderId="0" xfId="14" applyFont="1" applyFill="1" applyBorder="1" applyAlignment="1"/>
    <xf numFmtId="0" fontId="20" fillId="0" borderId="42" xfId="22" applyFont="1" applyFill="1" applyBorder="1" applyAlignment="1">
      <alignment vertical="top"/>
    </xf>
    <xf numFmtId="0" fontId="22" fillId="0" borderId="43" xfId="22" applyFont="1" applyFill="1" applyBorder="1" applyAlignment="1">
      <alignment vertical="top"/>
    </xf>
    <xf numFmtId="0" fontId="22" fillId="0" borderId="43" xfId="22" applyFont="1" applyBorder="1" applyAlignment="1">
      <alignment vertical="top"/>
    </xf>
    <xf numFmtId="0" fontId="22" fillId="0" borderId="30" xfId="14" applyFont="1" applyFill="1" applyBorder="1" applyAlignment="1"/>
    <xf numFmtId="0" fontId="16" fillId="4" borderId="16" xfId="14" applyFont="1" applyFill="1" applyBorder="1" applyAlignment="1"/>
    <xf numFmtId="0" fontId="1" fillId="0" borderId="44" xfId="14" applyFont="1" applyFill="1" applyBorder="1" applyAlignment="1"/>
    <xf numFmtId="0" fontId="20" fillId="0" borderId="45" xfId="14" applyFont="1" applyFill="1" applyBorder="1" applyAlignment="1"/>
    <xf numFmtId="0" fontId="16" fillId="5" borderId="46" xfId="14" applyFont="1" applyFill="1" applyBorder="1" applyAlignment="1"/>
    <xf numFmtId="0" fontId="1" fillId="4" borderId="44" xfId="14" applyFont="1" applyFill="1" applyBorder="1" applyAlignment="1"/>
    <xf numFmtId="0" fontId="16" fillId="4" borderId="46" xfId="14" applyFont="1" applyFill="1" applyBorder="1" applyAlignment="1"/>
    <xf numFmtId="0" fontId="20" fillId="0" borderId="47" xfId="22" applyFont="1" applyFill="1" applyBorder="1" applyAlignment="1">
      <alignment vertical="top"/>
    </xf>
    <xf numFmtId="0" fontId="22" fillId="15" borderId="48" xfId="22" applyFont="1" applyFill="1" applyBorder="1" applyAlignment="1">
      <alignment vertical="top"/>
    </xf>
    <xf numFmtId="0" fontId="20" fillId="0" borderId="49" xfId="22" applyFont="1" applyFill="1" applyBorder="1" applyAlignment="1">
      <alignment vertical="top"/>
    </xf>
    <xf numFmtId="0" fontId="20" fillId="0" borderId="50" xfId="22" applyFont="1" applyBorder="1" applyAlignment="1">
      <alignment vertical="top"/>
    </xf>
    <xf numFmtId="0" fontId="22" fillId="0" borderId="50" xfId="22" applyFont="1" applyBorder="1" applyAlignment="1">
      <alignment vertical="top"/>
    </xf>
    <xf numFmtId="0" fontId="36" fillId="0" borderId="0" xfId="33" applyFont="1" applyBorder="1" applyAlignment="1"/>
    <xf numFmtId="0" fontId="16" fillId="15" borderId="48" xfId="22" applyFont="1" applyFill="1" applyBorder="1" applyAlignment="1">
      <alignment vertical="top"/>
    </xf>
    <xf numFmtId="0" fontId="16" fillId="15" borderId="51" xfId="22" applyFont="1" applyFill="1" applyBorder="1" applyAlignment="1">
      <alignment vertical="top"/>
    </xf>
    <xf numFmtId="0" fontId="16" fillId="0" borderId="28" xfId="22" applyFont="1" applyFill="1" applyBorder="1" applyAlignment="1">
      <alignment vertical="top"/>
    </xf>
    <xf numFmtId="0" fontId="16" fillId="0" borderId="43" xfId="22" applyFont="1" applyFill="1" applyBorder="1" applyAlignment="1">
      <alignment vertical="top"/>
    </xf>
    <xf numFmtId="0" fontId="16" fillId="0" borderId="30" xfId="14" applyFont="1" applyFill="1" applyBorder="1" applyAlignment="1"/>
    <xf numFmtId="0" fontId="36" fillId="0" borderId="52" xfId="33" applyFont="1" applyBorder="1" applyAlignment="1"/>
    <xf numFmtId="0" fontId="36" fillId="0" borderId="28" xfId="33" applyFont="1" applyBorder="1" applyAlignment="1"/>
    <xf numFmtId="0" fontId="20" fillId="0" borderId="18" xfId="22" applyFont="1" applyFill="1" applyBorder="1" applyAlignment="1">
      <alignment vertical="top"/>
    </xf>
    <xf numFmtId="0" fontId="22" fillId="0" borderId="53" xfId="22" applyFont="1" applyFill="1" applyBorder="1" applyAlignment="1">
      <alignment vertical="top"/>
    </xf>
    <xf numFmtId="0" fontId="20" fillId="0" borderId="20" xfId="22" applyFont="1" applyBorder="1" applyAlignment="1">
      <alignment vertical="top"/>
    </xf>
    <xf numFmtId="0" fontId="20" fillId="0" borderId="54" xfId="22" applyFont="1" applyBorder="1" applyAlignment="1">
      <alignment vertical="top"/>
    </xf>
    <xf numFmtId="0" fontId="22" fillId="0" borderId="53" xfId="22" applyFont="1" applyBorder="1" applyAlignment="1">
      <alignment vertical="top"/>
    </xf>
    <xf numFmtId="0" fontId="22" fillId="0" borderId="54" xfId="22" applyFont="1" applyBorder="1" applyAlignment="1">
      <alignment vertical="top"/>
    </xf>
    <xf numFmtId="0" fontId="21" fillId="0" borderId="53" xfId="33" applyFill="1" applyBorder="1" applyAlignment="1">
      <alignment vertical="top"/>
    </xf>
    <xf numFmtId="0" fontId="1" fillId="0" borderId="54" xfId="22" applyFont="1" applyBorder="1" applyAlignment="1">
      <alignment vertical="top"/>
    </xf>
    <xf numFmtId="0" fontId="16" fillId="0" borderId="39" xfId="14" applyFont="1" applyFill="1" applyBorder="1" applyAlignment="1"/>
    <xf numFmtId="0" fontId="20" fillId="0" borderId="55" xfId="22" applyFont="1" applyFill="1" applyBorder="1" applyAlignment="1">
      <alignment vertical="top"/>
    </xf>
    <xf numFmtId="0" fontId="22" fillId="15" borderId="25" xfId="22" applyFont="1" applyFill="1" applyBorder="1" applyAlignment="1">
      <alignment vertical="top"/>
    </xf>
    <xf numFmtId="0" fontId="20" fillId="0" borderId="13" xfId="22" applyFont="1" applyFill="1" applyBorder="1" applyAlignment="1">
      <alignment vertical="top"/>
    </xf>
    <xf numFmtId="0" fontId="20" fillId="0" borderId="23" xfId="22" applyFont="1" applyBorder="1" applyAlignment="1">
      <alignment vertical="top"/>
    </xf>
    <xf numFmtId="0" fontId="22" fillId="0" borderId="23" xfId="22" applyFont="1" applyBorder="1" applyAlignment="1">
      <alignment vertical="top"/>
    </xf>
    <xf numFmtId="0" fontId="16" fillId="15" borderId="25" xfId="14" applyFont="1" applyFill="1" applyBorder="1" applyAlignment="1"/>
    <xf numFmtId="0" fontId="1" fillId="16" borderId="13" xfId="14" applyFont="1" applyFill="1" applyBorder="1" applyAlignment="1"/>
    <xf numFmtId="0" fontId="16" fillId="15" borderId="27" xfId="14" applyFont="1" applyFill="1" applyBorder="1" applyAlignment="1"/>
    <xf numFmtId="0" fontId="16" fillId="5" borderId="43" xfId="22" applyFont="1" applyFill="1" applyBorder="1" applyAlignment="1">
      <alignment vertical="top"/>
    </xf>
    <xf numFmtId="0" fontId="1" fillId="16" borderId="0" xfId="14" applyFont="1" applyFill="1" applyBorder="1" applyAlignment="1"/>
    <xf numFmtId="0" fontId="21" fillId="16" borderId="43" xfId="33" applyFill="1" applyBorder="1" applyAlignment="1"/>
    <xf numFmtId="0" fontId="22" fillId="0" borderId="0" xfId="22" applyFont="1" applyFill="1" applyBorder="1" applyAlignment="1">
      <alignment vertical="top"/>
    </xf>
    <xf numFmtId="0" fontId="22" fillId="0" borderId="30" xfId="22" applyFont="1" applyFill="1" applyBorder="1" applyAlignment="1">
      <alignment vertical="top"/>
    </xf>
    <xf numFmtId="0" fontId="20" fillId="0" borderId="0" xfId="22" applyFont="1" applyBorder="1" applyAlignment="1">
      <alignment vertical="top"/>
    </xf>
    <xf numFmtId="0" fontId="23" fillId="5" borderId="52" xfId="33" applyFont="1" applyFill="1" applyBorder="1" applyAlignment="1"/>
    <xf numFmtId="0" fontId="16" fillId="5" borderId="56" xfId="22" applyFont="1" applyFill="1" applyBorder="1" applyAlignment="1">
      <alignment vertical="top"/>
    </xf>
    <xf numFmtId="0" fontId="23" fillId="16" borderId="28" xfId="33" applyFont="1" applyFill="1" applyBorder="1" applyAlignment="1">
      <alignment vertical="top"/>
    </xf>
    <xf numFmtId="0" fontId="16" fillId="16" borderId="30" xfId="22" applyFont="1" applyFill="1" applyBorder="1" applyAlignment="1">
      <alignment vertical="top"/>
    </xf>
    <xf numFmtId="0" fontId="22" fillId="0" borderId="0" xfId="22" applyFont="1" applyBorder="1" applyAlignment="1">
      <alignment vertical="top"/>
    </xf>
    <xf numFmtId="0" fontId="22" fillId="0" borderId="42" xfId="22" applyFont="1" applyBorder="1" applyAlignment="1">
      <alignment vertical="top"/>
    </xf>
    <xf numFmtId="0" fontId="22" fillId="0" borderId="30" xfId="22" applyFont="1" applyBorder="1" applyAlignment="1">
      <alignment vertical="top"/>
    </xf>
    <xf numFmtId="0" fontId="36" fillId="0" borderId="57" xfId="33" applyFont="1" applyFill="1" applyBorder="1" applyAlignment="1">
      <alignment vertical="top"/>
    </xf>
    <xf numFmtId="0" fontId="16" fillId="0" borderId="58" xfId="22" applyFont="1" applyFill="1" applyBorder="1" applyAlignment="1">
      <alignment vertical="top"/>
    </xf>
    <xf numFmtId="0" fontId="1" fillId="16" borderId="42" xfId="33" applyFont="1" applyFill="1" applyBorder="1" applyAlignment="1">
      <alignment vertical="top"/>
    </xf>
    <xf numFmtId="0" fontId="16" fillId="16" borderId="43" xfId="22" applyFont="1" applyFill="1" applyBorder="1" applyAlignment="1">
      <alignment vertical="top"/>
    </xf>
    <xf numFmtId="0" fontId="16" fillId="0" borderId="0" xfId="22" applyFont="1" applyFill="1" applyBorder="1" applyAlignment="1">
      <alignment vertical="top"/>
    </xf>
    <xf numFmtId="0" fontId="1" fillId="16" borderId="42" xfId="22" applyFont="1" applyFill="1" applyBorder="1" applyAlignment="1">
      <alignment vertical="top"/>
    </xf>
    <xf numFmtId="0" fontId="22" fillId="0" borderId="59" xfId="22" applyFont="1" applyBorder="1" applyAlignment="1">
      <alignment vertical="top"/>
    </xf>
    <xf numFmtId="0" fontId="22" fillId="0" borderId="60" xfId="22" applyFont="1" applyBorder="1" applyAlignment="1">
      <alignment vertical="top"/>
    </xf>
    <xf numFmtId="0" fontId="36" fillId="0" borderId="52" xfId="33" applyFont="1" applyFill="1" applyBorder="1" applyAlignment="1"/>
    <xf numFmtId="0" fontId="1" fillId="16" borderId="59" xfId="33" applyFont="1" applyFill="1" applyBorder="1" applyAlignment="1"/>
    <xf numFmtId="0" fontId="16" fillId="16" borderId="60" xfId="22" applyFont="1" applyFill="1" applyBorder="1" applyAlignment="1">
      <alignment vertical="top"/>
    </xf>
    <xf numFmtId="0" fontId="1" fillId="0" borderId="61" xfId="14" applyFont="1" applyBorder="1" applyAlignment="1">
      <alignment vertical="top"/>
    </xf>
    <xf numFmtId="0" fontId="35" fillId="0" borderId="61" xfId="33" applyFont="1" applyFill="1" applyBorder="1" applyAlignment="1">
      <alignment vertical="top"/>
    </xf>
    <xf numFmtId="0" fontId="1" fillId="0" borderId="61" xfId="14" applyFont="1" applyFill="1" applyBorder="1" applyAlignment="1"/>
    <xf numFmtId="0" fontId="37" fillId="0" borderId="61" xfId="14" applyFont="1" applyBorder="1" applyAlignment="1">
      <alignment horizontal="center" vertical="top"/>
    </xf>
    <xf numFmtId="0" fontId="34" fillId="0" borderId="61" xfId="33" applyFont="1" applyFill="1" applyBorder="1" applyAlignment="1">
      <alignment horizontal="right"/>
    </xf>
    <xf numFmtId="49" fontId="22" fillId="14" borderId="13" xfId="5" applyNumberFormat="1" applyFont="1" applyFill="1" applyBorder="1" applyAlignment="1"/>
    <xf numFmtId="0" fontId="22" fillId="14" borderId="13" xfId="22" applyFont="1" applyFill="1" applyBorder="1" applyAlignment="1">
      <alignment vertical="top"/>
    </xf>
    <xf numFmtId="0" fontId="20" fillId="14" borderId="13" xfId="22" applyFont="1" applyFill="1" applyBorder="1" applyAlignment="1">
      <alignment vertical="top"/>
    </xf>
    <xf numFmtId="0" fontId="22" fillId="0" borderId="13" xfId="14" applyFont="1" applyFill="1" applyBorder="1" applyAlignment="1"/>
    <xf numFmtId="0" fontId="20" fillId="0" borderId="13" xfId="14" applyFont="1" applyFill="1" applyBorder="1" applyAlignment="1"/>
    <xf numFmtId="0" fontId="22" fillId="0" borderId="13" xfId="14" applyFont="1" applyBorder="1" applyAlignment="1"/>
    <xf numFmtId="0" fontId="16" fillId="0" borderId="13" xfId="14" applyFont="1" applyFill="1" applyBorder="1" applyAlignment="1"/>
    <xf numFmtId="0" fontId="20" fillId="0" borderId="50" xfId="22" applyFont="1" applyFill="1" applyBorder="1" applyAlignment="1">
      <alignment vertical="top"/>
    </xf>
    <xf numFmtId="0" fontId="16" fillId="15" borderId="62" xfId="22" applyFont="1" applyFill="1" applyBorder="1" applyAlignment="1">
      <alignment vertical="top"/>
    </xf>
    <xf numFmtId="0" fontId="22" fillId="0" borderId="50" xfId="22" applyFont="1" applyFill="1" applyBorder="1" applyAlignment="1">
      <alignment vertical="top"/>
    </xf>
    <xf numFmtId="0" fontId="22" fillId="0" borderId="13" xfId="22" applyFont="1" applyBorder="1" applyAlignment="1">
      <alignment vertical="top"/>
    </xf>
    <xf numFmtId="0" fontId="16" fillId="15" borderId="25" xfId="22" applyFont="1" applyFill="1" applyBorder="1" applyAlignment="1">
      <alignment vertical="top"/>
    </xf>
    <xf numFmtId="0" fontId="20" fillId="0" borderId="28" xfId="22" applyFont="1" applyFill="1" applyBorder="1" applyAlignment="1">
      <alignment vertical="top"/>
    </xf>
    <xf numFmtId="0" fontId="22" fillId="0" borderId="28" xfId="22" applyFont="1" applyFill="1" applyBorder="1" applyAlignment="1">
      <alignment vertical="top"/>
    </xf>
    <xf numFmtId="0" fontId="22" fillId="0" borderId="29" xfId="22" applyFont="1" applyFill="1" applyBorder="1" applyAlignment="1">
      <alignment vertical="top"/>
    </xf>
    <xf numFmtId="0" fontId="16" fillId="5" borderId="43" xfId="14" applyFont="1" applyFill="1" applyBorder="1" applyAlignment="1"/>
    <xf numFmtId="0" fontId="22" fillId="0" borderId="52" xfId="22" applyFont="1" applyFill="1" applyBorder="1" applyAlignment="1">
      <alignment vertical="top"/>
    </xf>
    <xf numFmtId="0" fontId="22" fillId="0" borderId="63" xfId="22" applyFont="1" applyFill="1" applyBorder="1" applyAlignment="1">
      <alignment vertical="top"/>
    </xf>
    <xf numFmtId="0" fontId="22" fillId="0" borderId="64" xfId="22" applyFont="1" applyBorder="1" applyAlignment="1">
      <alignment vertical="top"/>
    </xf>
    <xf numFmtId="0" fontId="16" fillId="0" borderId="56" xfId="22" applyFont="1" applyFill="1" applyBorder="1" applyAlignment="1">
      <alignment vertical="top"/>
    </xf>
    <xf numFmtId="0" fontId="16" fillId="5" borderId="56" xfId="14" applyFont="1" applyFill="1" applyBorder="1" applyAlignment="1"/>
    <xf numFmtId="0" fontId="34" fillId="0" borderId="65" xfId="33" applyFont="1" applyFill="1" applyBorder="1" applyAlignment="1"/>
    <xf numFmtId="0" fontId="38" fillId="0" borderId="66" xfId="14" applyFont="1" applyFill="1" applyBorder="1" applyAlignment="1"/>
    <xf numFmtId="0" fontId="39" fillId="0" borderId="66" xfId="33" applyFont="1" applyFill="1" applyBorder="1" applyAlignment="1"/>
    <xf numFmtId="0" fontId="20" fillId="0" borderId="66" xfId="22" applyFont="1" applyBorder="1" applyAlignment="1">
      <alignment vertical="top"/>
    </xf>
    <xf numFmtId="0" fontId="35" fillId="0" borderId="67" xfId="14" applyFont="1" applyFill="1" applyBorder="1" applyAlignment="1">
      <alignment horizontal="right"/>
    </xf>
    <xf numFmtId="0" fontId="20" fillId="0" borderId="68" xfId="22" applyFont="1" applyFill="1" applyBorder="1" applyAlignment="1">
      <alignment vertical="top"/>
    </xf>
    <xf numFmtId="0" fontId="22" fillId="0" borderId="69" xfId="22" applyFont="1" applyFill="1" applyBorder="1" applyAlignment="1">
      <alignment vertical="top"/>
    </xf>
    <xf numFmtId="0" fontId="20" fillId="0" borderId="70" xfId="22" applyFont="1" applyFill="1" applyBorder="1" applyAlignment="1">
      <alignment vertical="top"/>
    </xf>
    <xf numFmtId="0" fontId="22" fillId="0" borderId="69" xfId="22" applyFont="1" applyBorder="1" applyAlignment="1">
      <alignment vertical="top"/>
    </xf>
    <xf numFmtId="0" fontId="22" fillId="0" borderId="68" xfId="22" applyFont="1" applyBorder="1" applyAlignment="1">
      <alignment vertical="top"/>
    </xf>
    <xf numFmtId="0" fontId="35" fillId="0" borderId="71" xfId="14" applyFont="1" applyFill="1" applyBorder="1" applyAlignment="1"/>
    <xf numFmtId="0" fontId="1" fillId="0" borderId="71" xfId="14" applyFont="1" applyFill="1" applyBorder="1" applyAlignment="1"/>
    <xf numFmtId="0" fontId="35" fillId="0" borderId="72" xfId="33" applyFont="1" applyFill="1" applyBorder="1" applyAlignment="1">
      <alignment horizontal="center"/>
    </xf>
    <xf numFmtId="0" fontId="35" fillId="0" borderId="72" xfId="14" applyFont="1" applyFill="1" applyBorder="1" applyAlignment="1"/>
    <xf numFmtId="0" fontId="21" fillId="0" borderId="73" xfId="33" applyFill="1" applyBorder="1" applyAlignment="1">
      <alignment horizontal="right"/>
    </xf>
    <xf numFmtId="0" fontId="20" fillId="0" borderId="74" xfId="14" applyFont="1" applyFill="1" applyBorder="1" applyAlignment="1"/>
    <xf numFmtId="0" fontId="22" fillId="15" borderId="75" xfId="14" applyFont="1" applyFill="1" applyBorder="1" applyAlignment="1"/>
    <xf numFmtId="0" fontId="20" fillId="0" borderId="76" xfId="14" applyFont="1" applyFill="1" applyBorder="1" applyAlignment="1"/>
    <xf numFmtId="0" fontId="22" fillId="0" borderId="74" xfId="0" applyFont="1" applyFill="1" applyBorder="1" applyAlignment="1"/>
    <xf numFmtId="0" fontId="16" fillId="15" borderId="12" xfId="14" applyFont="1" applyFill="1" applyBorder="1" applyAlignment="1"/>
    <xf numFmtId="0" fontId="1" fillId="4" borderId="13" xfId="14" applyFont="1" applyFill="1" applyBorder="1" applyAlignment="1"/>
    <xf numFmtId="0" fontId="16" fillId="15" borderId="77" xfId="14" applyFont="1" applyFill="1" applyBorder="1" applyAlignment="1"/>
    <xf numFmtId="0" fontId="20" fillId="0" borderId="28" xfId="14" applyFont="1" applyFill="1" applyBorder="1" applyAlignment="1"/>
    <xf numFmtId="0" fontId="22" fillId="0" borderId="43" xfId="14" applyFont="1" applyFill="1" applyBorder="1" applyAlignment="1"/>
    <xf numFmtId="0" fontId="20" fillId="0" borderId="0" xfId="14" applyFont="1" applyFill="1" applyBorder="1" applyAlignment="1"/>
    <xf numFmtId="0" fontId="22" fillId="0" borderId="28" xfId="0" applyFont="1" applyFill="1" applyBorder="1" applyAlignment="1"/>
    <xf numFmtId="0" fontId="20" fillId="0" borderId="30" xfId="22" applyFont="1" applyBorder="1" applyAlignment="1">
      <alignment vertical="top"/>
    </xf>
    <xf numFmtId="0" fontId="16" fillId="4" borderId="30" xfId="22" applyFont="1" applyFill="1" applyBorder="1" applyAlignment="1">
      <alignment vertical="top"/>
    </xf>
    <xf numFmtId="0" fontId="22" fillId="0" borderId="0" xfId="0" applyFont="1" applyFill="1" applyBorder="1" applyAlignment="1"/>
    <xf numFmtId="0" fontId="16" fillId="4" borderId="78" xfId="22" applyFont="1" applyFill="1" applyBorder="1" applyAlignment="1">
      <alignment vertical="top"/>
    </xf>
    <xf numFmtId="0" fontId="20" fillId="0" borderId="50" xfId="14" applyFont="1" applyFill="1" applyBorder="1" applyAlignment="1"/>
    <xf numFmtId="0" fontId="22" fillId="15" borderId="48" xfId="14" applyFont="1" applyFill="1" applyBorder="1" applyAlignment="1"/>
    <xf numFmtId="0" fontId="20" fillId="0" borderId="49" xfId="14" applyFont="1" applyFill="1" applyBorder="1" applyAlignment="1"/>
    <xf numFmtId="0" fontId="22" fillId="0" borderId="49" xfId="14" applyFont="1" applyFill="1" applyBorder="1" applyAlignment="1"/>
    <xf numFmtId="0" fontId="36" fillId="0" borderId="47" xfId="33" applyFont="1" applyBorder="1" applyAlignment="1"/>
    <xf numFmtId="0" fontId="36" fillId="0" borderId="47" xfId="33" applyFont="1" applyFill="1" applyBorder="1" applyAlignment="1"/>
    <xf numFmtId="0" fontId="22" fillId="0" borderId="0" xfId="14" applyFont="1" applyFill="1" applyBorder="1" applyAlignment="1"/>
    <xf numFmtId="0" fontId="16" fillId="0" borderId="42" xfId="22" applyFont="1" applyFill="1" applyBorder="1" applyAlignment="1">
      <alignment vertical="top"/>
    </xf>
    <xf numFmtId="0" fontId="16" fillId="0" borderId="43" xfId="14" applyFont="1" applyFill="1" applyBorder="1" applyAlignment="1"/>
    <xf numFmtId="0" fontId="23" fillId="4" borderId="28" xfId="33" applyFont="1" applyFill="1" applyBorder="1" applyAlignment="1"/>
    <xf numFmtId="0" fontId="16" fillId="4" borderId="43" xfId="22" applyFont="1" applyFill="1" applyBorder="1" applyAlignment="1">
      <alignment vertical="top"/>
    </xf>
    <xf numFmtId="0" fontId="36" fillId="4" borderId="0" xfId="33" applyFont="1" applyFill="1" applyBorder="1" applyAlignment="1"/>
    <xf numFmtId="0" fontId="0" fillId="0" borderId="0" xfId="0" applyFont="1" applyFill="1" applyBorder="1" applyAlignment="1"/>
    <xf numFmtId="0" fontId="16" fillId="0" borderId="79" xfId="14" applyFont="1" applyFill="1" applyBorder="1" applyAlignment="1"/>
    <xf numFmtId="0" fontId="1" fillId="0" borderId="80" xfId="33" applyFont="1" applyFill="1" applyBorder="1" applyAlignment="1"/>
    <xf numFmtId="0" fontId="22" fillId="15" borderId="62" xfId="14" applyFont="1" applyFill="1" applyBorder="1" applyAlignment="1"/>
    <xf numFmtId="0" fontId="23" fillId="6" borderId="50" xfId="33" applyFont="1" applyFill="1" applyBorder="1" applyAlignment="1"/>
    <xf numFmtId="0" fontId="16" fillId="15" borderId="62" xfId="14" applyFont="1" applyFill="1" applyBorder="1" applyAlignment="1"/>
    <xf numFmtId="0" fontId="23" fillId="7" borderId="50" xfId="33" applyFont="1" applyFill="1" applyBorder="1" applyAlignment="1">
      <alignment vertical="top"/>
    </xf>
    <xf numFmtId="0" fontId="16" fillId="15" borderId="48" xfId="14" applyFont="1" applyFill="1" applyBorder="1" applyAlignment="1"/>
    <xf numFmtId="0" fontId="41" fillId="0" borderId="43" xfId="14" applyFont="1" applyFill="1" applyBorder="1" applyAlignment="1">
      <alignment horizontal="right"/>
    </xf>
    <xf numFmtId="0" fontId="1" fillId="6" borderId="28" xfId="14" applyFont="1" applyFill="1" applyBorder="1" applyAlignment="1"/>
    <xf numFmtId="0" fontId="16" fillId="6" borderId="43" xfId="14" applyFont="1" applyFill="1" applyBorder="1" applyAlignment="1"/>
    <xf numFmtId="0" fontId="1" fillId="7" borderId="28" xfId="22" applyFont="1" applyFill="1" applyBorder="1" applyAlignment="1">
      <alignment vertical="top"/>
    </xf>
    <xf numFmtId="0" fontId="16" fillId="7" borderId="43" xfId="22" applyFont="1" applyFill="1" applyBorder="1" applyAlignment="1">
      <alignment vertical="top"/>
    </xf>
    <xf numFmtId="0" fontId="20" fillId="0" borderId="80" xfId="14" applyFont="1" applyFill="1" applyBorder="1" applyAlignment="1"/>
    <xf numFmtId="0" fontId="20" fillId="0" borderId="82" xfId="14" applyFont="1" applyFill="1" applyBorder="1" applyAlignment="1"/>
    <xf numFmtId="0" fontId="22" fillId="0" borderId="79" xfId="14" applyFont="1" applyFill="1" applyBorder="1" applyAlignment="1"/>
    <xf numFmtId="0" fontId="20" fillId="0" borderId="80" xfId="2" applyFont="1" applyFill="1" applyBorder="1" applyAlignment="1"/>
    <xf numFmtId="0" fontId="41" fillId="0" borderId="79" xfId="14" applyFont="1" applyFill="1" applyBorder="1" applyAlignment="1">
      <alignment horizontal="right"/>
    </xf>
    <xf numFmtId="0" fontId="23" fillId="6" borderId="52" xfId="33" applyFont="1" applyFill="1" applyBorder="1" applyAlignment="1"/>
    <xf numFmtId="0" fontId="16" fillId="6" borderId="79" xfId="14" applyFont="1" applyFill="1" applyBorder="1" applyAlignment="1"/>
    <xf numFmtId="0" fontId="23" fillId="7" borderId="80" xfId="33" applyFont="1" applyFill="1" applyBorder="1" applyAlignment="1"/>
    <xf numFmtId="0" fontId="16" fillId="7" borderId="79" xfId="22" applyFont="1" applyFill="1" applyBorder="1" applyAlignment="1">
      <alignment vertical="top"/>
    </xf>
    <xf numFmtId="0" fontId="42" fillId="18" borderId="48" xfId="14" applyFont="1" applyFill="1" applyBorder="1" applyAlignment="1"/>
    <xf numFmtId="0" fontId="20" fillId="0" borderId="50" xfId="33" applyFont="1" applyFill="1" applyBorder="1" applyAlignment="1"/>
    <xf numFmtId="0" fontId="1" fillId="0" borderId="50" xfId="33" applyFont="1" applyFill="1" applyBorder="1" applyAlignment="1"/>
    <xf numFmtId="0" fontId="20" fillId="0" borderId="80" xfId="22" applyFont="1" applyFill="1" applyBorder="1" applyAlignment="1">
      <alignment vertical="top"/>
    </xf>
    <xf numFmtId="0" fontId="20" fillId="0" borderId="80" xfId="33" applyFont="1" applyFill="1" applyBorder="1" applyAlignment="1"/>
    <xf numFmtId="0" fontId="23" fillId="5" borderId="80" xfId="33" applyFont="1" applyFill="1" applyBorder="1" applyAlignment="1"/>
    <xf numFmtId="0" fontId="16" fillId="5" borderId="79" xfId="14" applyFont="1" applyFill="1" applyBorder="1" applyAlignment="1"/>
    <xf numFmtId="0" fontId="1" fillId="0" borderId="0" xfId="22" applyFont="1" applyFill="1" applyBorder="1" applyAlignment="1">
      <alignment vertical="top"/>
    </xf>
    <xf numFmtId="0" fontId="1" fillId="0" borderId="0" xfId="22" applyFont="1" applyFill="1" applyAlignment="1">
      <alignment vertical="top"/>
    </xf>
    <xf numFmtId="0" fontId="42" fillId="18" borderId="83" xfId="14" applyFont="1" applyFill="1" applyBorder="1" applyAlignment="1"/>
    <xf numFmtId="0" fontId="27" fillId="8" borderId="49" xfId="22" applyFont="1" applyFill="1" applyBorder="1" applyAlignment="1">
      <alignment vertical="top"/>
    </xf>
    <xf numFmtId="0" fontId="22" fillId="0" borderId="50" xfId="14" applyFont="1" applyFill="1" applyBorder="1" applyAlignment="1"/>
    <xf numFmtId="0" fontId="16" fillId="15" borderId="48" xfId="22" applyFont="1" applyFill="1" applyBorder="1" applyAlignment="1"/>
    <xf numFmtId="0" fontId="1" fillId="4" borderId="50" xfId="22" applyFont="1" applyFill="1" applyBorder="1" applyAlignment="1">
      <alignment vertical="top"/>
    </xf>
    <xf numFmtId="0" fontId="22" fillId="0" borderId="29" xfId="14" applyFont="1" applyFill="1" applyBorder="1" applyAlignment="1"/>
    <xf numFmtId="0" fontId="27" fillId="8" borderId="0" xfId="22" applyFont="1" applyFill="1" applyBorder="1" applyAlignment="1">
      <alignment vertical="top"/>
    </xf>
    <xf numFmtId="0" fontId="22" fillId="8" borderId="43" xfId="14" applyFont="1" applyFill="1" applyBorder="1" applyAlignment="1"/>
    <xf numFmtId="0" fontId="22" fillId="0" borderId="28" xfId="14" applyFont="1" applyFill="1" applyBorder="1" applyAlignment="1"/>
    <xf numFmtId="0" fontId="1" fillId="4" borderId="28" xfId="22" applyFont="1" applyFill="1" applyBorder="1" applyAlignment="1">
      <alignment vertical="top"/>
    </xf>
    <xf numFmtId="0" fontId="16" fillId="4" borderId="43" xfId="14" applyFont="1" applyFill="1" applyBorder="1" applyAlignment="1"/>
    <xf numFmtId="0" fontId="20" fillId="0" borderId="68" xfId="14" applyFont="1" applyFill="1" applyBorder="1" applyAlignment="1"/>
    <xf numFmtId="0" fontId="22" fillId="0" borderId="84" xfId="14" applyFont="1" applyFill="1" applyBorder="1" applyAlignment="1"/>
    <xf numFmtId="0" fontId="25" fillId="8" borderId="28" xfId="33" applyFont="1" applyFill="1" applyBorder="1" applyAlignment="1"/>
    <xf numFmtId="0" fontId="20" fillId="0" borderId="43" xfId="14" applyFont="1" applyFill="1" applyBorder="1" applyAlignment="1"/>
    <xf numFmtId="0" fontId="22" fillId="0" borderId="85" xfId="14" applyFont="1" applyFill="1" applyBorder="1" applyAlignment="1"/>
    <xf numFmtId="0" fontId="1" fillId="4" borderId="80" xfId="22" applyFont="1" applyFill="1" applyBorder="1" applyAlignment="1">
      <alignment vertical="top"/>
    </xf>
    <xf numFmtId="0" fontId="16" fillId="4" borderId="56" xfId="14" applyFont="1" applyFill="1" applyBorder="1" applyAlignment="1"/>
    <xf numFmtId="0" fontId="20" fillId="0" borderId="86" xfId="22" applyFont="1" applyFill="1" applyBorder="1" applyAlignment="1">
      <alignment vertical="top"/>
    </xf>
    <xf numFmtId="0" fontId="20" fillId="0" borderId="87" xfId="22" applyFont="1" applyFill="1" applyBorder="1" applyAlignment="1">
      <alignment vertical="top"/>
    </xf>
    <xf numFmtId="0" fontId="22" fillId="0" borderId="87" xfId="22" applyFont="1" applyBorder="1" applyAlignment="1">
      <alignment vertical="top"/>
    </xf>
    <xf numFmtId="0" fontId="22" fillId="0" borderId="86" xfId="22" applyFont="1" applyBorder="1" applyAlignment="1">
      <alignment vertical="top"/>
    </xf>
    <xf numFmtId="0" fontId="20" fillId="0" borderId="42" xfId="22" applyFont="1" applyBorder="1" applyAlignment="1">
      <alignment vertical="top"/>
    </xf>
    <xf numFmtId="0" fontId="1" fillId="7" borderId="43" xfId="22" applyFont="1" applyFill="1" applyBorder="1" applyAlignment="1">
      <alignment vertical="top"/>
    </xf>
    <xf numFmtId="0" fontId="34" fillId="0" borderId="42" xfId="33" applyFont="1" applyFill="1" applyBorder="1" applyAlignment="1">
      <alignment vertical="top"/>
    </xf>
    <xf numFmtId="0" fontId="23" fillId="7" borderId="88" xfId="33" applyFont="1" applyFill="1" applyBorder="1" applyAlignment="1"/>
    <xf numFmtId="0" fontId="1" fillId="7" borderId="81" xfId="22" applyFont="1" applyFill="1" applyBorder="1" applyAlignment="1">
      <alignment vertical="top"/>
    </xf>
    <xf numFmtId="0" fontId="34" fillId="0" borderId="61" xfId="33" applyFont="1" applyFill="1" applyBorder="1" applyAlignment="1">
      <alignment vertical="top"/>
    </xf>
    <xf numFmtId="0" fontId="1" fillId="0" borderId="89" xfId="22" applyFont="1" applyFill="1" applyBorder="1" applyAlignment="1">
      <alignment vertical="top"/>
    </xf>
    <xf numFmtId="0" fontId="35" fillId="0" borderId="0" xfId="22" applyFont="1" applyFill="1" applyBorder="1" applyAlignment="1">
      <alignment vertical="top"/>
    </xf>
    <xf numFmtId="0" fontId="20" fillId="0" borderId="43" xfId="22" applyFont="1" applyBorder="1" applyAlignment="1">
      <alignment vertical="top"/>
    </xf>
    <xf numFmtId="0" fontId="35" fillId="0" borderId="28" xfId="22" applyFont="1" applyFill="1" applyBorder="1" applyAlignment="1">
      <alignment vertical="top"/>
    </xf>
    <xf numFmtId="0" fontId="1" fillId="0" borderId="43" xfId="22" applyFont="1" applyFill="1" applyBorder="1" applyAlignment="1">
      <alignment vertical="top"/>
    </xf>
    <xf numFmtId="0" fontId="20" fillId="0" borderId="0" xfId="22" applyNumberFormat="1" applyFont="1" applyFill="1" applyBorder="1" applyAlignment="1">
      <alignment vertical="top"/>
    </xf>
    <xf numFmtId="0" fontId="34" fillId="0" borderId="82" xfId="33" applyFont="1" applyFill="1" applyBorder="1" applyAlignment="1"/>
    <xf numFmtId="0" fontId="20" fillId="0" borderId="79" xfId="22" applyFont="1" applyBorder="1" applyAlignment="1">
      <alignment vertical="top"/>
    </xf>
    <xf numFmtId="0" fontId="34" fillId="0" borderId="80" xfId="33" applyFont="1" applyFill="1" applyBorder="1" applyAlignment="1"/>
    <xf numFmtId="0" fontId="22" fillId="0" borderId="49" xfId="22" applyFont="1" applyBorder="1" applyAlignment="1">
      <alignment vertical="top"/>
    </xf>
    <xf numFmtId="0" fontId="22" fillId="15" borderId="51" xfId="22" applyFont="1" applyFill="1" applyBorder="1" applyAlignment="1">
      <alignment vertical="top"/>
    </xf>
    <xf numFmtId="0" fontId="16" fillId="16" borderId="79" xfId="22" applyFont="1" applyFill="1" applyBorder="1" applyAlignment="1">
      <alignment vertical="top"/>
    </xf>
    <xf numFmtId="0" fontId="22" fillId="15" borderId="62" xfId="22" applyFont="1" applyFill="1" applyBorder="1" applyAlignment="1">
      <alignment vertical="top"/>
    </xf>
    <xf numFmtId="0" fontId="16" fillId="15" borderId="90" xfId="22" applyFont="1" applyFill="1" applyBorder="1" applyAlignment="1">
      <alignment vertical="top"/>
    </xf>
    <xf numFmtId="0" fontId="20" fillId="0" borderId="43" xfId="1" applyFont="1" applyFill="1" applyBorder="1" applyAlignment="1">
      <alignment vertical="top"/>
    </xf>
    <xf numFmtId="0" fontId="16" fillId="5" borderId="91" xfId="22" applyFont="1" applyFill="1" applyBorder="1" applyAlignment="1">
      <alignment vertical="top"/>
    </xf>
    <xf numFmtId="0" fontId="16" fillId="0" borderId="92" xfId="22" applyFont="1" applyFill="1" applyBorder="1" applyAlignment="1">
      <alignment vertical="top"/>
    </xf>
    <xf numFmtId="0" fontId="20" fillId="0" borderId="28" xfId="33" applyFont="1" applyFill="1" applyBorder="1" applyAlignment="1"/>
    <xf numFmtId="0" fontId="16" fillId="5" borderId="64" xfId="22" applyFont="1" applyFill="1" applyBorder="1" applyAlignment="1">
      <alignment vertical="top"/>
    </xf>
    <xf numFmtId="0" fontId="22" fillId="0" borderId="79" xfId="22" applyFont="1" applyFill="1" applyBorder="1" applyAlignment="1">
      <alignment vertical="top"/>
    </xf>
    <xf numFmtId="0" fontId="20" fillId="0" borderId="82" xfId="22" applyFont="1" applyFill="1" applyBorder="1" applyAlignment="1">
      <alignment vertical="top"/>
    </xf>
    <xf numFmtId="0" fontId="22" fillId="0" borderId="82" xfId="22" applyFont="1" applyFill="1" applyBorder="1" applyAlignment="1">
      <alignment vertical="top"/>
    </xf>
    <xf numFmtId="0" fontId="20" fillId="0" borderId="80" xfId="22" applyFont="1" applyBorder="1" applyAlignment="1">
      <alignment vertical="top"/>
    </xf>
    <xf numFmtId="0" fontId="22" fillId="0" borderId="79" xfId="22" applyFont="1" applyBorder="1" applyAlignment="1">
      <alignment vertical="top"/>
    </xf>
    <xf numFmtId="0" fontId="22" fillId="0" borderId="82" xfId="22" applyFont="1" applyBorder="1" applyAlignment="1">
      <alignment vertical="top"/>
    </xf>
    <xf numFmtId="0" fontId="36" fillId="0" borderId="80" xfId="33" applyFont="1" applyFill="1" applyBorder="1" applyAlignment="1"/>
    <xf numFmtId="0" fontId="16" fillId="0" borderId="82" xfId="22" applyFont="1" applyFill="1" applyBorder="1" applyAlignment="1">
      <alignment vertical="top"/>
    </xf>
    <xf numFmtId="0" fontId="22" fillId="0" borderId="80" xfId="22" applyFont="1" applyBorder="1" applyAlignment="1">
      <alignment vertical="top"/>
    </xf>
    <xf numFmtId="0" fontId="20" fillId="0" borderId="0" xfId="33" applyFont="1" applyFill="1" applyBorder="1" applyAlignment="1"/>
    <xf numFmtId="0" fontId="20" fillId="0" borderId="50" xfId="22" applyFont="1" applyFill="1" applyBorder="1" applyAlignment="1"/>
    <xf numFmtId="0" fontId="22" fillId="15" borderId="48" xfId="22" applyFont="1" applyFill="1" applyBorder="1" applyAlignment="1"/>
    <xf numFmtId="0" fontId="22" fillId="15" borderId="62" xfId="22" applyFont="1" applyFill="1" applyBorder="1" applyAlignment="1"/>
    <xf numFmtId="0" fontId="22" fillId="0" borderId="50" xfId="22" applyFont="1" applyFill="1" applyBorder="1" applyAlignment="1"/>
    <xf numFmtId="0" fontId="22" fillId="15" borderId="83" xfId="22" applyFont="1" applyFill="1" applyBorder="1" applyAlignment="1"/>
    <xf numFmtId="0" fontId="22" fillId="0" borderId="49" xfId="22" applyFont="1" applyFill="1" applyBorder="1" applyAlignment="1"/>
    <xf numFmtId="0" fontId="23" fillId="9" borderId="50" xfId="33" applyFont="1" applyFill="1" applyBorder="1" applyAlignment="1"/>
    <xf numFmtId="0" fontId="20" fillId="0" borderId="28" xfId="22" applyFont="1" applyFill="1" applyBorder="1" applyAlignment="1"/>
    <xf numFmtId="0" fontId="22" fillId="0" borderId="43" xfId="22" applyFont="1" applyFill="1" applyBorder="1" applyAlignment="1"/>
    <xf numFmtId="0" fontId="22" fillId="0" borderId="0" xfId="22" applyFont="1" applyFill="1" applyBorder="1" applyAlignment="1"/>
    <xf numFmtId="0" fontId="22" fillId="0" borderId="29" xfId="22" applyFont="1" applyFill="1" applyBorder="1" applyAlignment="1"/>
    <xf numFmtId="0" fontId="42" fillId="0" borderId="43" xfId="22" applyFont="1" applyFill="1" applyBorder="1" applyAlignment="1"/>
    <xf numFmtId="0" fontId="1" fillId="9" borderId="28" xfId="22" applyFont="1" applyFill="1" applyBorder="1" applyAlignment="1"/>
    <xf numFmtId="0" fontId="16" fillId="9" borderId="43" xfId="22" applyFont="1" applyFill="1" applyBorder="1" applyAlignment="1"/>
    <xf numFmtId="0" fontId="16" fillId="4" borderId="43" xfId="22" applyFont="1" applyFill="1" applyBorder="1" applyAlignment="1"/>
    <xf numFmtId="0" fontId="20" fillId="0" borderId="68" xfId="22" applyFont="1" applyFill="1" applyBorder="1" applyAlignment="1"/>
    <xf numFmtId="0" fontId="22" fillId="0" borderId="69" xfId="22" applyFont="1" applyFill="1" applyBorder="1" applyAlignment="1"/>
    <xf numFmtId="0" fontId="22" fillId="0" borderId="70" xfId="22" applyFont="1" applyFill="1" applyBorder="1" applyAlignment="1"/>
    <xf numFmtId="0" fontId="22" fillId="0" borderId="68" xfId="22" applyFont="1" applyFill="1" applyBorder="1" applyAlignment="1"/>
    <xf numFmtId="0" fontId="22" fillId="0" borderId="84" xfId="22" applyFont="1" applyFill="1" applyBorder="1" applyAlignment="1"/>
    <xf numFmtId="0" fontId="22" fillId="0" borderId="82" xfId="22" applyFont="1" applyFill="1" applyBorder="1" applyAlignment="1"/>
    <xf numFmtId="0" fontId="22" fillId="0" borderId="79" xfId="22" applyFont="1" applyFill="1" applyBorder="1" applyAlignment="1"/>
    <xf numFmtId="0" fontId="23" fillId="9" borderId="80" xfId="33" applyFont="1" applyFill="1" applyBorder="1" applyAlignment="1"/>
    <xf numFmtId="0" fontId="21" fillId="9" borderId="79" xfId="33" applyFill="1" applyBorder="1" applyAlignment="1"/>
    <xf numFmtId="0" fontId="16" fillId="4" borderId="79" xfId="22" applyFont="1" applyFill="1" applyBorder="1" applyAlignment="1"/>
    <xf numFmtId="0" fontId="22" fillId="15" borderId="40" xfId="22" applyFont="1" applyFill="1" applyBorder="1" applyAlignment="1"/>
    <xf numFmtId="0" fontId="22" fillId="0" borderId="28" xfId="22" applyFont="1" applyFill="1" applyBorder="1" applyAlignment="1"/>
    <xf numFmtId="0" fontId="16" fillId="0" borderId="43" xfId="22" applyFont="1" applyFill="1" applyBorder="1" applyAlignment="1"/>
    <xf numFmtId="0" fontId="43" fillId="0" borderId="43" xfId="22" applyFont="1" applyFill="1" applyBorder="1" applyAlignment="1">
      <alignment horizontal="right"/>
    </xf>
    <xf numFmtId="0" fontId="16" fillId="0" borderId="28" xfId="22" applyFont="1" applyFill="1" applyBorder="1" applyAlignment="1"/>
    <xf numFmtId="0" fontId="23" fillId="8" borderId="57" xfId="33" applyFont="1" applyFill="1" applyBorder="1" applyAlignment="1"/>
    <xf numFmtId="0" fontId="16" fillId="8" borderId="93" xfId="22" applyFont="1" applyFill="1" applyBorder="1" applyAlignment="1">
      <alignment vertical="top"/>
    </xf>
    <xf numFmtId="0" fontId="20" fillId="0" borderId="80" xfId="22" applyFont="1" applyFill="1" applyBorder="1" applyAlignment="1"/>
    <xf numFmtId="0" fontId="22" fillId="0" borderId="80" xfId="22" applyFont="1" applyFill="1" applyBorder="1" applyAlignment="1"/>
    <xf numFmtId="0" fontId="16" fillId="0" borderId="80" xfId="22" applyFont="1" applyFill="1" applyBorder="1" applyAlignment="1"/>
    <xf numFmtId="0" fontId="23" fillId="8" borderId="28" xfId="33" applyFont="1" applyFill="1" applyBorder="1" applyAlignment="1"/>
    <xf numFmtId="0" fontId="1" fillId="8" borderId="79" xfId="22" applyFont="1" applyFill="1" applyBorder="1" applyAlignment="1">
      <alignment vertical="top"/>
    </xf>
    <xf numFmtId="0" fontId="16" fillId="5" borderId="43" xfId="22" applyFont="1" applyFill="1" applyBorder="1" applyAlignment="1"/>
    <xf numFmtId="0" fontId="16" fillId="7" borderId="43" xfId="22" applyFont="1" applyFill="1" applyBorder="1" applyAlignment="1"/>
    <xf numFmtId="0" fontId="23" fillId="5" borderId="28" xfId="33" applyFont="1" applyFill="1" applyBorder="1" applyAlignment="1"/>
    <xf numFmtId="0" fontId="23" fillId="7" borderId="52" xfId="33" applyFont="1" applyFill="1" applyBorder="1" applyAlignment="1"/>
    <xf numFmtId="0" fontId="16" fillId="7" borderId="56" xfId="22" applyFont="1" applyFill="1" applyBorder="1" applyAlignment="1"/>
    <xf numFmtId="0" fontId="1" fillId="16" borderId="57" xfId="14" applyFont="1" applyFill="1" applyBorder="1" applyAlignment="1"/>
    <xf numFmtId="0" fontId="16" fillId="16" borderId="93" xfId="22" applyFont="1" applyFill="1" applyBorder="1" applyAlignment="1"/>
    <xf numFmtId="0" fontId="16" fillId="16" borderId="43" xfId="22" applyFont="1" applyFill="1" applyBorder="1" applyAlignment="1"/>
    <xf numFmtId="0" fontId="23" fillId="10" borderId="50" xfId="33" applyFont="1" applyFill="1" applyBorder="1" applyAlignment="1">
      <alignment vertical="top"/>
    </xf>
    <xf numFmtId="0" fontId="1" fillId="11" borderId="50" xfId="22" applyFont="1" applyFill="1" applyBorder="1" applyAlignment="1">
      <alignment vertical="top"/>
    </xf>
    <xf numFmtId="0" fontId="14" fillId="18" borderId="94" xfId="22" applyFont="1" applyFill="1" applyBorder="1" applyAlignment="1"/>
    <xf numFmtId="0" fontId="44" fillId="0" borderId="28" xfId="22" applyFont="1" applyFill="1" applyBorder="1" applyAlignment="1"/>
    <xf numFmtId="0" fontId="1" fillId="10" borderId="52" xfId="22" applyFont="1" applyFill="1" applyBorder="1" applyAlignment="1">
      <alignment vertical="top"/>
    </xf>
    <xf numFmtId="0" fontId="21" fillId="10" borderId="93" xfId="33" applyFill="1" applyBorder="1" applyAlignment="1">
      <alignment horizontal="right"/>
    </xf>
    <xf numFmtId="0" fontId="1" fillId="11" borderId="0" xfId="22" applyFont="1" applyFill="1" applyAlignment="1">
      <alignment vertical="top"/>
    </xf>
    <xf numFmtId="0" fontId="16" fillId="11" borderId="43" xfId="22" applyFont="1" applyFill="1" applyBorder="1" applyAlignment="1">
      <alignment vertical="top"/>
    </xf>
    <xf numFmtId="0" fontId="1" fillId="0" borderId="57" xfId="22" applyFont="1" applyFill="1" applyBorder="1" applyAlignment="1">
      <alignment vertical="top"/>
    </xf>
    <xf numFmtId="0" fontId="16" fillId="0" borderId="93" xfId="22" applyFont="1" applyFill="1" applyBorder="1" applyAlignment="1"/>
    <xf numFmtId="0" fontId="1" fillId="11" borderId="28" xfId="22" applyFont="1" applyFill="1" applyBorder="1" applyAlignment="1"/>
    <xf numFmtId="0" fontId="1" fillId="0" borderId="28" xfId="22" applyFont="1" applyFill="1" applyBorder="1" applyAlignment="1">
      <alignment vertical="top"/>
    </xf>
    <xf numFmtId="0" fontId="21" fillId="0" borderId="43" xfId="33" applyFill="1" applyBorder="1" applyAlignment="1"/>
    <xf numFmtId="0" fontId="23" fillId="10" borderId="28" xfId="33" applyFont="1" applyFill="1" applyBorder="1" applyAlignment="1"/>
    <xf numFmtId="0" fontId="16" fillId="10" borderId="43" xfId="22" applyFont="1" applyFill="1" applyBorder="1" applyAlignment="1"/>
    <xf numFmtId="0" fontId="1" fillId="11" borderId="28" xfId="33" applyFont="1" applyFill="1" applyBorder="1" applyAlignment="1"/>
    <xf numFmtId="0" fontId="36" fillId="0" borderId="57" xfId="33" applyFont="1" applyFill="1" applyBorder="1" applyAlignment="1"/>
    <xf numFmtId="0" fontId="20" fillId="0" borderId="93" xfId="22" applyFont="1" applyBorder="1" applyAlignment="1">
      <alignment vertical="top"/>
    </xf>
    <xf numFmtId="0" fontId="23" fillId="11" borderId="28" xfId="33" applyFont="1" applyFill="1" applyBorder="1" applyAlignment="1"/>
    <xf numFmtId="0" fontId="44" fillId="0" borderId="80" xfId="22" applyFont="1" applyFill="1" applyBorder="1" applyAlignment="1"/>
    <xf numFmtId="0" fontId="36" fillId="0" borderId="80" xfId="33" applyFont="1" applyBorder="1" applyAlignment="1"/>
    <xf numFmtId="0" fontId="1" fillId="11" borderId="80" xfId="22" applyFont="1" applyFill="1" applyBorder="1" applyAlignment="1">
      <alignment vertical="top"/>
    </xf>
    <xf numFmtId="0" fontId="16" fillId="11" borderId="79" xfId="22" applyFont="1" applyFill="1" applyBorder="1" applyAlignment="1">
      <alignment vertical="top"/>
    </xf>
    <xf numFmtId="0" fontId="20" fillId="0" borderId="0" xfId="22" applyFont="1" applyFill="1" applyAlignment="1">
      <alignment vertical="top"/>
    </xf>
    <xf numFmtId="0" fontId="20" fillId="0" borderId="49" xfId="22" applyFont="1" applyFill="1" applyBorder="1" applyAlignment="1"/>
    <xf numFmtId="0" fontId="20" fillId="0" borderId="0" xfId="22" applyFont="1" applyFill="1" applyBorder="1" applyAlignment="1"/>
    <xf numFmtId="0" fontId="16" fillId="4" borderId="56" xfId="22" applyFont="1" applyFill="1" applyBorder="1" applyAlignment="1">
      <alignment vertical="top"/>
    </xf>
    <xf numFmtId="0" fontId="21" fillId="0" borderId="56" xfId="33" applyFill="1" applyBorder="1" applyAlignment="1"/>
    <xf numFmtId="0" fontId="34" fillId="0" borderId="58" xfId="33" applyFont="1" applyFill="1" applyBorder="1" applyAlignment="1"/>
    <xf numFmtId="0" fontId="21" fillId="0" borderId="93" xfId="33" applyFill="1" applyBorder="1" applyAlignment="1"/>
    <xf numFmtId="0" fontId="1" fillId="0" borderId="50" xfId="22" applyFont="1" applyFill="1" applyBorder="1" applyAlignment="1">
      <alignment vertical="top"/>
    </xf>
    <xf numFmtId="0" fontId="16" fillId="16" borderId="79" xfId="22" applyFont="1" applyFill="1" applyBorder="1" applyAlignment="1"/>
    <xf numFmtId="0" fontId="1" fillId="0" borderId="80" xfId="22" applyFont="1" applyFill="1" applyBorder="1" applyAlignment="1">
      <alignment vertical="top"/>
    </xf>
    <xf numFmtId="0" fontId="20" fillId="0" borderId="79" xfId="14" applyFont="1" applyFill="1" applyBorder="1" applyAlignment="1"/>
    <xf numFmtId="0" fontId="22" fillId="0" borderId="49" xfId="22" applyFont="1" applyFill="1" applyBorder="1" applyAlignment="1">
      <alignment vertical="top"/>
    </xf>
    <xf numFmtId="0" fontId="16" fillId="15" borderId="62" xfId="22" applyFont="1" applyFill="1" applyBorder="1" applyAlignment="1"/>
    <xf numFmtId="0" fontId="16" fillId="0" borderId="0" xfId="22" applyFont="1" applyFill="1" applyBorder="1" applyAlignment="1"/>
    <xf numFmtId="0" fontId="16" fillId="19" borderId="43" xfId="22" applyFont="1" applyFill="1" applyBorder="1" applyAlignment="1"/>
    <xf numFmtId="0" fontId="22" fillId="0" borderId="80" xfId="22" applyFont="1" applyFill="1" applyBorder="1" applyAlignment="1">
      <alignment vertical="top"/>
    </xf>
    <xf numFmtId="0" fontId="16" fillId="0" borderId="79" xfId="22" applyFont="1" applyFill="1" applyBorder="1" applyAlignment="1"/>
    <xf numFmtId="0" fontId="16" fillId="19" borderId="79" xfId="22" applyFont="1" applyFill="1" applyBorder="1" applyAlignment="1"/>
    <xf numFmtId="0" fontId="22" fillId="14" borderId="0" xfId="22" applyFont="1" applyFill="1" applyBorder="1" applyAlignment="1"/>
    <xf numFmtId="0" fontId="20" fillId="17" borderId="0" xfId="22" applyFont="1" applyFill="1" applyBorder="1" applyAlignment="1"/>
    <xf numFmtId="0" fontId="1" fillId="0" borderId="0" xfId="22" applyFont="1" applyFill="1" applyBorder="1" applyAlignment="1"/>
    <xf numFmtId="0" fontId="22" fillId="5" borderId="43" xfId="14" applyFont="1" applyFill="1" applyBorder="1" applyAlignment="1"/>
    <xf numFmtId="0" fontId="22" fillId="4" borderId="43" xfId="14" applyFont="1" applyFill="1" applyBorder="1" applyAlignment="1"/>
    <xf numFmtId="0" fontId="20" fillId="5" borderId="79" xfId="14" applyFont="1" applyFill="1" applyBorder="1" applyAlignment="1"/>
    <xf numFmtId="0" fontId="20" fillId="4" borderId="79" xfId="14" applyFont="1" applyFill="1" applyBorder="1" applyAlignment="1"/>
    <xf numFmtId="0" fontId="22" fillId="0" borderId="85" xfId="22" applyFont="1" applyFill="1" applyBorder="1" applyAlignment="1">
      <alignment vertical="top"/>
    </xf>
    <xf numFmtId="0" fontId="22" fillId="0" borderId="81" xfId="14" applyFont="1" applyFill="1" applyBorder="1" applyAlignment="1"/>
    <xf numFmtId="0" fontId="22" fillId="5" borderId="89" xfId="14" applyFont="1" applyFill="1" applyBorder="1" applyAlignment="1"/>
    <xf numFmtId="0" fontId="22" fillId="0" borderId="45" xfId="22" applyFont="1" applyFill="1" applyBorder="1" applyAlignment="1">
      <alignment vertical="top"/>
    </xf>
    <xf numFmtId="0" fontId="14" fillId="20" borderId="48" xfId="22" applyFont="1" applyFill="1" applyBorder="1" applyAlignment="1"/>
    <xf numFmtId="0" fontId="45" fillId="0" borderId="31" xfId="14" applyFont="1" applyFill="1" applyBorder="1" applyAlignment="1"/>
    <xf numFmtId="0" fontId="14" fillId="9" borderId="43" xfId="22" applyFont="1" applyFill="1" applyBorder="1" applyAlignment="1"/>
    <xf numFmtId="0" fontId="23" fillId="0" borderId="50" xfId="33" applyFont="1" applyFill="1" applyBorder="1" applyAlignment="1">
      <alignment vertical="top"/>
    </xf>
    <xf numFmtId="0" fontId="0" fillId="13" borderId="57" xfId="33" applyFont="1" applyFill="1" applyBorder="1" applyAlignment="1"/>
    <xf numFmtId="0" fontId="1" fillId="0" borderId="0" xfId="33" applyFont="1" applyFill="1" applyBorder="1" applyAlignment="1"/>
    <xf numFmtId="0" fontId="0" fillId="13" borderId="0" xfId="33" applyFont="1" applyFill="1" applyBorder="1" applyAlignment="1"/>
    <xf numFmtId="0" fontId="22" fillId="13" borderId="43" xfId="14" applyFont="1" applyFill="1" applyBorder="1" applyAlignment="1"/>
    <xf numFmtId="0" fontId="23" fillId="0" borderId="80" xfId="33" applyFont="1" applyBorder="1"/>
    <xf numFmtId="0" fontId="23" fillId="11" borderId="80" xfId="33" applyFont="1" applyFill="1" applyBorder="1" applyAlignment="1"/>
    <xf numFmtId="0" fontId="22" fillId="13" borderId="79" xfId="14" applyFont="1" applyFill="1" applyBorder="1" applyAlignment="1"/>
    <xf numFmtId="0" fontId="0" fillId="0" borderId="0" xfId="0" applyFont="1" applyFill="1" applyAlignment="1"/>
    <xf numFmtId="0" fontId="0" fillId="5" borderId="0" xfId="0" applyFont="1" applyFill="1" applyAlignment="1"/>
    <xf numFmtId="0" fontId="0" fillId="0" borderId="0" xfId="0" applyFont="1" applyAlignment="1"/>
    <xf numFmtId="0" fontId="46" fillId="0" borderId="0" xfId="0" applyFont="1" applyAlignment="1"/>
    <xf numFmtId="0" fontId="35" fillId="0" borderId="0" xfId="0" applyFont="1" applyAlignment="1">
      <alignment horizontal="right"/>
    </xf>
    <xf numFmtId="164" fontId="22" fillId="0" borderId="0" xfId="19" applyNumberFormat="1" applyFont="1" applyAlignment="1">
      <alignment horizontal="left"/>
    </xf>
    <xf numFmtId="20" fontId="22" fillId="0" borderId="0" xfId="19" applyNumberFormat="1" applyFont="1" applyAlignment="1">
      <alignment horizontal="left"/>
    </xf>
    <xf numFmtId="0" fontId="20" fillId="0" borderId="0" xfId="19" applyFont="1" applyAlignment="1"/>
    <xf numFmtId="0" fontId="20" fillId="0" borderId="0" xfId="19" applyFont="1" applyAlignment="1">
      <alignment horizontal="center"/>
    </xf>
    <xf numFmtId="165" fontId="20" fillId="0" borderId="0" xfId="19" applyNumberFormat="1" applyFont="1" applyAlignment="1">
      <alignment horizontal="right"/>
    </xf>
    <xf numFmtId="0" fontId="1" fillId="4" borderId="0" xfId="14" applyFont="1" applyFill="1" applyAlignment="1">
      <alignment vertical="top"/>
    </xf>
    <xf numFmtId="0" fontId="0" fillId="0" borderId="0" xfId="22" applyFont="1" applyAlignment="1">
      <alignment vertical="top"/>
    </xf>
    <xf numFmtId="0" fontId="20" fillId="4" borderId="0" xfId="22" applyFont="1" applyFill="1" applyAlignment="1">
      <alignment vertical="top"/>
    </xf>
    <xf numFmtId="0" fontId="21" fillId="0" borderId="43" xfId="33" applyFill="1" applyBorder="1" applyAlignment="1">
      <alignment vertical="top"/>
    </xf>
    <xf numFmtId="0" fontId="22" fillId="4" borderId="0" xfId="22" applyFont="1" applyFill="1" applyAlignment="1">
      <alignment vertical="top"/>
    </xf>
    <xf numFmtId="0" fontId="0" fillId="4" borderId="0" xfId="0" applyFill="1"/>
    <xf numFmtId="0" fontId="34" fillId="0" borderId="0" xfId="22" applyFont="1" applyBorder="1" applyAlignment="1">
      <alignment horizontal="right" vertical="top"/>
    </xf>
    <xf numFmtId="0" fontId="35" fillId="0" borderId="81" xfId="14" applyFont="1" applyFill="1" applyBorder="1" applyAlignment="1">
      <alignment horizontal="right"/>
    </xf>
    <xf numFmtId="0" fontId="35" fillId="0" borderId="0" xfId="0" applyFont="1"/>
    <xf numFmtId="0" fontId="0" fillId="4" borderId="0" xfId="0" applyFont="1" applyFill="1" applyAlignment="1"/>
    <xf numFmtId="0" fontId="35" fillId="0" borderId="43" xfId="14" applyFont="1" applyFill="1" applyBorder="1" applyAlignment="1">
      <alignment horizontal="right"/>
    </xf>
    <xf numFmtId="0" fontId="34" fillId="0" borderId="28" xfId="14" applyFont="1" applyFill="1" applyBorder="1" applyAlignment="1"/>
    <xf numFmtId="0" fontId="16" fillId="0" borderId="0" xfId="0" applyFont="1"/>
    <xf numFmtId="0" fontId="0" fillId="0" borderId="0" xfId="0" applyFont="1"/>
    <xf numFmtId="0" fontId="0" fillId="0" borderId="97" xfId="0" applyFont="1" applyBorder="1"/>
    <xf numFmtId="0" fontId="1" fillId="16" borderId="2" xfId="2" applyNumberFormat="1" applyFont="1" applyFill="1" applyBorder="1" applyAlignment="1" applyProtection="1">
      <alignment horizontal="center" vertical="center"/>
    </xf>
    <xf numFmtId="0" fontId="1" fillId="16" borderId="98" xfId="2" applyNumberFormat="1" applyFont="1" applyFill="1" applyBorder="1" applyAlignment="1" applyProtection="1">
      <alignment horizontal="center" vertical="center"/>
    </xf>
    <xf numFmtId="0" fontId="1" fillId="16" borderId="99" xfId="2" applyNumberFormat="1" applyFont="1" applyFill="1" applyBorder="1" applyAlignment="1" applyProtection="1">
      <alignment horizontal="center" vertical="center"/>
    </xf>
    <xf numFmtId="0" fontId="47" fillId="16" borderId="97" xfId="0" applyFont="1" applyFill="1" applyBorder="1" applyAlignment="1">
      <alignment horizontal="center"/>
    </xf>
    <xf numFmtId="0" fontId="47" fillId="16" borderId="100" xfId="0" applyFont="1" applyFill="1" applyBorder="1" applyAlignment="1">
      <alignment horizontal="center"/>
    </xf>
    <xf numFmtId="0" fontId="47" fillId="16" borderId="101" xfId="0" applyFont="1" applyFill="1" applyBorder="1" applyAlignment="1">
      <alignment horizontal="center"/>
    </xf>
    <xf numFmtId="0" fontId="16" fillId="4" borderId="97" xfId="0" applyFont="1" applyFill="1" applyBorder="1" applyAlignment="1">
      <alignment horizontal="center"/>
    </xf>
    <xf numFmtId="0" fontId="16" fillId="0" borderId="97" xfId="0" applyFont="1" applyBorder="1" applyAlignment="1">
      <alignment horizontal="center"/>
    </xf>
    <xf numFmtId="0" fontId="0" fillId="16" borderId="97" xfId="0" applyNumberFormat="1" applyFont="1" applyFill="1" applyBorder="1" applyAlignment="1">
      <alignment horizontal="center"/>
    </xf>
    <xf numFmtId="0" fontId="0" fillId="16" borderId="100" xfId="0" applyNumberFormat="1" applyFont="1" applyFill="1" applyBorder="1" applyAlignment="1">
      <alignment horizontal="center"/>
    </xf>
    <xf numFmtId="16" fontId="48" fillId="16" borderId="101" xfId="0" applyNumberFormat="1" applyFont="1" applyFill="1" applyBorder="1" applyAlignment="1">
      <alignment horizontal="center"/>
    </xf>
    <xf numFmtId="0" fontId="16" fillId="4" borderId="97" xfId="0" applyFont="1" applyFill="1" applyBorder="1"/>
    <xf numFmtId="0" fontId="0" fillId="3" borderId="97" xfId="0" applyFont="1" applyFill="1" applyBorder="1" applyAlignment="1">
      <alignment horizontal="center"/>
    </xf>
    <xf numFmtId="0" fontId="0" fillId="3" borderId="100" xfId="0" applyFont="1" applyFill="1" applyBorder="1" applyAlignment="1">
      <alignment horizontal="center"/>
    </xf>
    <xf numFmtId="0" fontId="48" fillId="4" borderId="101" xfId="0" applyNumberFormat="1" applyFont="1" applyFill="1" applyBorder="1" applyAlignment="1">
      <alignment horizontal="center"/>
    </xf>
    <xf numFmtId="0" fontId="0" fillId="21" borderId="97" xfId="0" applyFont="1" applyFill="1" applyBorder="1" applyAlignment="1">
      <alignment horizontal="center"/>
    </xf>
    <xf numFmtId="0" fontId="0" fillId="4" borderId="97" xfId="0" applyFont="1" applyFill="1" applyBorder="1" applyAlignment="1">
      <alignment horizontal="center"/>
    </xf>
    <xf numFmtId="0" fontId="0" fillId="0" borderId="100" xfId="0" applyFont="1" applyBorder="1" applyAlignment="1">
      <alignment horizontal="center"/>
    </xf>
    <xf numFmtId="0" fontId="48" fillId="0" borderId="101" xfId="0" applyNumberFormat="1" applyFont="1" applyFill="1" applyBorder="1" applyAlignment="1">
      <alignment horizontal="center"/>
    </xf>
    <xf numFmtId="0" fontId="0" fillId="0" borderId="97" xfId="0" applyFont="1" applyBorder="1" applyAlignment="1">
      <alignment horizontal="center"/>
    </xf>
    <xf numFmtId="0" fontId="0" fillId="4" borderId="100" xfId="0" applyFont="1" applyFill="1" applyBorder="1" applyAlignment="1">
      <alignment horizontal="center"/>
    </xf>
    <xf numFmtId="0" fontId="48" fillId="3" borderId="101" xfId="0" applyNumberFormat="1" applyFont="1" applyFill="1" applyBorder="1" applyAlignment="1">
      <alignment horizontal="center"/>
    </xf>
    <xf numFmtId="0" fontId="0" fillId="21" borderId="100" xfId="0" applyFont="1" applyFill="1" applyBorder="1" applyAlignment="1">
      <alignment horizontal="center"/>
    </xf>
    <xf numFmtId="0" fontId="48" fillId="21" borderId="101" xfId="0" applyNumberFormat="1" applyFont="1" applyFill="1" applyBorder="1" applyAlignment="1">
      <alignment horizontal="center"/>
    </xf>
    <xf numFmtId="0" fontId="0" fillId="22" borderId="97" xfId="0" applyFont="1" applyFill="1" applyBorder="1"/>
    <xf numFmtId="0" fontId="16" fillId="4" borderId="0" xfId="0" applyFont="1" applyFill="1"/>
    <xf numFmtId="0" fontId="0" fillId="4" borderId="0" xfId="0" applyFont="1" applyFill="1" applyBorder="1" applyAlignment="1">
      <alignment horizontal="right"/>
    </xf>
    <xf numFmtId="0" fontId="0" fillId="4" borderId="0" xfId="0" applyFont="1" applyFill="1"/>
    <xf numFmtId="0" fontId="0" fillId="4" borderId="0" xfId="0" applyFont="1" applyFill="1" applyAlignment="1">
      <alignment horizontal="center"/>
    </xf>
    <xf numFmtId="0" fontId="16" fillId="3" borderId="0" xfId="8" applyFont="1" applyFill="1" applyAlignment="1"/>
    <xf numFmtId="0" fontId="1" fillId="4" borderId="0" xfId="8" applyFont="1" applyFill="1" applyAlignment="1"/>
    <xf numFmtId="0" fontId="1" fillId="21" borderId="0" xfId="8" applyFont="1" applyFill="1" applyAlignment="1"/>
    <xf numFmtId="0" fontId="1" fillId="0" borderId="0" xfId="8" applyFont="1" applyFill="1" applyAlignment="1"/>
    <xf numFmtId="0" fontId="1" fillId="4" borderId="0" xfId="8" applyFont="1" applyFill="1" applyAlignment="1">
      <alignment horizontal="center"/>
    </xf>
    <xf numFmtId="0" fontId="1" fillId="0" borderId="0" xfId="8" applyFont="1" applyFill="1" applyAlignment="1">
      <alignment horizontal="center"/>
    </xf>
    <xf numFmtId="0" fontId="18" fillId="0" borderId="0" xfId="25" applyFont="1" applyBorder="1" applyAlignment="1"/>
    <xf numFmtId="0" fontId="1" fillId="4" borderId="0" xfId="25" applyFont="1" applyFill="1" applyAlignment="1"/>
    <xf numFmtId="0" fontId="16" fillId="4" borderId="0" xfId="25" applyFont="1" applyFill="1" applyAlignment="1"/>
    <xf numFmtId="0" fontId="1" fillId="0" borderId="0" xfId="25" applyFont="1" applyAlignment="1"/>
    <xf numFmtId="0" fontId="15" fillId="4" borderId="0" xfId="8" applyFont="1" applyFill="1" applyAlignment="1">
      <alignment horizontal="right"/>
    </xf>
    <xf numFmtId="0" fontId="49" fillId="0" borderId="0" xfId="12" applyFont="1" applyFill="1" applyAlignment="1"/>
    <xf numFmtId="0" fontId="16" fillId="0" borderId="0" xfId="8" applyFont="1" applyFill="1" applyAlignment="1"/>
    <xf numFmtId="0" fontId="40" fillId="0" borderId="0" xfId="14" applyNumberFormat="1" applyFont="1" applyFill="1" applyBorder="1" applyAlignment="1"/>
    <xf numFmtId="0" fontId="16" fillId="0" borderId="0" xfId="25" applyFont="1" applyAlignment="1"/>
    <xf numFmtId="0" fontId="1" fillId="0" borderId="0" xfId="25" applyFont="1" applyFill="1" applyAlignment="1"/>
    <xf numFmtId="0" fontId="28" fillId="17" borderId="0" xfId="8" applyFont="1" applyFill="1" applyAlignment="1">
      <alignment horizontal="center"/>
    </xf>
    <xf numFmtId="0" fontId="0" fillId="23" borderId="0" xfId="8" applyFont="1" applyFill="1" applyAlignment="1"/>
    <xf numFmtId="0" fontId="1" fillId="23" borderId="0" xfId="8" applyFont="1" applyFill="1" applyAlignment="1"/>
    <xf numFmtId="0" fontId="50" fillId="0" borderId="2" xfId="8" applyFont="1" applyBorder="1" applyAlignment="1">
      <alignment vertical="top" wrapText="1"/>
    </xf>
    <xf numFmtId="0" fontId="1" fillId="0" borderId="2" xfId="6" applyFont="1" applyFill="1" applyBorder="1" applyAlignment="1">
      <alignment wrapText="1"/>
    </xf>
    <xf numFmtId="0" fontId="1" fillId="3" borderId="2" xfId="6" applyFont="1" applyFill="1" applyBorder="1" applyAlignment="1">
      <alignment wrapText="1"/>
    </xf>
    <xf numFmtId="0" fontId="1" fillId="7" borderId="2" xfId="6" applyFont="1" applyFill="1" applyBorder="1" applyAlignment="1">
      <alignment wrapText="1"/>
    </xf>
    <xf numFmtId="0" fontId="1" fillId="5" borderId="2" xfId="2" applyNumberFormat="1" applyFont="1" applyFill="1" applyBorder="1" applyAlignment="1" applyProtection="1">
      <alignment horizontal="center" vertical="top" textRotation="90"/>
    </xf>
    <xf numFmtId="0" fontId="0" fillId="5" borderId="2" xfId="2" applyNumberFormat="1" applyFont="1" applyFill="1" applyBorder="1" applyAlignment="1" applyProtection="1">
      <alignment horizontal="center" vertical="top" textRotation="90"/>
    </xf>
    <xf numFmtId="0" fontId="1" fillId="5" borderId="2" xfId="2" applyNumberFormat="1" applyFont="1" applyFill="1" applyBorder="1" applyAlignment="1" applyProtection="1">
      <alignment textRotation="90"/>
    </xf>
    <xf numFmtId="0" fontId="51" fillId="5" borderId="98" xfId="2" applyNumberFormat="1" applyFont="1" applyFill="1" applyBorder="1" applyAlignment="1" applyProtection="1"/>
    <xf numFmtId="0" fontId="52" fillId="5" borderId="99" xfId="2" applyNumberFormat="1" applyFont="1" applyFill="1" applyBorder="1" applyAlignment="1" applyProtection="1">
      <alignment horizontal="center" vertical="top" textRotation="90" wrapText="1"/>
    </xf>
    <xf numFmtId="0" fontId="16" fillId="4" borderId="2" xfId="8" applyFont="1" applyFill="1" applyBorder="1" applyAlignment="1">
      <alignment horizontal="right"/>
    </xf>
    <xf numFmtId="0" fontId="0" fillId="0" borderId="2" xfId="8" applyFont="1" applyBorder="1" applyAlignment="1">
      <alignment horizontal="center"/>
    </xf>
    <xf numFmtId="0" fontId="16" fillId="0" borderId="2" xfId="8" applyFont="1" applyFill="1" applyBorder="1" applyAlignment="1">
      <alignment horizontal="center"/>
    </xf>
    <xf numFmtId="0" fontId="32" fillId="0" borderId="2" xfId="17" applyFont="1" applyFill="1" applyBorder="1" applyAlignment="1">
      <alignment horizontal="center"/>
    </xf>
    <xf numFmtId="0" fontId="53" fillId="0" borderId="2" xfId="17" applyFont="1" applyFill="1" applyBorder="1" applyAlignment="1"/>
    <xf numFmtId="0" fontId="1" fillId="3" borderId="2" xfId="6" applyFont="1" applyFill="1" applyBorder="1" applyAlignment="1">
      <alignment horizontal="center"/>
    </xf>
    <xf numFmtId="0" fontId="1" fillId="0" borderId="2" xfId="6" applyFont="1" applyFill="1" applyBorder="1" applyAlignment="1">
      <alignment horizontal="center"/>
    </xf>
    <xf numFmtId="0" fontId="1" fillId="7" borderId="2" xfId="6" applyFont="1" applyFill="1" applyBorder="1" applyAlignment="1">
      <alignment horizontal="center"/>
    </xf>
    <xf numFmtId="0" fontId="47" fillId="5" borderId="2" xfId="25" applyFont="1" applyFill="1" applyBorder="1" applyAlignment="1">
      <alignment horizontal="center"/>
    </xf>
    <xf numFmtId="0" fontId="21" fillId="5" borderId="2" xfId="33" applyFont="1" applyFill="1" applyBorder="1" applyAlignment="1">
      <alignment horizontal="center"/>
    </xf>
    <xf numFmtId="0" fontId="1" fillId="5" borderId="102" xfId="2" applyNumberFormat="1" applyFont="1" applyFill="1" applyBorder="1" applyAlignment="1">
      <alignment horizontal="center"/>
    </xf>
    <xf numFmtId="0" fontId="47" fillId="5" borderId="99" xfId="25" applyFont="1" applyFill="1" applyBorder="1" applyAlignment="1">
      <alignment horizontal="center"/>
    </xf>
    <xf numFmtId="0" fontId="54" fillId="0" borderId="2" xfId="8" applyFont="1" applyFill="1" applyBorder="1" applyAlignment="1"/>
    <xf numFmtId="0" fontId="55" fillId="0" borderId="2" xfId="8" applyFont="1" applyBorder="1" applyAlignment="1"/>
    <xf numFmtId="0" fontId="56" fillId="0" borderId="2" xfId="8" applyFont="1" applyFill="1" applyBorder="1" applyAlignment="1"/>
    <xf numFmtId="0" fontId="57" fillId="0" borderId="2" xfId="8" applyFont="1" applyBorder="1" applyAlignment="1">
      <alignment horizontal="center"/>
    </xf>
    <xf numFmtId="0" fontId="58" fillId="0" borderId="2" xfId="8" applyFont="1" applyBorder="1" applyAlignment="1">
      <alignment horizontal="center"/>
    </xf>
    <xf numFmtId="0" fontId="59" fillId="0" borderId="2" xfId="8" applyFont="1" applyBorder="1" applyAlignment="1">
      <alignment horizontal="center"/>
    </xf>
    <xf numFmtId="0" fontId="16" fillId="4" borderId="2" xfId="8" applyFont="1" applyFill="1" applyBorder="1" applyAlignment="1"/>
    <xf numFmtId="0" fontId="16" fillId="0" borderId="2" xfId="8" applyFont="1" applyBorder="1" applyAlignment="1">
      <alignment horizontal="center"/>
    </xf>
    <xf numFmtId="0" fontId="60" fillId="0" borderId="2" xfId="17" applyFont="1" applyFill="1" applyBorder="1" applyAlignment="1">
      <alignment horizontal="center"/>
    </xf>
    <xf numFmtId="0" fontId="57" fillId="0" borderId="2" xfId="17" applyFont="1" applyFill="1" applyBorder="1" applyAlignment="1">
      <alignment horizontal="center"/>
    </xf>
    <xf numFmtId="0" fontId="59" fillId="5" borderId="2" xfId="17" applyFont="1" applyFill="1" applyBorder="1" applyAlignment="1">
      <alignment horizontal="center"/>
    </xf>
    <xf numFmtId="0" fontId="61" fillId="0" borderId="2" xfId="8" applyFont="1" applyFill="1" applyBorder="1" applyAlignment="1">
      <alignment horizontal="center"/>
    </xf>
    <xf numFmtId="0" fontId="18" fillId="0" borderId="2" xfId="8" applyFont="1" applyFill="1" applyBorder="1" applyAlignment="1">
      <alignment horizontal="center"/>
    </xf>
    <xf numFmtId="0" fontId="16" fillId="4" borderId="2" xfId="8" applyFont="1" applyFill="1" applyBorder="1" applyAlignment="1">
      <alignment horizontal="center"/>
    </xf>
    <xf numFmtId="0" fontId="55" fillId="0" borderId="2" xfId="6" applyFont="1" applyFill="1" applyBorder="1" applyAlignment="1">
      <alignment horizontal="center"/>
    </xf>
    <xf numFmtId="0" fontId="55" fillId="0" borderId="2" xfId="12" applyFont="1" applyFill="1" applyBorder="1" applyAlignment="1">
      <alignment horizontal="center"/>
    </xf>
    <xf numFmtId="0" fontId="21" fillId="5" borderId="2" xfId="33" applyFill="1" applyBorder="1" applyAlignment="1">
      <alignment horizontal="center"/>
    </xf>
    <xf numFmtId="0" fontId="62" fillId="5" borderId="2" xfId="25" applyFont="1" applyFill="1" applyBorder="1" applyAlignment="1">
      <alignment horizontal="center"/>
    </xf>
    <xf numFmtId="0" fontId="16" fillId="5" borderId="103" xfId="25" applyFont="1" applyFill="1" applyBorder="1" applyAlignment="1">
      <alignment horizontal="center"/>
    </xf>
    <xf numFmtId="0" fontId="21" fillId="5" borderId="99" xfId="33" applyFill="1" applyBorder="1" applyAlignment="1">
      <alignment horizontal="center"/>
    </xf>
    <xf numFmtId="0" fontId="18" fillId="0" borderId="2" xfId="8" applyFont="1" applyFill="1" applyBorder="1" applyAlignment="1"/>
    <xf numFmtId="0" fontId="55" fillId="0" borderId="2" xfId="8" applyFont="1" applyFill="1" applyBorder="1" applyAlignment="1"/>
    <xf numFmtId="0" fontId="61" fillId="0" borderId="2" xfId="8" applyFont="1" applyFill="1" applyBorder="1" applyAlignment="1"/>
    <xf numFmtId="0" fontId="57" fillId="0" borderId="2" xfId="8" applyFont="1" applyFill="1" applyBorder="1" applyAlignment="1"/>
    <xf numFmtId="0" fontId="58" fillId="0" borderId="2" xfId="8" applyFont="1" applyFill="1" applyBorder="1" applyAlignment="1"/>
    <xf numFmtId="0" fontId="59" fillId="0" borderId="2" xfId="8" applyFont="1" applyFill="1" applyBorder="1" applyAlignment="1"/>
    <xf numFmtId="0" fontId="55" fillId="0" borderId="2" xfId="8" applyFont="1" applyFill="1" applyBorder="1" applyAlignment="1">
      <alignment horizontal="right"/>
    </xf>
    <xf numFmtId="0" fontId="0" fillId="0" borderId="2" xfId="14" applyFont="1" applyFill="1" applyBorder="1" applyAlignment="1"/>
    <xf numFmtId="0" fontId="60" fillId="0" borderId="2" xfId="16" applyFont="1" applyFill="1" applyBorder="1" applyAlignment="1">
      <alignment horizontal="center"/>
    </xf>
    <xf numFmtId="0" fontId="57" fillId="0" borderId="2" xfId="16" applyFont="1" applyFill="1" applyBorder="1" applyAlignment="1">
      <alignment horizontal="center"/>
    </xf>
    <xf numFmtId="0" fontId="1" fillId="5" borderId="2" xfId="16" applyFont="1" applyFill="1" applyBorder="1" applyAlignment="1">
      <alignment horizontal="center"/>
    </xf>
    <xf numFmtId="0" fontId="61" fillId="0" borderId="2" xfId="16" applyFont="1" applyFill="1" applyBorder="1" applyAlignment="1">
      <alignment horizontal="center"/>
    </xf>
    <xf numFmtId="0" fontId="18" fillId="0" borderId="2" xfId="16" applyFont="1" applyFill="1" applyBorder="1" applyAlignment="1">
      <alignment horizontal="center"/>
    </xf>
    <xf numFmtId="0" fontId="16" fillId="4" borderId="2" xfId="8" applyNumberFormat="1" applyFont="1" applyFill="1" applyBorder="1" applyAlignment="1">
      <alignment horizontal="center"/>
    </xf>
    <xf numFmtId="0" fontId="55" fillId="0" borderId="2" xfId="16" applyFont="1" applyFill="1" applyBorder="1" applyAlignment="1">
      <alignment horizontal="center"/>
    </xf>
    <xf numFmtId="0" fontId="55" fillId="7" borderId="2" xfId="16" applyFont="1" applyFill="1" applyBorder="1" applyAlignment="1">
      <alignment horizontal="center"/>
    </xf>
    <xf numFmtId="0" fontId="1" fillId="0" borderId="2" xfId="25" applyFont="1" applyFill="1" applyBorder="1" applyAlignment="1">
      <alignment horizontal="center"/>
    </xf>
    <xf numFmtId="0" fontId="63" fillId="0" borderId="2" xfId="8" applyFont="1" applyFill="1" applyBorder="1" applyAlignment="1">
      <alignment horizontal="center"/>
    </xf>
    <xf numFmtId="0" fontId="1" fillId="0" borderId="98" xfId="8" applyFont="1" applyFill="1" applyBorder="1" applyAlignment="1">
      <alignment horizontal="center"/>
    </xf>
    <xf numFmtId="168" fontId="60" fillId="0" borderId="99" xfId="8" applyNumberFormat="1" applyFont="1" applyFill="1" applyBorder="1" applyAlignment="1">
      <alignment horizontal="center"/>
    </xf>
    <xf numFmtId="167" fontId="1" fillId="0" borderId="0" xfId="8" applyNumberFormat="1" applyFont="1" applyFill="1" applyBorder="1" applyAlignment="1">
      <alignment horizontal="center"/>
    </xf>
    <xf numFmtId="167" fontId="1" fillId="0" borderId="0" xfId="8" applyNumberFormat="1" applyFont="1" applyFill="1" applyAlignment="1">
      <alignment horizontal="center"/>
    </xf>
    <xf numFmtId="0" fontId="64" fillId="0" borderId="0" xfId="8" applyNumberFormat="1" applyFont="1" applyFill="1" applyAlignment="1"/>
    <xf numFmtId="0" fontId="63" fillId="0" borderId="0" xfId="8" applyNumberFormat="1" applyFont="1" applyFill="1" applyAlignment="1"/>
    <xf numFmtId="16" fontId="1" fillId="0" borderId="0" xfId="8" applyNumberFormat="1" applyFont="1" applyFill="1" applyAlignment="1"/>
    <xf numFmtId="0" fontId="0" fillId="0" borderId="2" xfId="8" applyFont="1" applyFill="1" applyBorder="1" applyAlignment="1"/>
    <xf numFmtId="0" fontId="1" fillId="0" borderId="0" xfId="8" applyFont="1" applyFill="1" applyBorder="1" applyAlignment="1"/>
    <xf numFmtId="0" fontId="1" fillId="0" borderId="2" xfId="8" applyFont="1" applyFill="1" applyBorder="1" applyAlignment="1"/>
    <xf numFmtId="0" fontId="16" fillId="4" borderId="6" xfId="8" applyFont="1" applyFill="1" applyBorder="1" applyAlignment="1">
      <alignment horizontal="right"/>
    </xf>
    <xf numFmtId="0" fontId="0" fillId="0" borderId="6" xfId="8" applyFont="1" applyFill="1" applyBorder="1" applyAlignment="1"/>
    <xf numFmtId="0" fontId="60" fillId="0" borderId="6" xfId="16" applyFont="1" applyFill="1" applyBorder="1" applyAlignment="1">
      <alignment horizontal="center"/>
    </xf>
    <xf numFmtId="0" fontId="57" fillId="0" borderId="6" xfId="16" applyFont="1" applyFill="1" applyBorder="1" applyAlignment="1">
      <alignment horizontal="center"/>
    </xf>
    <xf numFmtId="0" fontId="1" fillId="5" borderId="6" xfId="16" applyFont="1" applyFill="1" applyBorder="1" applyAlignment="1">
      <alignment horizontal="center"/>
    </xf>
    <xf numFmtId="0" fontId="61" fillId="0" borderId="6" xfId="16" applyFont="1" applyFill="1" applyBorder="1" applyAlignment="1">
      <alignment horizontal="center"/>
    </xf>
    <xf numFmtId="0" fontId="18" fillId="0" borderId="6" xfId="16" applyFont="1" applyFill="1" applyBorder="1" applyAlignment="1">
      <alignment horizontal="center"/>
    </xf>
    <xf numFmtId="0" fontId="55" fillId="0" borderId="6" xfId="16" applyFont="1" applyFill="1" applyBorder="1" applyAlignment="1">
      <alignment horizontal="center"/>
    </xf>
    <xf numFmtId="0" fontId="55" fillId="7" borderId="6" xfId="16" applyFont="1" applyFill="1" applyBorder="1" applyAlignment="1">
      <alignment horizontal="center"/>
    </xf>
    <xf numFmtId="0" fontId="1" fillId="0" borderId="2" xfId="14" applyFont="1" applyFill="1" applyBorder="1" applyAlignment="1"/>
    <xf numFmtId="0" fontId="16" fillId="4" borderId="5" xfId="8" applyFont="1" applyFill="1" applyBorder="1" applyAlignment="1">
      <alignment horizontal="right"/>
    </xf>
    <xf numFmtId="0" fontId="1" fillId="0" borderId="5" xfId="14" applyFont="1" applyFill="1" applyBorder="1" applyAlignment="1"/>
    <xf numFmtId="0" fontId="60" fillId="0" borderId="5" xfId="16" applyFont="1" applyFill="1" applyBorder="1" applyAlignment="1">
      <alignment horizontal="center"/>
    </xf>
    <xf numFmtId="0" fontId="57" fillId="0" borderId="5" xfId="16" applyFont="1" applyFill="1" applyBorder="1" applyAlignment="1">
      <alignment horizontal="center"/>
    </xf>
    <xf numFmtId="0" fontId="1" fillId="5" borderId="5" xfId="16" applyFont="1" applyFill="1" applyBorder="1" applyAlignment="1">
      <alignment horizontal="center"/>
    </xf>
    <xf numFmtId="0" fontId="61" fillId="0" borderId="5" xfId="16" applyFont="1" applyFill="1" applyBorder="1" applyAlignment="1">
      <alignment horizontal="center"/>
    </xf>
    <xf numFmtId="0" fontId="55" fillId="0" borderId="5" xfId="16" applyFont="1" applyFill="1" applyBorder="1" applyAlignment="1">
      <alignment horizontal="center"/>
    </xf>
    <xf numFmtId="0" fontId="55" fillId="7" borderId="5" xfId="16" applyFont="1" applyFill="1" applyBorder="1" applyAlignment="1">
      <alignment horizontal="center"/>
    </xf>
    <xf numFmtId="0" fontId="0" fillId="5" borderId="2" xfId="16" applyFont="1" applyFill="1" applyBorder="1" applyAlignment="1">
      <alignment horizontal="center"/>
    </xf>
    <xf numFmtId="0" fontId="18" fillId="4" borderId="0" xfId="8" applyFont="1" applyFill="1" applyAlignment="1"/>
    <xf numFmtId="0" fontId="16" fillId="4" borderId="0" xfId="8" applyFont="1" applyFill="1" applyAlignment="1"/>
    <xf numFmtId="0" fontId="61" fillId="4" borderId="0" xfId="8" applyFont="1" applyFill="1" applyAlignment="1"/>
    <xf numFmtId="0" fontId="57" fillId="4" borderId="0" xfId="8" applyFont="1" applyFill="1" applyAlignment="1"/>
    <xf numFmtId="0" fontId="60" fillId="4" borderId="0" xfId="8" applyFont="1" applyFill="1" applyAlignment="1"/>
    <xf numFmtId="0" fontId="59" fillId="4" borderId="0" xfId="8" applyFont="1" applyFill="1" applyAlignment="1"/>
    <xf numFmtId="0" fontId="1" fillId="4" borderId="0" xfId="8" applyFont="1" applyFill="1" applyAlignment="1">
      <alignment horizontal="right"/>
    </xf>
    <xf numFmtId="0" fontId="16" fillId="4" borderId="0" xfId="8" applyFont="1" applyFill="1" applyAlignment="1">
      <alignment horizontal="center"/>
    </xf>
    <xf numFmtId="167" fontId="1" fillId="4" borderId="0" xfId="8" applyNumberFormat="1" applyFont="1" applyFill="1" applyAlignment="1">
      <alignment horizontal="center"/>
    </xf>
    <xf numFmtId="167" fontId="49" fillId="4" borderId="104" xfId="8" applyNumberFormat="1" applyFont="1" applyFill="1" applyBorder="1" applyAlignment="1">
      <alignment horizontal="center"/>
    </xf>
    <xf numFmtId="167" fontId="1" fillId="4" borderId="0" xfId="8" applyNumberFormat="1" applyFont="1" applyFill="1" applyAlignment="1"/>
    <xf numFmtId="1" fontId="1" fillId="4" borderId="0" xfId="8" applyNumberFormat="1" applyFont="1" applyFill="1" applyAlignment="1">
      <alignment horizontal="center"/>
    </xf>
    <xf numFmtId="1" fontId="49" fillId="4" borderId="0" xfId="8" applyNumberFormat="1" applyFont="1" applyFill="1" applyBorder="1" applyAlignment="1">
      <alignment horizontal="center"/>
    </xf>
    <xf numFmtId="0" fontId="16" fillId="0" borderId="0" xfId="8" applyFont="1" applyFill="1" applyAlignment="1">
      <alignment horizontal="center"/>
    </xf>
    <xf numFmtId="0" fontId="0" fillId="4" borderId="98" xfId="8" applyFont="1" applyFill="1" applyBorder="1" applyAlignment="1">
      <alignment horizontal="center"/>
    </xf>
    <xf numFmtId="0" fontId="1" fillId="4" borderId="105" xfId="8" applyFont="1" applyFill="1" applyBorder="1" applyAlignment="1">
      <alignment horizontal="center"/>
    </xf>
    <xf numFmtId="0" fontId="0" fillId="4" borderId="105" xfId="8" applyFont="1" applyFill="1" applyBorder="1" applyAlignment="1">
      <alignment horizontal="center"/>
    </xf>
    <xf numFmtId="0" fontId="16" fillId="4" borderId="106" xfId="8" applyFont="1" applyFill="1" applyBorder="1" applyAlignment="1">
      <alignment horizontal="right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22" applyFont="1"/>
    <xf numFmtId="0" fontId="16" fillId="0" borderId="0" xfId="22" applyFont="1"/>
    <xf numFmtId="0" fontId="1" fillId="0" borderId="0" xfId="22" applyFont="1"/>
    <xf numFmtId="0" fontId="21" fillId="0" borderId="0" xfId="33"/>
    <xf numFmtId="0" fontId="1" fillId="0" borderId="0" xfId="5" applyFont="1"/>
    <xf numFmtId="0" fontId="1" fillId="4" borderId="0" xfId="22" applyFont="1" applyFill="1"/>
    <xf numFmtId="0" fontId="40" fillId="0" borderId="0" xfId="14" applyFont="1" applyAlignment="1">
      <alignment horizontal="right"/>
    </xf>
    <xf numFmtId="0" fontId="1" fillId="0" borderId="0" xfId="14" applyFont="1"/>
    <xf numFmtId="0" fontId="16" fillId="5" borderId="107" xfId="14" applyFont="1" applyFill="1" applyBorder="1" applyAlignment="1">
      <alignment horizontal="center"/>
    </xf>
    <xf numFmtId="0" fontId="16" fillId="0" borderId="107" xfId="14" applyFont="1" applyBorder="1" applyAlignment="1">
      <alignment horizontal="center"/>
    </xf>
    <xf numFmtId="0" fontId="16" fillId="0" borderId="107" xfId="14" applyFont="1" applyFill="1" applyBorder="1" applyAlignment="1">
      <alignment horizontal="center"/>
    </xf>
    <xf numFmtId="0" fontId="16" fillId="0" borderId="107" xfId="22" applyFont="1" applyBorder="1" applyAlignment="1">
      <alignment horizontal="center"/>
    </xf>
    <xf numFmtId="0" fontId="16" fillId="0" borderId="108" xfId="22" applyFont="1" applyBorder="1"/>
    <xf numFmtId="0" fontId="16" fillId="0" borderId="108" xfId="22" applyFont="1" applyFill="1" applyBorder="1" applyAlignment="1">
      <alignment horizontal="center"/>
    </xf>
    <xf numFmtId="0" fontId="16" fillId="0" borderId="108" xfId="22" applyFont="1" applyBorder="1" applyAlignment="1">
      <alignment horizontal="center"/>
    </xf>
    <xf numFmtId="0" fontId="16" fillId="0" borderId="0" xfId="14" applyFont="1" applyFill="1" applyAlignment="1">
      <alignment horizontal="center"/>
    </xf>
    <xf numFmtId="0" fontId="16" fillId="0" borderId="0" xfId="22" quotePrefix="1" applyFont="1" applyAlignment="1">
      <alignment horizontal="center"/>
    </xf>
    <xf numFmtId="0" fontId="1" fillId="0" borderId="0" xfId="13" applyFont="1"/>
    <xf numFmtId="0" fontId="0" fillId="0" borderId="0" xfId="13" applyFont="1"/>
    <xf numFmtId="0" fontId="1" fillId="0" borderId="107" xfId="14" applyFont="1" applyBorder="1" applyAlignment="1"/>
    <xf numFmtId="0" fontId="1" fillId="0" borderId="107" xfId="14" applyFont="1" applyBorder="1"/>
    <xf numFmtId="0" fontId="1" fillId="0" borderId="107" xfId="22" applyFont="1" applyBorder="1" applyAlignment="1"/>
    <xf numFmtId="0" fontId="0" fillId="0" borderId="108" xfId="0" applyBorder="1"/>
    <xf numFmtId="0" fontId="1" fillId="24" borderId="108" xfId="22" applyFont="1" applyFill="1" applyBorder="1" applyAlignment="1">
      <alignment horizontal="center"/>
    </xf>
    <xf numFmtId="0" fontId="0" fillId="19" borderId="108" xfId="22" applyFont="1" applyFill="1" applyBorder="1" applyAlignment="1">
      <alignment horizontal="center"/>
    </xf>
    <xf numFmtId="0" fontId="1" fillId="0" borderId="108" xfId="22" applyFont="1" applyFill="1" applyBorder="1" applyAlignment="1">
      <alignment horizontal="center"/>
    </xf>
    <xf numFmtId="0" fontId="1" fillId="0" borderId="108" xfId="22" applyFont="1" applyBorder="1" applyAlignment="1">
      <alignment horizontal="center"/>
    </xf>
    <xf numFmtId="0" fontId="0" fillId="25" borderId="108" xfId="22" applyNumberFormat="1" applyFont="1" applyFill="1" applyBorder="1" applyAlignment="1">
      <alignment horizontal="center"/>
    </xf>
    <xf numFmtId="0" fontId="1" fillId="19" borderId="0" xfId="22" applyFont="1" applyFill="1" applyAlignment="1">
      <alignment horizontal="center"/>
    </xf>
    <xf numFmtId="169" fontId="1" fillId="0" borderId="0" xfId="22" applyNumberFormat="1" applyFont="1" applyAlignment="1"/>
    <xf numFmtId="0" fontId="1" fillId="4" borderId="107" xfId="14" applyFont="1" applyFill="1" applyBorder="1" applyAlignment="1"/>
    <xf numFmtId="0" fontId="1" fillId="4" borderId="107" xfId="14" applyFont="1" applyFill="1" applyBorder="1" applyAlignment="1">
      <alignment horizontal="center"/>
    </xf>
    <xf numFmtId="0" fontId="1" fillId="4" borderId="107" xfId="14" applyFont="1" applyFill="1" applyBorder="1"/>
    <xf numFmtId="0" fontId="1" fillId="19" borderId="108" xfId="22" applyFont="1" applyFill="1" applyBorder="1" applyAlignment="1">
      <alignment horizontal="center"/>
    </xf>
    <xf numFmtId="0" fontId="4" fillId="0" borderId="108" xfId="22" applyFont="1" applyFill="1" applyBorder="1" applyAlignment="1">
      <alignment horizontal="center"/>
    </xf>
    <xf numFmtId="0" fontId="1" fillId="9" borderId="108" xfId="22" applyFont="1" applyFill="1" applyBorder="1" applyAlignment="1">
      <alignment horizontal="center"/>
    </xf>
    <xf numFmtId="0" fontId="0" fillId="26" borderId="108" xfId="22" applyNumberFormat="1" applyFont="1" applyFill="1" applyBorder="1" applyAlignment="1">
      <alignment horizontal="center"/>
    </xf>
    <xf numFmtId="0" fontId="1" fillId="9" borderId="0" xfId="22" applyFont="1" applyFill="1" applyAlignment="1">
      <alignment horizontal="center"/>
    </xf>
    <xf numFmtId="0" fontId="0" fillId="0" borderId="0" xfId="0" applyFill="1" applyBorder="1"/>
    <xf numFmtId="0" fontId="0" fillId="0" borderId="108" xfId="0" applyFill="1" applyBorder="1"/>
    <xf numFmtId="0" fontId="1" fillId="0" borderId="108" xfId="13" applyFont="1" applyBorder="1" applyAlignment="1">
      <alignment horizontal="center"/>
    </xf>
    <xf numFmtId="0" fontId="1" fillId="0" borderId="108" xfId="13" applyFont="1" applyFill="1" applyBorder="1" applyAlignment="1">
      <alignment horizontal="center"/>
    </xf>
    <xf numFmtId="0" fontId="1" fillId="24" borderId="108" xfId="13" applyFont="1" applyFill="1" applyBorder="1"/>
    <xf numFmtId="0" fontId="0" fillId="0" borderId="108" xfId="22" applyNumberFormat="1" applyFont="1" applyFill="1" applyBorder="1" applyAlignment="1">
      <alignment horizontal="center"/>
    </xf>
    <xf numFmtId="0" fontId="1" fillId="0" borderId="0" xfId="5" applyFont="1" applyFill="1" applyAlignment="1">
      <alignment horizontal="center"/>
    </xf>
    <xf numFmtId="169" fontId="1" fillId="0" borderId="0" xfId="5" applyNumberFormat="1" applyFont="1"/>
    <xf numFmtId="0" fontId="1" fillId="0" borderId="0" xfId="22" applyFont="1" applyBorder="1" applyAlignment="1">
      <alignment horizontal="right"/>
    </xf>
    <xf numFmtId="49" fontId="1" fillId="0" borderId="0" xfId="22" applyNumberFormat="1" applyFont="1" applyBorder="1" applyAlignment="1">
      <alignment horizontal="center"/>
    </xf>
    <xf numFmtId="49" fontId="1" fillId="0" borderId="0" xfId="22" applyNumberFormat="1" applyFont="1" applyAlignment="1"/>
    <xf numFmtId="0" fontId="1" fillId="0" borderId="0" xfId="8" applyFont="1" applyAlignment="1"/>
    <xf numFmtId="0" fontId="0" fillId="0" borderId="0" xfId="22" applyFont="1" applyAlignment="1"/>
    <xf numFmtId="0" fontId="0" fillId="0" borderId="0" xfId="22" applyFont="1" applyBorder="1"/>
    <xf numFmtId="0" fontId="1" fillId="0" borderId="0" xfId="22" applyFont="1" applyFill="1" applyBorder="1" applyAlignment="1">
      <alignment horizontal="center"/>
    </xf>
    <xf numFmtId="0" fontId="36" fillId="0" borderId="0" xfId="22" applyFont="1" applyBorder="1"/>
    <xf numFmtId="0" fontId="1" fillId="0" borderId="0" xfId="22" applyFont="1" applyBorder="1"/>
    <xf numFmtId="0" fontId="1" fillId="0" borderId="0" xfId="22" applyFont="1" applyBorder="1" applyAlignment="1">
      <alignment horizontal="center"/>
    </xf>
    <xf numFmtId="0" fontId="0" fillId="0" borderId="0" xfId="22" applyFont="1" applyFill="1"/>
    <xf numFmtId="0" fontId="16" fillId="0" borderId="13" xfId="22" applyFont="1" applyBorder="1"/>
    <xf numFmtId="0" fontId="1" fillId="0" borderId="13" xfId="22" applyFont="1" applyBorder="1"/>
    <xf numFmtId="0" fontId="1" fillId="0" borderId="20" xfId="22" applyFont="1" applyBorder="1"/>
    <xf numFmtId="0" fontId="0" fillId="0" borderId="20" xfId="22" applyFont="1" applyFill="1" applyBorder="1"/>
    <xf numFmtId="0" fontId="0" fillId="0" borderId="0" xfId="14" applyFont="1" applyAlignment="1">
      <alignment horizontal="right"/>
    </xf>
    <xf numFmtId="0" fontId="16" fillId="0" borderId="108" xfId="8" applyFont="1" applyBorder="1" applyAlignment="1"/>
    <xf numFmtId="0" fontId="1" fillId="0" borderId="108" xfId="22" applyFont="1" applyFill="1" applyBorder="1" applyAlignment="1"/>
    <xf numFmtId="0" fontId="1" fillId="0" borderId="0" xfId="14" applyFont="1" applyFill="1"/>
    <xf numFmtId="0" fontId="1" fillId="0" borderId="0" xfId="22" applyFont="1" applyFill="1"/>
    <xf numFmtId="0" fontId="55" fillId="0" borderId="0" xfId="22" applyFont="1" applyAlignment="1">
      <alignment horizontal="center"/>
    </xf>
    <xf numFmtId="0" fontId="0" fillId="0" borderId="108" xfId="22" applyFont="1" applyBorder="1"/>
    <xf numFmtId="0" fontId="55" fillId="0" borderId="0" xfId="22" applyFont="1" applyFill="1" applyBorder="1" applyAlignment="1">
      <alignment horizontal="center"/>
    </xf>
    <xf numFmtId="167" fontId="1" fillId="0" borderId="0" xfId="14" applyNumberFormat="1" applyFont="1" applyFill="1" applyAlignment="1">
      <alignment horizontal="center"/>
    </xf>
    <xf numFmtId="169" fontId="1" fillId="0" borderId="0" xfId="22" applyNumberFormat="1" applyFont="1" applyFill="1" applyBorder="1" applyAlignment="1">
      <alignment horizontal="right"/>
    </xf>
    <xf numFmtId="1" fontId="55" fillId="0" borderId="0" xfId="22" applyNumberFormat="1" applyFont="1" applyFill="1" applyBorder="1" applyAlignment="1">
      <alignment horizontal="center"/>
    </xf>
    <xf numFmtId="167" fontId="1" fillId="0" borderId="0" xfId="32" applyNumberFormat="1" applyFont="1" applyFill="1" applyAlignment="1">
      <alignment horizontal="center"/>
    </xf>
    <xf numFmtId="0" fontId="4" fillId="9" borderId="108" xfId="22" applyFont="1" applyFill="1" applyBorder="1" applyAlignment="1">
      <alignment horizontal="center"/>
    </xf>
    <xf numFmtId="0" fontId="16" fillId="0" borderId="0" xfId="22" applyFont="1" applyBorder="1"/>
    <xf numFmtId="0" fontId="17" fillId="0" borderId="0" xfId="14" applyFont="1" applyFill="1"/>
    <xf numFmtId="16" fontId="1" fillId="0" borderId="0" xfId="22" applyNumberFormat="1" applyFont="1" applyBorder="1" applyAlignment="1">
      <alignment horizontal="center"/>
    </xf>
    <xf numFmtId="49" fontId="1" fillId="0" borderId="0" xfId="22" applyNumberFormat="1" applyFont="1" applyFill="1" applyBorder="1" applyAlignment="1">
      <alignment horizontal="center"/>
    </xf>
    <xf numFmtId="0" fontId="17" fillId="0" borderId="0" xfId="22" applyFont="1" applyFill="1" applyAlignment="1"/>
    <xf numFmtId="0" fontId="1" fillId="0" borderId="0" xfId="14" applyFont="1" applyFill="1" applyAlignment="1">
      <alignment horizontal="center"/>
    </xf>
    <xf numFmtId="0" fontId="1" fillId="0" borderId="0" xfId="14" applyFont="1" applyFill="1" applyAlignment="1">
      <alignment horizontal="right"/>
    </xf>
    <xf numFmtId="0" fontId="55" fillId="0" borderId="0" xfId="22" applyFont="1" applyFill="1" applyAlignment="1">
      <alignment horizontal="center"/>
    </xf>
    <xf numFmtId="0" fontId="16" fillId="0" borderId="0" xfId="22" quotePrefix="1" applyFont="1" applyFill="1" applyAlignment="1">
      <alignment horizontal="center"/>
    </xf>
    <xf numFmtId="0" fontId="1" fillId="0" borderId="0" xfId="22" applyFont="1" applyFill="1" applyAlignment="1"/>
    <xf numFmtId="169" fontId="63" fillId="0" borderId="0" xfId="22" applyNumberFormat="1" applyFont="1" applyFill="1" applyBorder="1" applyAlignment="1">
      <alignment horizontal="right"/>
    </xf>
    <xf numFmtId="0" fontId="0" fillId="0" borderId="0" xfId="14" applyFont="1" applyFill="1" applyAlignment="1">
      <alignment horizontal="center"/>
    </xf>
    <xf numFmtId="0" fontId="1" fillId="0" borderId="0" xfId="22" applyFont="1" applyFill="1" applyBorder="1" applyAlignment="1">
      <alignment horizontal="right"/>
    </xf>
    <xf numFmtId="0" fontId="1" fillId="0" borderId="0" xfId="22" applyFont="1" applyAlignment="1">
      <alignment horizontal="center"/>
    </xf>
    <xf numFmtId="0" fontId="1" fillId="0" borderId="0" xfId="32" applyFont="1"/>
    <xf numFmtId="49" fontId="1" fillId="0" borderId="0" xfId="22" applyNumberFormat="1" applyFont="1" applyFill="1" applyAlignment="1">
      <alignment horizontal="center"/>
    </xf>
    <xf numFmtId="0" fontId="1" fillId="0" borderId="0" xfId="22" applyFont="1" applyFill="1" applyAlignment="1">
      <alignment horizontal="center"/>
    </xf>
    <xf numFmtId="0" fontId="1" fillId="0" borderId="0" xfId="32" applyFont="1" applyFill="1"/>
    <xf numFmtId="0" fontId="1" fillId="0" borderId="0" xfId="32" applyFont="1" applyFill="1" applyAlignment="1">
      <alignment horizontal="right"/>
    </xf>
    <xf numFmtId="49" fontId="0" fillId="0" borderId="0" xfId="22" applyNumberFormat="1" applyFont="1" applyFill="1" applyBorder="1" applyAlignment="1">
      <alignment horizontal="center"/>
    </xf>
    <xf numFmtId="0" fontId="4" fillId="0" borderId="0" xfId="22" applyFont="1" applyFill="1" applyBorder="1" applyAlignment="1">
      <alignment horizontal="center"/>
    </xf>
    <xf numFmtId="0" fontId="1" fillId="0" borderId="0" xfId="22" applyFont="1" applyFill="1" applyAlignment="1">
      <alignment horizontal="right"/>
    </xf>
    <xf numFmtId="0" fontId="16" fillId="0" borderId="0" xfId="22" applyFont="1" applyFill="1" applyBorder="1" applyAlignment="1">
      <alignment horizontal="right"/>
    </xf>
    <xf numFmtId="0" fontId="0" fillId="0" borderId="109" xfId="22" applyFont="1" applyFill="1" applyBorder="1"/>
    <xf numFmtId="0" fontId="1" fillId="0" borderId="0" xfId="22" applyFont="1" applyAlignment="1">
      <alignment horizontal="left"/>
    </xf>
    <xf numFmtId="0" fontId="16" fillId="0" borderId="0" xfId="22" applyFont="1" applyAlignment="1">
      <alignment horizontal="right"/>
    </xf>
    <xf numFmtId="0" fontId="1" fillId="0" borderId="4" xfId="22" applyFont="1" applyFill="1" applyBorder="1"/>
    <xf numFmtId="0" fontId="0" fillId="0" borderId="110" xfId="22" applyFont="1" applyBorder="1"/>
    <xf numFmtId="0" fontId="0" fillId="0" borderId="111" xfId="22" applyFont="1" applyFill="1" applyBorder="1"/>
    <xf numFmtId="0" fontId="1" fillId="0" borderId="112" xfId="22" applyFont="1" applyBorder="1" applyAlignment="1">
      <alignment horizontal="left"/>
    </xf>
    <xf numFmtId="0" fontId="1" fillId="0" borderId="113" xfId="22" applyFont="1" applyBorder="1"/>
    <xf numFmtId="0" fontId="1" fillId="0" borderId="114" xfId="22" applyFont="1" applyBorder="1"/>
    <xf numFmtId="0" fontId="1" fillId="0" borderId="115" xfId="22" applyFont="1" applyBorder="1"/>
    <xf numFmtId="0" fontId="1" fillId="0" borderId="111" xfId="22" applyFont="1" applyBorder="1"/>
    <xf numFmtId="0" fontId="0" fillId="0" borderId="20" xfId="22" applyFont="1" applyBorder="1"/>
    <xf numFmtId="0" fontId="1" fillId="0" borderId="116" xfId="22" applyFont="1" applyBorder="1"/>
    <xf numFmtId="0" fontId="1" fillId="0" borderId="4" xfId="22" applyFont="1" applyBorder="1"/>
    <xf numFmtId="0" fontId="0" fillId="0" borderId="117" xfId="22" applyFont="1" applyBorder="1"/>
    <xf numFmtId="0" fontId="0" fillId="0" borderId="109" xfId="22" applyFont="1" applyBorder="1"/>
    <xf numFmtId="0" fontId="1" fillId="0" borderId="4" xfId="22" applyFont="1" applyBorder="1" applyAlignment="1">
      <alignment horizontal="left"/>
    </xf>
    <xf numFmtId="0" fontId="1" fillId="0" borderId="113" xfId="22" applyFont="1" applyBorder="1" applyAlignment="1">
      <alignment horizontal="left"/>
    </xf>
    <xf numFmtId="0" fontId="1" fillId="0" borderId="111" xfId="22" applyFont="1" applyBorder="1" applyAlignment="1">
      <alignment horizontal="left"/>
    </xf>
    <xf numFmtId="0" fontId="1" fillId="0" borderId="0" xfId="22" applyFont="1" applyBorder="1" applyAlignment="1">
      <alignment horizontal="left"/>
    </xf>
    <xf numFmtId="0" fontId="1" fillId="0" borderId="114" xfId="22" applyFont="1" applyBorder="1" applyAlignment="1">
      <alignment horizontal="left"/>
    </xf>
    <xf numFmtId="0" fontId="1" fillId="0" borderId="116" xfId="22" applyFont="1" applyBorder="1" applyAlignment="1">
      <alignment horizontal="left"/>
    </xf>
    <xf numFmtId="0" fontId="0" fillId="0" borderId="112" xfId="22" applyFont="1" applyBorder="1" applyAlignment="1">
      <alignment horizontal="left"/>
    </xf>
    <xf numFmtId="0" fontId="1" fillId="0" borderId="0" xfId="16" applyFont="1"/>
    <xf numFmtId="0" fontId="0" fillId="0" borderId="0" xfId="16" applyFont="1"/>
    <xf numFmtId="0" fontId="16" fillId="0" borderId="108" xfId="22" applyFont="1" applyBorder="1" applyAlignment="1"/>
    <xf numFmtId="0" fontId="40" fillId="0" borderId="0" xfId="0" applyFont="1" applyAlignment="1">
      <alignment horizontal="right"/>
    </xf>
    <xf numFmtId="0" fontId="21" fillId="0" borderId="0" xfId="33" applyFill="1" applyAlignment="1"/>
    <xf numFmtId="0" fontId="21" fillId="0" borderId="0" xfId="33" applyFill="1" applyAlignment="1">
      <alignment horizontal="center"/>
    </xf>
    <xf numFmtId="0" fontId="1" fillId="0" borderId="0" xfId="14" applyFont="1" applyFill="1" applyAlignment="1"/>
    <xf numFmtId="0" fontId="1" fillId="0" borderId="0" xfId="14" applyFont="1" applyBorder="1"/>
    <xf numFmtId="0" fontId="1" fillId="4" borderId="0" xfId="14" applyFont="1" applyFill="1"/>
    <xf numFmtId="0" fontId="1" fillId="5" borderId="0" xfId="14" applyFont="1" applyFill="1"/>
    <xf numFmtId="0" fontId="0" fillId="5" borderId="0" xfId="0" applyFont="1" applyFill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14" applyFont="1"/>
    <xf numFmtId="0" fontId="1" fillId="3" borderId="0" xfId="14" applyFont="1" applyFill="1"/>
    <xf numFmtId="0" fontId="0" fillId="3" borderId="0" xfId="0" applyFont="1" applyFill="1" applyAlignment="1">
      <alignment horizontal="right"/>
    </xf>
    <xf numFmtId="0" fontId="1" fillId="0" borderId="0" xfId="14" applyFont="1" applyBorder="1" applyAlignment="1">
      <alignment horizontal="center"/>
    </xf>
    <xf numFmtId="0" fontId="28" fillId="0" borderId="0" xfId="14" applyFont="1"/>
    <xf numFmtId="0" fontId="1" fillId="27" borderId="0" xfId="14" applyFont="1" applyFill="1"/>
    <xf numFmtId="0" fontId="0" fillId="27" borderId="0" xfId="0" applyFont="1" applyFill="1" applyAlignment="1">
      <alignment horizontal="right"/>
    </xf>
    <xf numFmtId="0" fontId="0" fillId="0" borderId="107" xfId="14" applyFont="1" applyBorder="1" applyAlignment="1"/>
    <xf numFmtId="0" fontId="16" fillId="0" borderId="108" xfId="0" applyFont="1" applyBorder="1" applyAlignment="1">
      <alignment horizontal="center"/>
    </xf>
    <xf numFmtId="0" fontId="16" fillId="0" borderId="118" xfId="0" applyFont="1" applyBorder="1" applyAlignment="1"/>
    <xf numFmtId="0" fontId="16" fillId="0" borderId="119" xfId="0" applyFont="1" applyBorder="1" applyAlignment="1"/>
    <xf numFmtId="0" fontId="16" fillId="0" borderId="120" xfId="0" applyFont="1" applyBorder="1" applyAlignment="1"/>
    <xf numFmtId="0" fontId="16" fillId="0" borderId="108" xfId="0" applyFont="1" applyBorder="1" applyAlignment="1"/>
    <xf numFmtId="0" fontId="16" fillId="0" borderId="119" xfId="14" applyFont="1" applyBorder="1" applyAlignment="1">
      <alignment horizontal="center"/>
    </xf>
    <xf numFmtId="0" fontId="1" fillId="0" borderId="120" xfId="14" applyFont="1" applyBorder="1"/>
    <xf numFmtId="0" fontId="0" fillId="0" borderId="118" xfId="0" applyNumberFormat="1" applyFont="1" applyFill="1" applyBorder="1" applyAlignment="1">
      <alignment horizontal="center" vertical="center"/>
    </xf>
    <xf numFmtId="49" fontId="0" fillId="0" borderId="119" xfId="0" applyNumberFormat="1" applyFont="1" applyFill="1" applyBorder="1" applyAlignment="1">
      <alignment horizontal="center" vertical="center"/>
    </xf>
    <xf numFmtId="0" fontId="0" fillId="0" borderId="119" xfId="0" applyNumberFormat="1" applyFont="1" applyFill="1" applyBorder="1" applyAlignment="1">
      <alignment horizontal="center" vertical="center"/>
    </xf>
    <xf numFmtId="0" fontId="0" fillId="0" borderId="119" xfId="0" applyNumberFormat="1" applyFill="1" applyBorder="1" applyAlignment="1">
      <alignment vertical="center"/>
    </xf>
    <xf numFmtId="0" fontId="16" fillId="0" borderId="108" xfId="0" applyNumberFormat="1" applyFont="1" applyFill="1" applyBorder="1" applyAlignment="1">
      <alignment horizontal="center" vertical="center"/>
    </xf>
    <xf numFmtId="0" fontId="16" fillId="0" borderId="118" xfId="0" applyNumberFormat="1" applyFont="1" applyFill="1" applyBorder="1" applyAlignment="1">
      <alignment horizontal="center" vertical="center"/>
    </xf>
    <xf numFmtId="0" fontId="0" fillId="0" borderId="120" xfId="0" applyNumberFormat="1" applyFont="1" applyFill="1" applyBorder="1" applyAlignment="1">
      <alignment horizontal="center" vertical="center"/>
    </xf>
    <xf numFmtId="169" fontId="1" fillId="0" borderId="0" xfId="14" applyNumberFormat="1" applyFont="1" applyFill="1"/>
    <xf numFmtId="169" fontId="0" fillId="0" borderId="0" xfId="0" applyNumberFormat="1" applyFill="1"/>
    <xf numFmtId="0" fontId="0" fillId="0" borderId="108" xfId="0" applyBorder="1" applyAlignment="1">
      <alignment vertical="center"/>
    </xf>
    <xf numFmtId="0" fontId="16" fillId="4" borderId="108" xfId="0" applyNumberFormat="1" applyFont="1" applyFill="1" applyBorder="1" applyAlignment="1">
      <alignment horizontal="center" vertical="center"/>
    </xf>
    <xf numFmtId="0" fontId="4" fillId="0" borderId="0" xfId="14" applyFont="1" applyBorder="1" applyAlignment="1">
      <alignment horizontal="center"/>
    </xf>
    <xf numFmtId="0" fontId="1" fillId="0" borderId="0" xfId="14" applyFont="1" applyAlignment="1">
      <alignment horizontal="right"/>
    </xf>
    <xf numFmtId="0" fontId="16" fillId="0" borderId="0" xfId="14" applyFont="1" applyBorder="1" applyAlignment="1">
      <alignment horizontal="center"/>
    </xf>
    <xf numFmtId="0" fontId="1" fillId="4" borderId="0" xfId="14" applyFont="1" applyFill="1" applyBorder="1" applyAlignment="1">
      <alignment horizontal="center"/>
    </xf>
    <xf numFmtId="0" fontId="16" fillId="0" borderId="0" xfId="22" applyFont="1" applyBorder="1" applyAlignment="1">
      <alignment horizontal="center"/>
    </xf>
    <xf numFmtId="0" fontId="1" fillId="0" borderId="107" xfId="5" applyFont="1" applyBorder="1"/>
    <xf numFmtId="0" fontId="0" fillId="23" borderId="118" xfId="0" applyNumberFormat="1" applyFont="1" applyFill="1" applyBorder="1" applyAlignment="1">
      <alignment horizontal="center" vertical="center"/>
    </xf>
    <xf numFmtId="0" fontId="0" fillId="23" borderId="120" xfId="0" applyNumberFormat="1" applyFont="1" applyFill="1" applyBorder="1" applyAlignment="1">
      <alignment horizontal="center" vertical="center"/>
    </xf>
    <xf numFmtId="0" fontId="0" fillId="0" borderId="0" xfId="14" applyFont="1" applyAlignment="1">
      <alignment horizontal="center"/>
    </xf>
    <xf numFmtId="0" fontId="1" fillId="0" borderId="0" xfId="14" applyFont="1" applyAlignment="1">
      <alignment horizontal="center"/>
    </xf>
    <xf numFmtId="0" fontId="0" fillId="0" borderId="0" xfId="14" applyFont="1" applyBorder="1"/>
    <xf numFmtId="0" fontId="0" fillId="0" borderId="108" xfId="0" applyFill="1" applyBorder="1" applyAlignment="1">
      <alignment vertical="center"/>
    </xf>
    <xf numFmtId="0" fontId="0" fillId="0" borderId="119" xfId="0" quotePrefix="1" applyNumberFormat="1" applyFill="1" applyBorder="1" applyAlignment="1">
      <alignment vertical="center"/>
    </xf>
    <xf numFmtId="0" fontId="16" fillId="0" borderId="0" xfId="14" applyFont="1" applyFill="1" applyBorder="1" applyAlignment="1">
      <alignment horizontal="center"/>
    </xf>
    <xf numFmtId="0" fontId="0" fillId="0" borderId="108" xfId="22" applyFont="1" applyBorder="1" applyAlignment="1"/>
    <xf numFmtId="0" fontId="0" fillId="0" borderId="108" xfId="22" applyFont="1" applyFill="1" applyBorder="1" applyAlignment="1">
      <alignment horizontal="center"/>
    </xf>
    <xf numFmtId="169" fontId="1" fillId="0" borderId="0" xfId="22" applyNumberFormat="1" applyFont="1" applyFill="1" applyAlignment="1"/>
    <xf numFmtId="0" fontId="0" fillId="10" borderId="0" xfId="0" applyFill="1" applyAlignment="1">
      <alignment horizontal="center"/>
    </xf>
    <xf numFmtId="0" fontId="0" fillId="10" borderId="0" xfId="22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22" applyFont="1" applyFill="1" applyAlignment="1">
      <alignment horizontal="center"/>
    </xf>
    <xf numFmtId="0" fontId="0" fillId="0" borderId="108" xfId="5" applyFont="1" applyBorder="1"/>
    <xf numFmtId="0" fontId="1" fillId="19" borderId="108" xfId="13" applyFont="1" applyFill="1" applyBorder="1" applyAlignment="1">
      <alignment horizontal="center"/>
    </xf>
    <xf numFmtId="0" fontId="1" fillId="19" borderId="0" xfId="5" applyFont="1" applyFill="1" applyAlignment="1">
      <alignment horizontal="center"/>
    </xf>
    <xf numFmtId="169" fontId="1" fillId="0" borderId="0" xfId="5" applyNumberFormat="1" applyFont="1" applyFill="1"/>
    <xf numFmtId="0" fontId="0" fillId="9" borderId="0" xfId="0" applyFill="1" applyAlignment="1">
      <alignment horizontal="center"/>
    </xf>
    <xf numFmtId="0" fontId="1" fillId="0" borderId="121" xfId="22" applyFont="1" applyBorder="1"/>
    <xf numFmtId="0" fontId="0" fillId="0" borderId="121" xfId="22" applyFont="1" applyFill="1" applyBorder="1"/>
    <xf numFmtId="0" fontId="0" fillId="0" borderId="108" xfId="14" applyFont="1" applyFill="1" applyBorder="1"/>
    <xf numFmtId="0" fontId="0" fillId="0" borderId="108" xfId="14" applyFont="1" applyBorder="1"/>
    <xf numFmtId="20" fontId="1" fillId="0" borderId="0" xfId="14" applyNumberFormat="1" applyFont="1"/>
    <xf numFmtId="20" fontId="1" fillId="0" borderId="0" xfId="14" applyNumberFormat="1" applyFont="1" applyBorder="1"/>
    <xf numFmtId="0" fontId="16" fillId="0" borderId="108" xfId="0" applyFont="1" applyFill="1" applyBorder="1" applyAlignment="1"/>
    <xf numFmtId="0" fontId="0" fillId="0" borderId="0" xfId="22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49" fontId="0" fillId="0" borderId="0" xfId="22" applyNumberFormat="1" applyFont="1" applyBorder="1" applyAlignment="1">
      <alignment horizontal="center"/>
    </xf>
    <xf numFmtId="0" fontId="0" fillId="0" borderId="108" xfId="22" applyFont="1" applyFill="1" applyBorder="1" applyAlignment="1"/>
    <xf numFmtId="16" fontId="0" fillId="26" borderId="108" xfId="22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21" xfId="22" applyFont="1" applyBorder="1"/>
    <xf numFmtId="0" fontId="1" fillId="23" borderId="0" xfId="22" applyFont="1" applyFill="1" applyAlignment="1">
      <alignment horizontal="left"/>
    </xf>
    <xf numFmtId="0" fontId="0" fillId="0" borderId="119" xfId="0" applyNumberFormat="1" applyFont="1" applyFill="1" applyBorder="1" applyAlignment="1">
      <alignment vertical="center"/>
    </xf>
    <xf numFmtId="0" fontId="16" fillId="0" borderId="108" xfId="0" applyFont="1" applyBorder="1" applyAlignment="1">
      <alignment vertical="center"/>
    </xf>
    <xf numFmtId="0" fontId="0" fillId="0" borderId="108" xfId="0" applyFill="1" applyBorder="1" applyAlignment="1">
      <alignment wrapText="1"/>
    </xf>
    <xf numFmtId="169" fontId="0" fillId="0" borderId="0" xfId="0" applyNumberFormat="1" applyFill="1" applyAlignment="1">
      <alignment vertical="center"/>
    </xf>
    <xf numFmtId="0" fontId="0" fillId="0" borderId="108" xfId="14" applyFont="1" applyBorder="1" applyAlignment="1">
      <alignment wrapText="1"/>
    </xf>
    <xf numFmtId="0" fontId="1" fillId="0" borderId="108" xfId="22" applyFont="1" applyFill="1" applyBorder="1" applyAlignment="1">
      <alignment wrapText="1"/>
    </xf>
    <xf numFmtId="0" fontId="1" fillId="0" borderId="0" xfId="14" applyFont="1" applyAlignment="1">
      <alignment vertical="center"/>
    </xf>
    <xf numFmtId="0" fontId="16" fillId="0" borderId="108" xfId="8" applyFont="1" applyBorder="1" applyAlignment="1">
      <alignment vertical="center"/>
    </xf>
    <xf numFmtId="0" fontId="1" fillId="23" borderId="108" xfId="22" applyFont="1" applyFill="1" applyBorder="1" applyAlignment="1">
      <alignment horizontal="center"/>
    </xf>
    <xf numFmtId="0" fontId="1" fillId="0" borderId="0" xfId="22" applyFont="1" applyFill="1" applyAlignment="1">
      <alignment horizontal="left"/>
    </xf>
    <xf numFmtId="0" fontId="0" fillId="23" borderId="112" xfId="22" applyFont="1" applyFill="1" applyBorder="1" applyAlignment="1">
      <alignment horizontal="left"/>
    </xf>
    <xf numFmtId="167" fontId="1" fillId="9" borderId="0" xfId="14" applyNumberFormat="1" applyFont="1" applyFill="1" applyAlignment="1">
      <alignment horizontal="center"/>
    </xf>
    <xf numFmtId="167" fontId="1" fillId="19" borderId="0" xfId="32" applyNumberFormat="1" applyFont="1" applyFill="1" applyAlignment="1">
      <alignment horizontal="center"/>
    </xf>
    <xf numFmtId="0" fontId="4" fillId="19" borderId="108" xfId="22" applyFont="1" applyFill="1" applyBorder="1" applyAlignment="1">
      <alignment horizontal="center"/>
    </xf>
    <xf numFmtId="167" fontId="1" fillId="9" borderId="0" xfId="32" applyNumberFormat="1" applyFont="1" applyFill="1" applyAlignment="1">
      <alignment horizontal="center"/>
    </xf>
    <xf numFmtId="167" fontId="1" fillId="19" borderId="0" xfId="14" applyNumberFormat="1" applyFont="1" applyFill="1" applyAlignment="1">
      <alignment horizontal="center"/>
    </xf>
    <xf numFmtId="0" fontId="0" fillId="0" borderId="0" xfId="22" applyFont="1"/>
    <xf numFmtId="0" fontId="1" fillId="23" borderId="112" xfId="22" applyFont="1" applyFill="1" applyBorder="1" applyAlignment="1">
      <alignment horizontal="left"/>
    </xf>
    <xf numFmtId="0" fontId="0" fillId="0" borderId="112" xfId="22" applyFont="1" applyFill="1" applyBorder="1" applyAlignment="1">
      <alignment horizontal="left"/>
    </xf>
    <xf numFmtId="0" fontId="1" fillId="0" borderId="118" xfId="22" applyFont="1" applyFill="1" applyBorder="1" applyAlignment="1"/>
    <xf numFmtId="0" fontId="1" fillId="0" borderId="119" xfId="22" applyFont="1" applyBorder="1"/>
    <xf numFmtId="0" fontId="1" fillId="0" borderId="120" xfId="22" applyFont="1" applyBorder="1"/>
    <xf numFmtId="0" fontId="18" fillId="0" borderId="108" xfId="22" applyFont="1" applyBorder="1" applyAlignment="1">
      <alignment horizontal="right"/>
    </xf>
    <xf numFmtId="49" fontId="18" fillId="0" borderId="108" xfId="22" applyNumberFormat="1" applyFont="1" applyBorder="1" applyAlignment="1">
      <alignment horizontal="right"/>
    </xf>
    <xf numFmtId="0" fontId="1" fillId="24" borderId="108" xfId="13" applyFont="1" applyFill="1" applyBorder="1" applyAlignment="1">
      <alignment horizontal="center"/>
    </xf>
    <xf numFmtId="0" fontId="0" fillId="0" borderId="108" xfId="13" applyFont="1" applyBorder="1"/>
    <xf numFmtId="0" fontId="1" fillId="25" borderId="108" xfId="13" applyFont="1" applyFill="1" applyBorder="1" applyAlignment="1">
      <alignment horizontal="center"/>
    </xf>
    <xf numFmtId="0" fontId="16" fillId="0" borderId="108" xfId="13" applyFont="1" applyBorder="1" applyAlignment="1">
      <alignment horizontal="center"/>
    </xf>
    <xf numFmtId="0" fontId="1" fillId="19" borderId="0" xfId="13" applyFont="1" applyFill="1"/>
    <xf numFmtId="0" fontId="0" fillId="0" borderId="0" xfId="22" applyFont="1" applyBorder="1" applyAlignment="1">
      <alignment horizontal="right"/>
    </xf>
    <xf numFmtId="169" fontId="17" fillId="0" borderId="0" xfId="22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Fill="1"/>
    <xf numFmtId="0" fontId="16" fillId="0" borderId="0" xfId="0" applyFont="1" applyAlignment="1">
      <alignment horizontal="center" vertical="center"/>
    </xf>
    <xf numFmtId="0" fontId="16" fillId="4" borderId="108" xfId="0" quotePrefix="1" applyNumberFormat="1" applyFont="1" applyFill="1" applyBorder="1" applyAlignment="1">
      <alignment horizontal="left"/>
    </xf>
    <xf numFmtId="0" fontId="16" fillId="4" borderId="108" xfId="28" applyFont="1" applyFill="1" applyBorder="1" applyAlignment="1">
      <alignment horizontal="center"/>
    </xf>
    <xf numFmtId="0" fontId="16" fillId="4" borderId="118" xfId="28" applyFont="1" applyFill="1" applyBorder="1" applyAlignment="1"/>
    <xf numFmtId="0" fontId="16" fillId="4" borderId="119" xfId="0" applyFont="1" applyFill="1" applyBorder="1" applyAlignment="1">
      <alignment horizontal="center"/>
    </xf>
    <xf numFmtId="0" fontId="16" fillId="4" borderId="120" xfId="28" applyFont="1" applyFill="1" applyBorder="1" applyAlignment="1">
      <alignment horizontal="center"/>
    </xf>
    <xf numFmtId="16" fontId="16" fillId="4" borderId="108" xfId="28" quotePrefix="1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108" xfId="0" applyFont="1" applyBorder="1"/>
    <xf numFmtId="0" fontId="16" fillId="0" borderId="108" xfId="28" applyFont="1" applyFill="1" applyBorder="1" applyAlignment="1">
      <alignment horizontal="center"/>
    </xf>
    <xf numFmtId="0" fontId="1" fillId="4" borderId="108" xfId="28" applyFont="1" applyFill="1" applyBorder="1" applyAlignment="1">
      <alignment horizontal="center"/>
    </xf>
    <xf numFmtId="0" fontId="1" fillId="0" borderId="118" xfId="28" applyFont="1" applyFill="1" applyBorder="1" applyAlignment="1">
      <alignment horizontal="center"/>
    </xf>
    <xf numFmtId="49" fontId="1" fillId="0" borderId="119" xfId="28" applyNumberFormat="1" applyFont="1" applyFill="1" applyBorder="1" applyAlignment="1">
      <alignment horizontal="center"/>
    </xf>
    <xf numFmtId="0" fontId="1" fillId="0" borderId="120" xfId="28" applyNumberFormat="1" applyFont="1" applyFill="1" applyBorder="1" applyAlignment="1">
      <alignment horizontal="center"/>
    </xf>
    <xf numFmtId="0" fontId="1" fillId="4" borderId="108" xfId="28" applyNumberFormat="1" applyFont="1" applyFill="1" applyBorder="1" applyAlignment="1">
      <alignment horizontal="center"/>
    </xf>
    <xf numFmtId="0" fontId="1" fillId="0" borderId="108" xfId="28" applyFont="1" applyFill="1" applyBorder="1" applyAlignment="1"/>
    <xf numFmtId="0" fontId="0" fillId="0" borderId="108" xfId="28" applyFont="1" applyFill="1" applyBorder="1" applyAlignment="1"/>
    <xf numFmtId="0" fontId="1" fillId="0" borderId="108" xfId="0" applyFont="1" applyBorder="1"/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Fill="1" applyBorder="1"/>
    <xf numFmtId="0" fontId="32" fillId="0" borderId="0" xfId="28" applyFont="1" applyFill="1" applyBorder="1" applyAlignment="1">
      <alignment horizontal="right"/>
    </xf>
    <xf numFmtId="0" fontId="32" fillId="4" borderId="108" xfId="28" applyNumberFormat="1" applyFont="1" applyFill="1" applyBorder="1" applyAlignment="1">
      <alignment horizontal="center"/>
    </xf>
    <xf numFmtId="0" fontId="32" fillId="0" borderId="118" xfId="28" applyNumberFormat="1" applyFont="1" applyFill="1" applyBorder="1" applyAlignment="1">
      <alignment horizontal="center"/>
    </xf>
    <xf numFmtId="49" fontId="32" fillId="0" borderId="119" xfId="28" applyNumberFormat="1" applyFont="1" applyFill="1" applyBorder="1" applyAlignment="1">
      <alignment horizontal="center"/>
    </xf>
    <xf numFmtId="0" fontId="32" fillId="0" borderId="120" xfId="28" applyNumberFormat="1" applyFont="1" applyFill="1" applyBorder="1" applyAlignment="1">
      <alignment horizontal="center"/>
    </xf>
    <xf numFmtId="0" fontId="1" fillId="0" borderId="0" xfId="28" applyFont="1" applyFill="1" applyBorder="1" applyAlignment="1"/>
    <xf numFmtId="0" fontId="16" fillId="0" borderId="0" xfId="28" applyFont="1" applyFill="1" applyBorder="1" applyAlignment="1">
      <alignment horizontal="center"/>
    </xf>
    <xf numFmtId="0" fontId="1" fillId="0" borderId="119" xfId="0" applyFont="1" applyFill="1" applyBorder="1"/>
    <xf numFmtId="0" fontId="18" fillId="0" borderId="0" xfId="0" applyFont="1" applyFill="1" applyBorder="1" applyAlignment="1">
      <alignment horizontal="right"/>
    </xf>
    <xf numFmtId="0" fontId="32" fillId="4" borderId="108" xfId="0" applyFont="1" applyFill="1" applyBorder="1" applyAlignment="1">
      <alignment horizontal="center"/>
    </xf>
    <xf numFmtId="0" fontId="32" fillId="4" borderId="122" xfId="28" applyNumberFormat="1" applyFont="1" applyFill="1" applyBorder="1" applyAlignment="1">
      <alignment horizontal="center"/>
    </xf>
    <xf numFmtId="0" fontId="32" fillId="0" borderId="115" xfId="28" applyNumberFormat="1" applyFont="1" applyFill="1" applyBorder="1" applyAlignment="1">
      <alignment horizontal="center"/>
    </xf>
    <xf numFmtId="49" fontId="32" fillId="0" borderId="4" xfId="28" applyNumberFormat="1" applyFont="1" applyFill="1" applyBorder="1" applyAlignment="1">
      <alignment horizontal="center"/>
    </xf>
    <xf numFmtId="0" fontId="32" fillId="0" borderId="113" xfId="28" applyNumberFormat="1" applyFont="1" applyFill="1" applyBorder="1" applyAlignment="1">
      <alignment horizontal="center"/>
    </xf>
    <xf numFmtId="0" fontId="18" fillId="0" borderId="123" xfId="0" applyFont="1" applyFill="1" applyBorder="1" applyAlignment="1">
      <alignment horizontal="right"/>
    </xf>
    <xf numFmtId="0" fontId="32" fillId="4" borderId="124" xfId="0" applyFont="1" applyFill="1" applyBorder="1" applyAlignment="1">
      <alignment horizontal="center"/>
    </xf>
    <xf numFmtId="0" fontId="32" fillId="0" borderId="125" xfId="28" applyNumberFormat="1" applyFont="1" applyFill="1" applyBorder="1" applyAlignment="1">
      <alignment horizontal="center"/>
    </xf>
    <xf numFmtId="49" fontId="32" fillId="0" borderId="126" xfId="28" applyNumberFormat="1" applyFont="1" applyFill="1" applyBorder="1" applyAlignment="1">
      <alignment horizontal="center"/>
    </xf>
    <xf numFmtId="0" fontId="32" fillId="0" borderId="127" xfId="28" applyNumberFormat="1" applyFont="1" applyFill="1" applyBorder="1" applyAlignment="1">
      <alignment horizontal="center"/>
    </xf>
    <xf numFmtId="0" fontId="32" fillId="4" borderId="128" xfId="0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23" borderId="0" xfId="0" applyNumberFormat="1" applyFill="1" applyAlignment="1">
      <alignment horizontal="center"/>
    </xf>
    <xf numFmtId="0" fontId="21" fillId="5" borderId="6" xfId="33" applyFill="1" applyBorder="1"/>
    <xf numFmtId="0" fontId="45" fillId="0" borderId="79" xfId="22" applyFont="1" applyFill="1" applyBorder="1" applyAlignment="1">
      <alignment horizontal="right" vertical="top"/>
    </xf>
    <xf numFmtId="0" fontId="1" fillId="0" borderId="0" xfId="22" applyFont="1" applyAlignment="1">
      <alignment vertical="center"/>
    </xf>
    <xf numFmtId="0" fontId="16" fillId="0" borderId="108" xfId="22" applyFont="1" applyBorder="1" applyAlignment="1">
      <alignment vertical="center"/>
    </xf>
    <xf numFmtId="0" fontId="0" fillId="0" borderId="108" xfId="0" applyBorder="1" applyAlignment="1">
      <alignment vertical="center" wrapText="1"/>
    </xf>
    <xf numFmtId="0" fontId="1" fillId="0" borderId="108" xfId="13" applyFont="1" applyBorder="1" applyAlignment="1">
      <alignment horizontal="center" vertical="center"/>
    </xf>
    <xf numFmtId="0" fontId="1" fillId="0" borderId="108" xfId="13" applyFont="1" applyFill="1" applyBorder="1" applyAlignment="1">
      <alignment horizontal="center" vertical="center"/>
    </xf>
    <xf numFmtId="0" fontId="1" fillId="24" borderId="108" xfId="13" applyFont="1" applyFill="1" applyBorder="1" applyAlignment="1">
      <alignment horizontal="center" vertical="center"/>
    </xf>
    <xf numFmtId="0" fontId="1" fillId="0" borderId="108" xfId="5" applyFont="1" applyBorder="1" applyAlignment="1">
      <alignment horizontal="center" vertical="center"/>
    </xf>
    <xf numFmtId="0" fontId="0" fillId="0" borderId="108" xfId="22" applyNumberFormat="1" applyFont="1" applyFill="1" applyBorder="1" applyAlignment="1">
      <alignment horizontal="center" vertical="center"/>
    </xf>
    <xf numFmtId="0" fontId="16" fillId="0" borderId="108" xfId="22" applyFont="1" applyFill="1" applyBorder="1" applyAlignment="1">
      <alignment horizontal="center" vertical="center"/>
    </xf>
    <xf numFmtId="0" fontId="1" fillId="0" borderId="0" xfId="5" applyFont="1" applyFill="1" applyAlignment="1">
      <alignment horizontal="center" vertical="center"/>
    </xf>
    <xf numFmtId="0" fontId="1" fillId="0" borderId="108" xfId="22" applyFont="1" applyFill="1" applyBorder="1" applyAlignment="1">
      <alignment vertical="center" wrapText="1"/>
    </xf>
    <xf numFmtId="0" fontId="1" fillId="0" borderId="108" xfId="22" applyFont="1" applyFill="1" applyBorder="1" applyAlignment="1">
      <alignment horizontal="center" vertical="center"/>
    </xf>
    <xf numFmtId="0" fontId="1" fillId="24" borderId="108" xfId="22" applyFont="1" applyFill="1" applyBorder="1" applyAlignment="1">
      <alignment horizontal="center" vertical="center"/>
    </xf>
    <xf numFmtId="0" fontId="55" fillId="0" borderId="0" xfId="22" applyFont="1" applyFill="1" applyBorder="1" applyAlignment="1">
      <alignment horizontal="center" vertical="center"/>
    </xf>
    <xf numFmtId="167" fontId="1" fillId="0" borderId="0" xfId="32" applyNumberFormat="1" applyFont="1" applyFill="1" applyAlignment="1">
      <alignment horizontal="center" vertical="center"/>
    </xf>
    <xf numFmtId="169" fontId="1" fillId="0" borderId="0" xfId="22" applyNumberFormat="1" applyFont="1" applyFill="1" applyBorder="1" applyAlignment="1">
      <alignment horizontal="right" vertical="center"/>
    </xf>
    <xf numFmtId="0" fontId="16" fillId="0" borderId="108" xfId="22" applyFont="1" applyBorder="1" applyAlignment="1">
      <alignment vertical="center" wrapText="1"/>
    </xf>
    <xf numFmtId="0" fontId="1" fillId="0" borderId="0" xfId="22" applyFont="1" applyAlignment="1">
      <alignment vertical="center" wrapText="1"/>
    </xf>
    <xf numFmtId="0" fontId="0" fillId="0" borderId="108" xfId="14" applyFont="1" applyFill="1" applyBorder="1" applyAlignment="1">
      <alignment vertical="center" wrapText="1"/>
    </xf>
    <xf numFmtId="0" fontId="1" fillId="24" borderId="108" xfId="22" applyFont="1" applyFill="1" applyBorder="1" applyAlignment="1">
      <alignment horizontal="center" vertical="center" wrapText="1"/>
    </xf>
    <xf numFmtId="0" fontId="1" fillId="9" borderId="108" xfId="22" applyFont="1" applyFill="1" applyBorder="1" applyAlignment="1">
      <alignment horizontal="center" vertical="center" wrapText="1"/>
    </xf>
    <xf numFmtId="0" fontId="1" fillId="0" borderId="108" xfId="22" applyFont="1" applyFill="1" applyBorder="1" applyAlignment="1">
      <alignment horizontal="center" vertical="center" wrapText="1"/>
    </xf>
    <xf numFmtId="0" fontId="0" fillId="0" borderId="108" xfId="22" applyNumberFormat="1" applyFont="1" applyFill="1" applyBorder="1" applyAlignment="1">
      <alignment horizontal="center" vertical="center" wrapText="1"/>
    </xf>
    <xf numFmtId="0" fontId="55" fillId="0" borderId="0" xfId="22" applyFont="1" applyFill="1" applyBorder="1" applyAlignment="1">
      <alignment horizontal="center" vertical="center" wrapText="1"/>
    </xf>
    <xf numFmtId="167" fontId="1" fillId="0" borderId="0" xfId="14" applyNumberFormat="1" applyFont="1" applyFill="1" applyAlignment="1">
      <alignment horizontal="center" vertical="center" wrapText="1"/>
    </xf>
    <xf numFmtId="169" fontId="1" fillId="0" borderId="0" xfId="22" applyNumberFormat="1" applyFont="1" applyFill="1" applyBorder="1" applyAlignment="1">
      <alignment horizontal="right" vertical="center" wrapText="1"/>
    </xf>
    <xf numFmtId="1" fontId="55" fillId="0" borderId="0" xfId="22" applyNumberFormat="1" applyFont="1" applyFill="1" applyBorder="1" applyAlignment="1">
      <alignment horizontal="center" vertical="center" wrapText="1"/>
    </xf>
    <xf numFmtId="0" fontId="0" fillId="0" borderId="108" xfId="22" applyFont="1" applyBorder="1" applyAlignment="1">
      <alignment vertical="center" wrapText="1"/>
    </xf>
    <xf numFmtId="0" fontId="4" fillId="0" borderId="108" xfId="22" applyFont="1" applyFill="1" applyBorder="1" applyAlignment="1">
      <alignment horizontal="center" vertical="center"/>
    </xf>
    <xf numFmtId="0" fontId="1" fillId="0" borderId="0" xfId="22" applyFont="1" applyFill="1" applyAlignment="1">
      <alignment horizontal="center" vertical="center"/>
    </xf>
    <xf numFmtId="169" fontId="1" fillId="0" borderId="0" xfId="22" applyNumberFormat="1" applyFont="1" applyFill="1" applyAlignment="1">
      <alignment vertical="center"/>
    </xf>
    <xf numFmtId="0" fontId="0" fillId="0" borderId="108" xfId="5" applyFont="1" applyBorder="1" applyAlignment="1">
      <alignment vertical="center" wrapText="1"/>
    </xf>
    <xf numFmtId="0" fontId="1" fillId="19" borderId="108" xfId="22" applyFont="1" applyFill="1" applyBorder="1" applyAlignment="1">
      <alignment horizontal="center" vertical="center"/>
    </xf>
    <xf numFmtId="0" fontId="0" fillId="25" borderId="108" xfId="22" applyNumberFormat="1" applyFont="1" applyFill="1" applyBorder="1" applyAlignment="1">
      <alignment horizontal="center" vertical="center"/>
    </xf>
    <xf numFmtId="0" fontId="1" fillId="19" borderId="0" xfId="22" applyFont="1" applyFill="1" applyAlignment="1">
      <alignment horizontal="center" vertical="center"/>
    </xf>
    <xf numFmtId="0" fontId="21" fillId="9" borderId="1" xfId="33" applyFill="1" applyBorder="1"/>
    <xf numFmtId="0" fontId="1" fillId="0" borderId="0" xfId="22" applyFont="1" applyBorder="1" applyAlignment="1">
      <alignment horizontal="right"/>
    </xf>
    <xf numFmtId="49" fontId="1" fillId="0" borderId="0" xfId="22" applyNumberFormat="1" applyFont="1" applyFill="1" applyBorder="1" applyAlignment="1">
      <alignment horizontal="center"/>
    </xf>
    <xf numFmtId="49" fontId="0" fillId="0" borderId="108" xfId="22" applyNumberFormat="1" applyFont="1" applyFill="1" applyBorder="1" applyAlignment="1">
      <alignment horizontal="center"/>
    </xf>
    <xf numFmtId="49" fontId="0" fillId="25" borderId="108" xfId="22" applyNumberFormat="1" applyFont="1" applyFill="1" applyBorder="1" applyAlignment="1">
      <alignment horizontal="center"/>
    </xf>
    <xf numFmtId="0" fontId="16" fillId="19" borderId="108" xfId="22" applyFont="1" applyFill="1" applyBorder="1" applyAlignment="1">
      <alignment horizontal="center"/>
    </xf>
    <xf numFmtId="0" fontId="0" fillId="19" borderId="0" xfId="22" applyFont="1" applyFill="1" applyAlignment="1">
      <alignment horizontal="center"/>
    </xf>
    <xf numFmtId="49" fontId="0" fillId="28" borderId="108" xfId="22" applyNumberFormat="1" applyFont="1" applyFill="1" applyBorder="1" applyAlignment="1">
      <alignment horizontal="center"/>
    </xf>
    <xf numFmtId="0" fontId="16" fillId="9" borderId="108" xfId="13" applyFont="1" applyFill="1" applyBorder="1" applyAlignment="1">
      <alignment horizontal="center"/>
    </xf>
    <xf numFmtId="0" fontId="1" fillId="9" borderId="108" xfId="13" applyFont="1" applyFill="1" applyBorder="1" applyAlignment="1">
      <alignment horizontal="center"/>
    </xf>
    <xf numFmtId="0" fontId="16" fillId="26" borderId="108" xfId="22" applyFont="1" applyFill="1" applyBorder="1" applyAlignment="1">
      <alignment horizontal="center"/>
    </xf>
    <xf numFmtId="0" fontId="1" fillId="26" borderId="108" xfId="22" applyFont="1" applyFill="1" applyBorder="1" applyAlignment="1">
      <alignment horizontal="center"/>
    </xf>
    <xf numFmtId="0" fontId="1" fillId="26" borderId="108" xfId="13" applyFont="1" applyFill="1" applyBorder="1" applyAlignment="1">
      <alignment horizontal="center"/>
    </xf>
    <xf numFmtId="0" fontId="16" fillId="26" borderId="108" xfId="13" applyFont="1" applyFill="1" applyBorder="1" applyAlignment="1">
      <alignment horizontal="center"/>
    </xf>
    <xf numFmtId="169" fontId="1" fillId="26" borderId="0" xfId="22" applyNumberFormat="1" applyFont="1" applyFill="1" applyAlignment="1"/>
    <xf numFmtId="169" fontId="1" fillId="26" borderId="0" xfId="5" applyNumberFormat="1" applyFont="1" applyFill="1"/>
    <xf numFmtId="169" fontId="1" fillId="26" borderId="0" xfId="13" applyNumberFormat="1" applyFont="1" applyFill="1"/>
    <xf numFmtId="0" fontId="0" fillId="9" borderId="0" xfId="5" applyFont="1" applyFill="1" applyAlignment="1">
      <alignment horizontal="center"/>
    </xf>
    <xf numFmtId="0" fontId="0" fillId="9" borderId="0" xfId="13" applyFont="1" applyFill="1" applyAlignment="1">
      <alignment horizontal="center"/>
    </xf>
    <xf numFmtId="0" fontId="1" fillId="9" borderId="2" xfId="21" applyNumberFormat="1" applyFont="1" applyFill="1" applyBorder="1" applyAlignment="1">
      <alignment horizontal="left"/>
    </xf>
    <xf numFmtId="0" fontId="1" fillId="9" borderId="2" xfId="21" applyFont="1" applyFill="1" applyBorder="1"/>
    <xf numFmtId="0" fontId="1" fillId="9" borderId="2" xfId="21" applyFont="1" applyFill="1" applyBorder="1" applyAlignment="1"/>
    <xf numFmtId="14" fontId="1" fillId="0" borderId="2" xfId="21" applyNumberFormat="1" applyFont="1" applyFill="1" applyBorder="1" applyAlignment="1">
      <alignment horizontal="left"/>
    </xf>
    <xf numFmtId="14" fontId="1" fillId="10" borderId="2" xfId="21" applyNumberFormat="1" applyFont="1" applyFill="1" applyBorder="1" applyAlignment="1">
      <alignment horizontal="left"/>
    </xf>
    <xf numFmtId="49" fontId="1" fillId="10" borderId="2" xfId="5" applyNumberFormat="1" applyFont="1" applyFill="1" applyBorder="1"/>
    <xf numFmtId="0" fontId="1" fillId="10" borderId="2" xfId="21" applyFont="1" applyFill="1" applyBorder="1"/>
    <xf numFmtId="0" fontId="1" fillId="10" borderId="2" xfId="21" applyFont="1" applyFill="1" applyBorder="1" applyAlignment="1"/>
    <xf numFmtId="14" fontId="1" fillId="0" borderId="2" xfId="21" applyNumberFormat="1" applyFont="1" applyFill="1" applyBorder="1" applyAlignment="1">
      <alignment horizontal="left" vertical="center"/>
    </xf>
    <xf numFmtId="49" fontId="1" fillId="0" borderId="2" xfId="5" applyNumberFormat="1" applyFont="1" applyFill="1" applyBorder="1" applyAlignment="1">
      <alignment vertical="center"/>
    </xf>
    <xf numFmtId="0" fontId="1" fillId="0" borderId="2" xfId="21" applyFont="1" applyFill="1" applyBorder="1" applyAlignment="1">
      <alignment vertical="center" wrapText="1"/>
    </xf>
    <xf numFmtId="14" fontId="1" fillId="11" borderId="2" xfId="21" applyNumberFormat="1" applyFont="1" applyFill="1" applyBorder="1" applyAlignment="1">
      <alignment horizontal="left"/>
    </xf>
    <xf numFmtId="49" fontId="1" fillId="11" borderId="2" xfId="5" applyNumberFormat="1" applyFont="1" applyFill="1" applyBorder="1"/>
    <xf numFmtId="0" fontId="1" fillId="11" borderId="2" xfId="21" applyFont="1" applyFill="1" applyBorder="1"/>
    <xf numFmtId="0" fontId="1" fillId="11" borderId="2" xfId="21" applyFont="1" applyFill="1" applyBorder="1" applyAlignment="1"/>
    <xf numFmtId="0" fontId="23" fillId="9" borderId="2" xfId="33" applyFont="1" applyFill="1" applyBorder="1" applyAlignment="1"/>
    <xf numFmtId="0" fontId="1" fillId="9" borderId="2" xfId="6" applyFont="1" applyFill="1" applyBorder="1" applyAlignment="1">
      <alignment horizontal="left"/>
    </xf>
    <xf numFmtId="166" fontId="1" fillId="9" borderId="2" xfId="21" applyNumberFormat="1" applyFont="1" applyFill="1" applyBorder="1" applyAlignment="1">
      <alignment horizontal="center"/>
    </xf>
    <xf numFmtId="167" fontId="1" fillId="9" borderId="2" xfId="21" applyNumberFormat="1" applyFont="1" applyFill="1" applyBorder="1" applyAlignment="1">
      <alignment horizontal="center"/>
    </xf>
    <xf numFmtId="0" fontId="23" fillId="10" borderId="2" xfId="33" applyFont="1" applyFill="1" applyBorder="1" applyAlignment="1"/>
    <xf numFmtId="0" fontId="1" fillId="10" borderId="2" xfId="6" applyFont="1" applyFill="1" applyBorder="1" applyAlignment="1">
      <alignment horizontal="left"/>
    </xf>
    <xf numFmtId="166" fontId="1" fillId="10" borderId="2" xfId="21" applyNumberFormat="1" applyFont="1" applyFill="1" applyBorder="1" applyAlignment="1">
      <alignment horizontal="center"/>
    </xf>
    <xf numFmtId="167" fontId="1" fillId="10" borderId="2" xfId="21" applyNumberFormat="1" applyFont="1" applyFill="1" applyBorder="1" applyAlignment="1">
      <alignment horizontal="center"/>
    </xf>
    <xf numFmtId="0" fontId="23" fillId="0" borderId="2" xfId="33" applyFont="1" applyFill="1" applyBorder="1" applyAlignment="1">
      <alignment vertical="center"/>
    </xf>
    <xf numFmtId="0" fontId="1" fillId="0" borderId="2" xfId="6" applyFont="1" applyFill="1" applyBorder="1" applyAlignment="1">
      <alignment horizontal="left" vertical="center"/>
    </xf>
    <xf numFmtId="166" fontId="1" fillId="0" borderId="2" xfId="21" applyNumberFormat="1" applyFont="1" applyFill="1" applyBorder="1" applyAlignment="1">
      <alignment horizontal="center" vertical="center"/>
    </xf>
    <xf numFmtId="167" fontId="1" fillId="0" borderId="2" xfId="21" applyNumberFormat="1" applyFont="1" applyFill="1" applyBorder="1" applyAlignment="1">
      <alignment horizontal="center" vertical="center"/>
    </xf>
    <xf numFmtId="0" fontId="23" fillId="11" borderId="2" xfId="33" applyFont="1" applyFill="1" applyBorder="1" applyAlignment="1"/>
    <xf numFmtId="0" fontId="1" fillId="11" borderId="2" xfId="6" applyFont="1" applyFill="1" applyBorder="1" applyAlignment="1">
      <alignment horizontal="left"/>
    </xf>
    <xf numFmtId="166" fontId="1" fillId="11" borderId="2" xfId="21" applyNumberFormat="1" applyFont="1" applyFill="1" applyBorder="1" applyAlignment="1">
      <alignment horizontal="center"/>
    </xf>
    <xf numFmtId="167" fontId="1" fillId="11" borderId="2" xfId="21" applyNumberFormat="1" applyFont="1" applyFill="1" applyBorder="1" applyAlignment="1">
      <alignment horizontal="center"/>
    </xf>
    <xf numFmtId="0" fontId="0" fillId="0" borderId="108" xfId="14" applyFont="1" applyFill="1" applyBorder="1" applyAlignment="1">
      <alignment vertical="center"/>
    </xf>
    <xf numFmtId="0" fontId="16" fillId="0" borderId="0" xfId="22" applyFont="1" applyAlignment="1"/>
    <xf numFmtId="0" fontId="21" fillId="0" borderId="0" xfId="33" applyAlignment="1"/>
    <xf numFmtId="0" fontId="1" fillId="0" borderId="0" xfId="5" applyFont="1" applyAlignment="1"/>
    <xf numFmtId="0" fontId="1" fillId="0" borderId="0" xfId="14" applyFont="1" applyAlignment="1"/>
    <xf numFmtId="0" fontId="0" fillId="0" borderId="108" xfId="0" applyBorder="1" applyAlignment="1"/>
    <xf numFmtId="0" fontId="0" fillId="0" borderId="108" xfId="0" applyFill="1" applyBorder="1" applyAlignment="1"/>
    <xf numFmtId="0" fontId="17" fillId="0" borderId="0" xfId="14" applyFont="1" applyFill="1" applyAlignment="1"/>
    <xf numFmtId="0" fontId="0" fillId="0" borderId="108" xfId="14" applyFont="1" applyFill="1" applyBorder="1" applyAlignment="1"/>
    <xf numFmtId="0" fontId="1" fillId="0" borderId="0" xfId="32" applyFont="1" applyAlignment="1"/>
    <xf numFmtId="0" fontId="0" fillId="0" borderId="0" xfId="22" applyFont="1" applyBorder="1" applyAlignment="1"/>
    <xf numFmtId="0" fontId="36" fillId="0" borderId="0" xfId="22" applyFont="1"/>
    <xf numFmtId="0" fontId="0" fillId="0" borderId="111" xfId="0" applyFont="1" applyBorder="1"/>
    <xf numFmtId="0" fontId="0" fillId="0" borderId="13" xfId="0" applyBorder="1"/>
    <xf numFmtId="0" fontId="0" fillId="0" borderId="0" xfId="0" applyBorder="1"/>
    <xf numFmtId="0" fontId="0" fillId="0" borderId="121" xfId="0" applyBorder="1"/>
    <xf numFmtId="169" fontId="1" fillId="0" borderId="0" xfId="22" applyNumberFormat="1" applyFont="1" applyFill="1" applyBorder="1" applyAlignment="1">
      <alignment vertical="center" wrapText="1"/>
    </xf>
    <xf numFmtId="169" fontId="1" fillId="0" borderId="0" xfId="22" applyNumberFormat="1" applyFont="1" applyFill="1" applyBorder="1" applyAlignment="1"/>
    <xf numFmtId="0" fontId="1" fillId="0" borderId="0" xfId="32" applyFont="1" applyFill="1" applyAlignment="1"/>
    <xf numFmtId="0" fontId="0" fillId="0" borderId="129" xfId="0" applyFont="1" applyBorder="1"/>
    <xf numFmtId="0" fontId="1" fillId="0" borderId="129" xfId="22" applyFont="1" applyBorder="1"/>
    <xf numFmtId="0" fontId="0" fillId="0" borderId="112" xfId="22" applyFont="1" applyBorder="1"/>
    <xf numFmtId="0" fontId="1" fillId="0" borderId="108" xfId="22" applyFont="1" applyFill="1" applyBorder="1" applyAlignment="1">
      <alignment vertical="center"/>
    </xf>
    <xf numFmtId="0" fontId="21" fillId="5" borderId="130" xfId="33" applyFill="1" applyBorder="1"/>
    <xf numFmtId="0" fontId="17" fillId="12" borderId="131" xfId="21" applyNumberFormat="1" applyFont="1" applyFill="1" applyBorder="1" applyAlignment="1">
      <alignment horizontal="left"/>
    </xf>
    <xf numFmtId="49" fontId="30" fillId="12" borderId="131" xfId="5" applyNumberFormat="1" applyFont="1" applyFill="1" applyBorder="1"/>
    <xf numFmtId="0" fontId="17" fillId="12" borderId="131" xfId="21" applyFont="1" applyFill="1" applyBorder="1"/>
    <xf numFmtId="0" fontId="17" fillId="12" borderId="131" xfId="21" applyFont="1" applyFill="1" applyBorder="1" applyAlignment="1"/>
    <xf numFmtId="0" fontId="31" fillId="12" borderId="131" xfId="33" applyFont="1" applyFill="1" applyBorder="1"/>
    <xf numFmtId="165" fontId="1" fillId="0" borderId="0" xfId="19" applyNumberFormat="1" applyFont="1" applyAlignment="1">
      <alignment horizontal="right"/>
    </xf>
    <xf numFmtId="0" fontId="1" fillId="0" borderId="0" xfId="5" applyFont="1" applyFill="1"/>
    <xf numFmtId="0" fontId="40" fillId="0" borderId="0" xfId="14" applyFont="1" applyFill="1" applyAlignment="1">
      <alignment horizontal="right"/>
    </xf>
    <xf numFmtId="0" fontId="1" fillId="4" borderId="0" xfId="22" applyFont="1" applyFill="1" applyAlignment="1"/>
    <xf numFmtId="0" fontId="0" fillId="13" borderId="131" xfId="21" applyNumberFormat="1" applyFont="1" applyFill="1" applyBorder="1" applyAlignment="1">
      <alignment horizontal="left"/>
    </xf>
    <xf numFmtId="49" fontId="0" fillId="13" borderId="131" xfId="5" applyNumberFormat="1" applyFont="1" applyFill="1" applyBorder="1"/>
    <xf numFmtId="0" fontId="0" fillId="13" borderId="131" xfId="21" applyFont="1" applyFill="1" applyBorder="1"/>
    <xf numFmtId="0" fontId="0" fillId="13" borderId="131" xfId="21" applyFont="1" applyFill="1" applyBorder="1" applyAlignment="1"/>
    <xf numFmtId="0" fontId="21" fillId="13" borderId="131" xfId="33" applyFont="1" applyFill="1" applyBorder="1"/>
    <xf numFmtId="0" fontId="23" fillId="13" borderId="131" xfId="33" applyFont="1" applyFill="1" applyBorder="1" applyAlignment="1"/>
    <xf numFmtId="0" fontId="1" fillId="13" borderId="131" xfId="6" applyFont="1" applyFill="1" applyBorder="1" applyAlignment="1">
      <alignment horizontal="left"/>
    </xf>
    <xf numFmtId="166" fontId="1" fillId="13" borderId="131" xfId="21" applyNumberFormat="1" applyFont="1" applyFill="1" applyBorder="1" applyAlignment="1">
      <alignment horizontal="center"/>
    </xf>
    <xf numFmtId="167" fontId="1" fillId="13" borderId="131" xfId="21" applyNumberFormat="1" applyFont="1" applyFill="1" applyBorder="1" applyAlignment="1">
      <alignment horizontal="center"/>
    </xf>
    <xf numFmtId="0" fontId="1" fillId="3" borderId="2" xfId="6" applyFont="1" applyFill="1" applyBorder="1" applyAlignment="1">
      <alignment horizontal="left"/>
    </xf>
    <xf numFmtId="0" fontId="23" fillId="5" borderId="1" xfId="33" applyFont="1" applyFill="1" applyBorder="1" applyAlignment="1"/>
    <xf numFmtId="0" fontId="1" fillId="5" borderId="1" xfId="6" applyFont="1" applyFill="1" applyBorder="1" applyAlignment="1">
      <alignment horizontal="left"/>
    </xf>
    <xf numFmtId="166" fontId="1" fillId="5" borderId="1" xfId="21" applyNumberFormat="1" applyFont="1" applyFill="1" applyBorder="1" applyAlignment="1">
      <alignment horizontal="center"/>
    </xf>
    <xf numFmtId="167" fontId="1" fillId="5" borderId="1" xfId="21" applyNumberFormat="1" applyFont="1" applyFill="1" applyBorder="1" applyAlignment="1">
      <alignment horizontal="center"/>
    </xf>
    <xf numFmtId="0" fontId="1" fillId="3" borderId="1" xfId="33" applyFont="1" applyFill="1" applyBorder="1" applyAlignment="1"/>
    <xf numFmtId="0" fontId="1" fillId="3" borderId="1" xfId="6" applyFont="1" applyFill="1" applyBorder="1" applyAlignment="1">
      <alignment horizontal="left"/>
    </xf>
    <xf numFmtId="165" fontId="1" fillId="3" borderId="1" xfId="21" applyNumberFormat="1" applyFont="1" applyFill="1" applyBorder="1" applyAlignment="1">
      <alignment horizontal="center"/>
    </xf>
    <xf numFmtId="167" fontId="16" fillId="3" borderId="1" xfId="21" applyNumberFormat="1" applyFont="1" applyFill="1" applyBorder="1" applyAlignment="1">
      <alignment horizontal="center"/>
    </xf>
    <xf numFmtId="0" fontId="23" fillId="3" borderId="1" xfId="33" applyFont="1" applyFill="1" applyBorder="1" applyAlignment="1"/>
    <xf numFmtId="167" fontId="1" fillId="3" borderId="1" xfId="21" applyNumberFormat="1" applyFont="1" applyFill="1" applyBorder="1" applyAlignment="1">
      <alignment horizontal="center"/>
    </xf>
    <xf numFmtId="0" fontId="23" fillId="9" borderId="1" xfId="33" applyFont="1" applyFill="1" applyBorder="1" applyAlignment="1"/>
    <xf numFmtId="0" fontId="1" fillId="9" borderId="1" xfId="6" applyFont="1" applyFill="1" applyBorder="1" applyAlignment="1">
      <alignment horizontal="left"/>
    </xf>
    <xf numFmtId="166" fontId="1" fillId="9" borderId="1" xfId="21" applyNumberFormat="1" applyFont="1" applyFill="1" applyBorder="1" applyAlignment="1">
      <alignment horizontal="center"/>
    </xf>
    <xf numFmtId="167" fontId="1" fillId="9" borderId="1" xfId="21" applyNumberFormat="1" applyFont="1" applyFill="1" applyBorder="1" applyAlignment="1">
      <alignment horizontal="center"/>
    </xf>
    <xf numFmtId="166" fontId="1" fillId="0" borderId="1" xfId="21" applyNumberFormat="1" applyFont="1" applyFill="1" applyBorder="1" applyAlignment="1">
      <alignment horizontal="center"/>
    </xf>
    <xf numFmtId="0" fontId="23" fillId="5" borderId="6" xfId="33" applyFont="1" applyFill="1" applyBorder="1" applyAlignment="1"/>
    <xf numFmtId="0" fontId="1" fillId="5" borderId="6" xfId="6" applyFont="1" applyFill="1" applyBorder="1" applyAlignment="1">
      <alignment horizontal="left"/>
    </xf>
    <xf numFmtId="166" fontId="1" fillId="5" borderId="6" xfId="21" applyNumberFormat="1" applyFont="1" applyFill="1" applyBorder="1" applyAlignment="1">
      <alignment horizontal="center"/>
    </xf>
    <xf numFmtId="167" fontId="1" fillId="5" borderId="6" xfId="21" applyNumberFormat="1" applyFont="1" applyFill="1" applyBorder="1" applyAlignment="1">
      <alignment horizontal="center"/>
    </xf>
    <xf numFmtId="0" fontId="23" fillId="0" borderId="7" xfId="33" applyFont="1" applyFill="1" applyBorder="1" applyAlignment="1"/>
    <xf numFmtId="0" fontId="1" fillId="0" borderId="7" xfId="6" applyFont="1" applyFill="1" applyBorder="1" applyAlignment="1">
      <alignment horizontal="left"/>
    </xf>
    <xf numFmtId="166" fontId="1" fillId="0" borderId="7" xfId="21" applyNumberFormat="1" applyFont="1" applyFill="1" applyBorder="1" applyAlignment="1"/>
    <xf numFmtId="167" fontId="1" fillId="0" borderId="7" xfId="21" applyNumberFormat="1" applyFont="1" applyFill="1" applyBorder="1" applyAlignment="1">
      <alignment horizontal="center"/>
    </xf>
    <xf numFmtId="0" fontId="23" fillId="5" borderId="130" xfId="33" applyFont="1" applyFill="1" applyBorder="1" applyAlignment="1"/>
    <xf numFmtId="0" fontId="1" fillId="5" borderId="130" xfId="6" applyFont="1" applyFill="1" applyBorder="1" applyAlignment="1">
      <alignment horizontal="left"/>
    </xf>
    <xf numFmtId="166" fontId="1" fillId="5" borderId="130" xfId="21" applyNumberFormat="1" applyFont="1" applyFill="1" applyBorder="1" applyAlignment="1">
      <alignment horizontal="center"/>
    </xf>
    <xf numFmtId="167" fontId="1" fillId="5" borderId="130" xfId="21" applyNumberFormat="1" applyFont="1" applyFill="1" applyBorder="1" applyAlignment="1">
      <alignment horizontal="center"/>
    </xf>
    <xf numFmtId="0" fontId="23" fillId="12" borderId="131" xfId="33" applyFont="1" applyFill="1" applyBorder="1" applyAlignment="1"/>
    <xf numFmtId="0" fontId="1" fillId="12" borderId="131" xfId="6" applyFont="1" applyFill="1" applyBorder="1" applyAlignment="1">
      <alignment horizontal="left"/>
    </xf>
    <xf numFmtId="166" fontId="1" fillId="12" borderId="131" xfId="21" applyNumberFormat="1" applyFont="1" applyFill="1" applyBorder="1" applyAlignment="1">
      <alignment horizontal="center"/>
    </xf>
    <xf numFmtId="167" fontId="1" fillId="12" borderId="131" xfId="21" applyNumberFormat="1" applyFont="1" applyFill="1" applyBorder="1" applyAlignment="1">
      <alignment horizontal="center"/>
    </xf>
    <xf numFmtId="0" fontId="23" fillId="9" borderId="131" xfId="33" applyFont="1" applyFill="1" applyBorder="1" applyAlignment="1">
      <alignment vertical="center"/>
    </xf>
    <xf numFmtId="0" fontId="1" fillId="9" borderId="131" xfId="6" applyFont="1" applyFill="1" applyBorder="1" applyAlignment="1">
      <alignment horizontal="left" vertical="center"/>
    </xf>
    <xf numFmtId="166" fontId="1" fillId="9" borderId="131" xfId="21" applyNumberFormat="1" applyFont="1" applyFill="1" applyBorder="1" applyAlignment="1">
      <alignment horizontal="center" vertical="center"/>
    </xf>
    <xf numFmtId="167" fontId="1" fillId="9" borderId="131" xfId="21" applyNumberFormat="1" applyFont="1" applyFill="1" applyBorder="1" applyAlignment="1">
      <alignment horizontal="center" vertical="center"/>
    </xf>
    <xf numFmtId="0" fontId="1" fillId="5" borderId="1" xfId="21" applyNumberFormat="1" applyFont="1" applyFill="1" applyBorder="1" applyAlignment="1">
      <alignment horizontal="left"/>
    </xf>
    <xf numFmtId="49" fontId="1" fillId="5" borderId="1" xfId="5" applyNumberFormat="1" applyFont="1" applyFill="1" applyBorder="1"/>
    <xf numFmtId="0" fontId="1" fillId="5" borderId="1" xfId="21" applyFont="1" applyFill="1" applyBorder="1"/>
    <xf numFmtId="0" fontId="1" fillId="5" borderId="1" xfId="21" applyFont="1" applyFill="1" applyBorder="1" applyAlignment="1"/>
    <xf numFmtId="0" fontId="1" fillId="0" borderId="1" xfId="21" applyNumberFormat="1" applyFont="1" applyFill="1" applyBorder="1" applyAlignment="1">
      <alignment horizontal="left"/>
    </xf>
    <xf numFmtId="0" fontId="1" fillId="0" borderId="1" xfId="21" applyFont="1" applyFill="1" applyBorder="1"/>
    <xf numFmtId="0" fontId="1" fillId="3" borderId="1" xfId="21" applyNumberFormat="1" applyFont="1" applyFill="1" applyBorder="1" applyAlignment="1">
      <alignment horizontal="left"/>
    </xf>
    <xf numFmtId="49" fontId="1" fillId="3" borderId="1" xfId="5" applyNumberFormat="1" applyFont="1" applyFill="1" applyBorder="1"/>
    <xf numFmtId="0" fontId="23" fillId="3" borderId="1" xfId="33" applyFont="1" applyFill="1" applyBorder="1"/>
    <xf numFmtId="0" fontId="1" fillId="3" borderId="1" xfId="21" applyFont="1" applyFill="1" applyBorder="1" applyAlignment="1"/>
    <xf numFmtId="0" fontId="1" fillId="9" borderId="1" xfId="21" applyNumberFormat="1" applyFont="1" applyFill="1" applyBorder="1" applyAlignment="1">
      <alignment horizontal="left"/>
    </xf>
    <xf numFmtId="49" fontId="1" fillId="9" borderId="1" xfId="5" applyNumberFormat="1" applyFont="1" applyFill="1" applyBorder="1"/>
    <xf numFmtId="0" fontId="1" fillId="9" borderId="1" xfId="21" applyFont="1" applyFill="1" applyBorder="1"/>
    <xf numFmtId="0" fontId="1" fillId="9" borderId="1" xfId="21" applyFont="1" applyFill="1" applyBorder="1" applyAlignment="1"/>
    <xf numFmtId="14" fontId="1" fillId="0" borderId="1" xfId="21" applyNumberFormat="1" applyFont="1" applyFill="1" applyBorder="1" applyAlignment="1">
      <alignment horizontal="left"/>
    </xf>
    <xf numFmtId="0" fontId="1" fillId="0" borderId="6" xfId="21" applyNumberFormat="1" applyFont="1" applyFill="1" applyBorder="1" applyAlignment="1">
      <alignment horizontal="left"/>
    </xf>
    <xf numFmtId="0" fontId="1" fillId="0" borderId="6" xfId="21" applyFont="1" applyFill="1" applyBorder="1"/>
    <xf numFmtId="0" fontId="1" fillId="5" borderId="6" xfId="21" applyNumberFormat="1" applyFont="1" applyFill="1" applyBorder="1" applyAlignment="1">
      <alignment horizontal="left"/>
    </xf>
    <xf numFmtId="49" fontId="1" fillId="5" borderId="6" xfId="5" applyNumberFormat="1" applyFont="1" applyFill="1" applyBorder="1"/>
    <xf numFmtId="0" fontId="1" fillId="5" borderId="6" xfId="21" applyFont="1" applyFill="1" applyBorder="1"/>
    <xf numFmtId="0" fontId="1" fillId="5" borderId="6" xfId="21" applyFont="1" applyFill="1" applyBorder="1" applyAlignment="1"/>
    <xf numFmtId="0" fontId="1" fillId="0" borderId="7" xfId="21" applyNumberFormat="1" applyFont="1" applyFill="1" applyBorder="1" applyAlignment="1">
      <alignment horizontal="left"/>
    </xf>
    <xf numFmtId="49" fontId="1" fillId="0" borderId="7" xfId="5" applyNumberFormat="1" applyFont="1" applyFill="1" applyBorder="1"/>
    <xf numFmtId="0" fontId="1" fillId="0" borderId="7" xfId="21" applyFont="1" applyFill="1" applyBorder="1"/>
    <xf numFmtId="0" fontId="1" fillId="0" borderId="7" xfId="21" applyFont="1" applyFill="1" applyBorder="1" applyAlignment="1"/>
    <xf numFmtId="0" fontId="1" fillId="5" borderId="130" xfId="21" applyNumberFormat="1" applyFont="1" applyFill="1" applyBorder="1" applyAlignment="1">
      <alignment horizontal="left"/>
    </xf>
    <xf numFmtId="49" fontId="1" fillId="5" borderId="130" xfId="5" applyNumberFormat="1" applyFont="1" applyFill="1" applyBorder="1"/>
    <xf numFmtId="0" fontId="1" fillId="5" borderId="130" xfId="21" applyFont="1" applyFill="1" applyBorder="1"/>
    <xf numFmtId="0" fontId="1" fillId="5" borderId="130" xfId="21" applyFont="1" applyFill="1" applyBorder="1" applyAlignment="1"/>
    <xf numFmtId="0" fontId="1" fillId="9" borderId="131" xfId="21" applyNumberFormat="1" applyFont="1" applyFill="1" applyBorder="1" applyAlignment="1">
      <alignment horizontal="left"/>
    </xf>
    <xf numFmtId="49" fontId="1" fillId="9" borderId="131" xfId="5" applyNumberFormat="1" applyFont="1" applyFill="1" applyBorder="1"/>
    <xf numFmtId="0" fontId="1" fillId="9" borderId="131" xfId="21" applyFont="1" applyFill="1" applyBorder="1" applyAlignment="1">
      <alignment vertical="center"/>
    </xf>
    <xf numFmtId="0" fontId="36" fillId="0" borderId="59" xfId="33" applyFont="1" applyBorder="1" applyAlignment="1"/>
    <xf numFmtId="0" fontId="23" fillId="5" borderId="96" xfId="33" applyFont="1" applyFill="1" applyBorder="1" applyAlignment="1"/>
    <xf numFmtId="0" fontId="1" fillId="5" borderId="42" xfId="14" applyFont="1" applyFill="1" applyBorder="1" applyAlignment="1"/>
    <xf numFmtId="0" fontId="23" fillId="5" borderId="18" xfId="33" applyFont="1" applyFill="1" applyBorder="1" applyAlignment="1"/>
    <xf numFmtId="0" fontId="16" fillId="0" borderId="42" xfId="33" applyFont="1" applyFill="1" applyBorder="1" applyAlignment="1"/>
    <xf numFmtId="0" fontId="36" fillId="11" borderId="64" xfId="33" applyFont="1" applyFill="1" applyBorder="1" applyAlignment="1"/>
    <xf numFmtId="0" fontId="1" fillId="0" borderId="0" xfId="22" applyFont="1" applyAlignment="1">
      <alignment vertical="top"/>
    </xf>
    <xf numFmtId="0" fontId="23" fillId="19" borderId="95" xfId="33" applyFont="1" applyFill="1" applyBorder="1" applyAlignment="1">
      <alignment vertical="top"/>
    </xf>
    <xf numFmtId="0" fontId="1" fillId="19" borderId="28" xfId="33" applyFont="1" applyFill="1" applyBorder="1" applyAlignment="1">
      <alignment vertical="top"/>
    </xf>
    <xf numFmtId="0" fontId="36" fillId="11" borderId="28" xfId="33" applyFont="1" applyFill="1" applyBorder="1" applyAlignment="1"/>
    <xf numFmtId="0" fontId="36" fillId="4" borderId="52" xfId="33" applyFont="1" applyFill="1" applyBorder="1" applyAlignment="1">
      <alignment vertical="top"/>
    </xf>
    <xf numFmtId="0" fontId="40" fillId="0" borderId="57" xfId="22" applyFont="1" applyFill="1" applyBorder="1" applyAlignment="1">
      <alignment vertical="top"/>
    </xf>
    <xf numFmtId="0" fontId="36" fillId="0" borderId="28" xfId="33" applyFont="1" applyFill="1" applyBorder="1" applyAlignment="1">
      <alignment vertical="top"/>
    </xf>
    <xf numFmtId="0" fontId="23" fillId="5" borderId="55" xfId="33" applyFont="1" applyFill="1" applyBorder="1" applyAlignment="1"/>
    <xf numFmtId="0" fontId="17" fillId="29" borderId="49" xfId="22" applyFont="1" applyFill="1" applyBorder="1" applyAlignment="1">
      <alignment vertical="top"/>
    </xf>
    <xf numFmtId="0" fontId="17" fillId="29" borderId="0" xfId="22" applyFont="1" applyFill="1" applyBorder="1" applyAlignment="1">
      <alignment vertical="top"/>
    </xf>
    <xf numFmtId="0" fontId="31" fillId="29" borderId="80" xfId="33" applyFont="1" applyFill="1" applyBorder="1" applyAlignment="1"/>
    <xf numFmtId="0" fontId="27" fillId="29" borderId="0" xfId="22" applyFont="1" applyFill="1" applyBorder="1" applyAlignment="1"/>
    <xf numFmtId="0" fontId="14" fillId="20" borderId="62" xfId="22" applyFont="1" applyFill="1" applyBorder="1" applyAlignment="1"/>
    <xf numFmtId="0" fontId="27" fillId="29" borderId="82" xfId="22" applyFont="1" applyFill="1" applyBorder="1" applyAlignment="1">
      <alignment vertical="top"/>
    </xf>
    <xf numFmtId="0" fontId="16" fillId="0" borderId="50" xfId="22" applyFont="1" applyFill="1" applyBorder="1" applyAlignment="1">
      <alignment vertical="top"/>
    </xf>
    <xf numFmtId="0" fontId="16" fillId="0" borderId="80" xfId="22" applyFont="1" applyFill="1" applyBorder="1" applyAlignment="1">
      <alignment vertical="top"/>
    </xf>
    <xf numFmtId="0" fontId="0" fillId="9" borderId="1" xfId="6" applyFont="1" applyFill="1" applyBorder="1" applyAlignment="1">
      <alignment horizontal="left"/>
    </xf>
    <xf numFmtId="0" fontId="21" fillId="0" borderId="16" xfId="33" applyFill="1" applyBorder="1" applyAlignment="1"/>
    <xf numFmtId="0" fontId="21" fillId="0" borderId="132" xfId="33" applyFill="1" applyBorder="1" applyAlignment="1"/>
    <xf numFmtId="0" fontId="23" fillId="0" borderId="43" xfId="33" applyFont="1" applyFill="1" applyBorder="1" applyAlignment="1">
      <alignment vertical="top"/>
    </xf>
    <xf numFmtId="0" fontId="21" fillId="9" borderId="131" xfId="33" applyFont="1" applyFill="1" applyBorder="1" applyAlignment="1">
      <alignment vertical="center"/>
    </xf>
    <xf numFmtId="0" fontId="1" fillId="5" borderId="2" xfId="21" applyNumberFormat="1" applyFont="1" applyFill="1" applyBorder="1" applyAlignment="1">
      <alignment horizontal="left" vertical="center"/>
    </xf>
    <xf numFmtId="0" fontId="22" fillId="4" borderId="8" xfId="22" applyFont="1" applyFill="1" applyBorder="1" applyAlignment="1">
      <alignment vertical="top"/>
    </xf>
    <xf numFmtId="0" fontId="22" fillId="4" borderId="9" xfId="22" applyFont="1" applyFill="1" applyBorder="1" applyAlignment="1">
      <alignment vertical="top"/>
    </xf>
    <xf numFmtId="0" fontId="1" fillId="0" borderId="28" xfId="8" applyFont="1" applyFill="1" applyBorder="1" applyAlignment="1">
      <alignment textRotation="90"/>
    </xf>
    <xf numFmtId="0" fontId="0" fillId="0" borderId="0" xfId="8" applyFont="1" applyFill="1" applyBorder="1" applyAlignment="1">
      <alignment textRotation="90"/>
    </xf>
    <xf numFmtId="0" fontId="1" fillId="0" borderId="0" xfId="8" applyFont="1" applyFill="1" applyBorder="1" applyAlignment="1">
      <alignment textRotation="90"/>
    </xf>
    <xf numFmtId="0" fontId="1" fillId="0" borderId="0" xfId="8" applyFont="1" applyFill="1" applyAlignment="1">
      <alignment textRotation="90"/>
    </xf>
  </cellXfs>
  <cellStyles count="34">
    <cellStyle name="Hyperlink" xfId="33" builtinId="8"/>
    <cellStyle name="Hyperlink 2" xfId="1"/>
    <cellStyle name="Hyperlink 2 2" xfId="2"/>
    <cellStyle name="Hyperlink 3" xfId="3"/>
    <cellStyle name="Hyperlink 3 2" xfId="4"/>
    <cellStyle name="Normal" xfId="0" builtinId="0"/>
    <cellStyle name="Normal 2" xfId="5"/>
    <cellStyle name="Normal 2 2" xfId="6"/>
    <cellStyle name="Normal 2 2 2" xfId="7"/>
    <cellStyle name="Normal 2 2 2 2" xfId="8"/>
    <cellStyle name="Normal 2 2 3" xfId="9"/>
    <cellStyle name="Normal 2 2 4" xfId="10"/>
    <cellStyle name="Normal 2 3" xfId="11"/>
    <cellStyle name="Normal 2 3 2" xfId="12"/>
    <cellStyle name="Normal 2 4" xfId="13"/>
    <cellStyle name="Normal 2 4 2" xfId="32"/>
    <cellStyle name="Normal 2 5" xfId="14"/>
    <cellStyle name="Normal 3" xfId="15"/>
    <cellStyle name="Normal 3 2" xfId="16"/>
    <cellStyle name="Normal 3 3" xfId="17"/>
    <cellStyle name="Normal 3 4" xfId="18"/>
    <cellStyle name="Normal 4" xfId="19"/>
    <cellStyle name="Normal 4 2" xfId="20"/>
    <cellStyle name="Normal 4 3" xfId="21"/>
    <cellStyle name="Normal 5" xfId="22"/>
    <cellStyle name="Normal 6" xfId="23"/>
    <cellStyle name="Normal 6 2" xfId="24"/>
    <cellStyle name="Normal 6 2 2" xfId="25"/>
    <cellStyle name="Normal 6 3" xfId="26"/>
    <cellStyle name="Normal 6 4" xfId="27"/>
    <cellStyle name="Normal 7" xfId="28"/>
    <cellStyle name="Normal 8" xfId="29"/>
    <cellStyle name="Normal 9" xfId="30"/>
    <cellStyle name="WinCalendar_BlankCells_35" xfId="31"/>
  </cellStyles>
  <dxfs count="3706">
    <dxf>
      <font>
        <strike/>
        <color rgb="FF00B0F0"/>
      </font>
    </dxf>
    <dxf>
      <font>
        <color theme="0"/>
      </font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color theme="0"/>
      </font>
    </dxf>
    <dxf>
      <font>
        <color theme="4" tint="-0.24994659260841701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ill>
        <patternFill>
          <bgColor rgb="FFCCFFCC"/>
        </patternFill>
      </fill>
    </dxf>
    <dxf>
      <font>
        <color rgb="FFCC0000"/>
      </font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color theme="4" tint="-0.24994659260841701"/>
      </font>
    </dxf>
    <dxf>
      <font>
        <color theme="4" tint="-0.24994659260841701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  <color rgb="FFFF0000"/>
      </font>
      <fill>
        <patternFill>
          <bgColor rgb="FF99FF99"/>
        </patternFill>
      </fill>
    </dxf>
    <dxf>
      <font>
        <b/>
        <i val="0"/>
        <color rgb="FFFF0000"/>
      </font>
      <fill>
        <patternFill>
          <bgColor rgb="FF99FF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99FF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CC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5" tint="0.39994506668294322"/>
      </font>
    </dxf>
    <dxf>
      <font>
        <color rgb="FF0070C0"/>
      </font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ont>
        <color theme="4" tint="-0.24994659260841701"/>
      </font>
    </dxf>
    <dxf>
      <font>
        <color theme="4" tint="-0.24994659260841701"/>
      </font>
    </dxf>
    <dxf>
      <font>
        <b/>
        <i val="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9999"/>
      <color rgb="FFFFFF99"/>
      <color rgb="FFCCFFCC"/>
      <color rgb="FFFFFFCC"/>
      <color rgb="FFCC0000"/>
      <color rgb="FFFFCC99"/>
      <color rgb="FF99FF99"/>
      <color rgb="FFCCFF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gif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1434705</xdr:colOff>
      <xdr:row>18</xdr:row>
      <xdr:rowOff>136922</xdr:rowOff>
    </xdr:from>
    <xdr:to>
      <xdr:col>2</xdr:col>
      <xdr:colOff>1634220</xdr:colOff>
      <xdr:row>20</xdr:row>
      <xdr:rowOff>27439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9" y="2547938"/>
          <a:ext cx="199515" cy="211985"/>
        </a:xfrm>
        <a:prstGeom prst="rect">
          <a:avLst/>
        </a:prstGeom>
      </xdr:spPr>
    </xdr:pic>
    <xdr:clientData/>
  </xdr:twoCellAnchor>
  <xdr:twoCellAnchor editAs="oneCell">
    <xdr:from>
      <xdr:col>2</xdr:col>
      <xdr:colOff>1134319</xdr:colOff>
      <xdr:row>19</xdr:row>
      <xdr:rowOff>142876</xdr:rowOff>
    </xdr:from>
    <xdr:to>
      <xdr:col>2</xdr:col>
      <xdr:colOff>1333834</xdr:colOff>
      <xdr:row>21</xdr:row>
      <xdr:rowOff>12609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342803" y="2714626"/>
          <a:ext cx="199515" cy="191202"/>
        </a:xfrm>
        <a:prstGeom prst="rect">
          <a:avLst/>
        </a:prstGeom>
      </xdr:spPr>
    </xdr:pic>
    <xdr:clientData/>
  </xdr:twoCellAnchor>
  <xdr:twoCellAnchor editAs="oneCell">
    <xdr:from>
      <xdr:col>2</xdr:col>
      <xdr:colOff>869004</xdr:colOff>
      <xdr:row>17</xdr:row>
      <xdr:rowOff>15343</xdr:rowOff>
    </xdr:from>
    <xdr:to>
      <xdr:col>2</xdr:col>
      <xdr:colOff>1089302</xdr:colOff>
      <xdr:row>18</xdr:row>
      <xdr:rowOff>4244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77488" y="2265624"/>
          <a:ext cx="220298" cy="149636"/>
        </a:xfrm>
        <a:prstGeom prst="rect">
          <a:avLst/>
        </a:prstGeom>
      </xdr:spPr>
    </xdr:pic>
    <xdr:clientData/>
  </xdr:twoCellAnchor>
  <xdr:oneCellAnchor>
    <xdr:from>
      <xdr:col>2</xdr:col>
      <xdr:colOff>1143001</xdr:colOff>
      <xdr:row>24</xdr:row>
      <xdr:rowOff>152400</xdr:rowOff>
    </xdr:from>
    <xdr:ext cx="199182" cy="190499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6" y="3552825"/>
          <a:ext cx="199182" cy="190499"/>
        </a:xfrm>
        <a:prstGeom prst="rect">
          <a:avLst/>
        </a:prstGeom>
      </xdr:spPr>
    </xdr:pic>
    <xdr:clientData/>
  </xdr:oneCellAnchor>
  <xdr:oneCellAnchor>
    <xdr:from>
      <xdr:col>2</xdr:col>
      <xdr:colOff>1133476</xdr:colOff>
      <xdr:row>34</xdr:row>
      <xdr:rowOff>152401</xdr:rowOff>
    </xdr:from>
    <xdr:ext cx="199182" cy="190499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1" y="4848226"/>
          <a:ext cx="199182" cy="190499"/>
        </a:xfrm>
        <a:prstGeom prst="rect">
          <a:avLst/>
        </a:prstGeom>
      </xdr:spPr>
    </xdr:pic>
    <xdr:clientData/>
  </xdr:oneCellAnchor>
  <xdr:twoCellAnchor editAs="oneCell">
    <xdr:from>
      <xdr:col>2</xdr:col>
      <xdr:colOff>1257300</xdr:colOff>
      <xdr:row>48</xdr:row>
      <xdr:rowOff>1</xdr:rowOff>
    </xdr:from>
    <xdr:to>
      <xdr:col>2</xdr:col>
      <xdr:colOff>1394467</xdr:colOff>
      <xdr:row>49</xdr:row>
      <xdr:rowOff>6196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559" y="7055070"/>
          <a:ext cx="137167" cy="170419"/>
        </a:xfrm>
        <a:prstGeom prst="rect">
          <a:avLst/>
        </a:prstGeom>
      </xdr:spPr>
    </xdr:pic>
    <xdr:clientData/>
  </xdr:twoCellAnchor>
  <xdr:twoCellAnchor editAs="oneCell">
    <xdr:from>
      <xdr:col>2</xdr:col>
      <xdr:colOff>1260331</xdr:colOff>
      <xdr:row>31</xdr:row>
      <xdr:rowOff>1</xdr:rowOff>
    </xdr:from>
    <xdr:to>
      <xdr:col>2</xdr:col>
      <xdr:colOff>1397498</xdr:colOff>
      <xdr:row>33</xdr:row>
      <xdr:rowOff>9685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68815" y="4339829"/>
          <a:ext cx="137167" cy="170419"/>
        </a:xfrm>
        <a:prstGeom prst="rect">
          <a:avLst/>
        </a:prstGeom>
      </xdr:spPr>
    </xdr:pic>
    <xdr:clientData/>
  </xdr:twoCellAnchor>
  <xdr:twoCellAnchor editAs="oneCell">
    <xdr:from>
      <xdr:col>2</xdr:col>
      <xdr:colOff>1260331</xdr:colOff>
      <xdr:row>56</xdr:row>
      <xdr:rowOff>0</xdr:rowOff>
    </xdr:from>
    <xdr:to>
      <xdr:col>2</xdr:col>
      <xdr:colOff>1397498</xdr:colOff>
      <xdr:row>57</xdr:row>
      <xdr:rowOff>6195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68815" y="7891463"/>
          <a:ext cx="137167" cy="166929"/>
        </a:xfrm>
        <a:prstGeom prst="rect">
          <a:avLst/>
        </a:prstGeom>
      </xdr:spPr>
    </xdr:pic>
    <xdr:clientData/>
  </xdr:twoCellAnchor>
  <xdr:twoCellAnchor editAs="oneCell">
    <xdr:from>
      <xdr:col>2</xdr:col>
      <xdr:colOff>1461208</xdr:colOff>
      <xdr:row>46</xdr:row>
      <xdr:rowOff>161926</xdr:rowOff>
    </xdr:from>
    <xdr:to>
      <xdr:col>2</xdr:col>
      <xdr:colOff>1598375</xdr:colOff>
      <xdr:row>48</xdr:row>
      <xdr:rowOff>4834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669522" y="6856640"/>
          <a:ext cx="137167" cy="169480"/>
        </a:xfrm>
        <a:prstGeom prst="rect">
          <a:avLst/>
        </a:prstGeom>
      </xdr:spPr>
    </xdr:pic>
    <xdr:clientData/>
  </xdr:twoCellAnchor>
  <xdr:twoCellAnchor editAs="oneCell">
    <xdr:from>
      <xdr:col>2</xdr:col>
      <xdr:colOff>898923</xdr:colOff>
      <xdr:row>44</xdr:row>
      <xdr:rowOff>11907</xdr:rowOff>
    </xdr:from>
    <xdr:to>
      <xdr:col>2</xdr:col>
      <xdr:colOff>1120289</xdr:colOff>
      <xdr:row>44</xdr:row>
      <xdr:rowOff>160182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407" y="6280548"/>
          <a:ext cx="221366" cy="148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34</xdr:row>
      <xdr:rowOff>0</xdr:rowOff>
    </xdr:from>
    <xdr:to>
      <xdr:col>8</xdr:col>
      <xdr:colOff>372358</xdr:colOff>
      <xdr:row>34</xdr:row>
      <xdr:rowOff>170419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133975"/>
          <a:ext cx="353308" cy="170419"/>
        </a:xfrm>
        <a:prstGeom prst="rect">
          <a:avLst/>
        </a:prstGeom>
      </xdr:spPr>
    </xdr:pic>
    <xdr:clientData/>
  </xdr:twoCellAnchor>
  <xdr:twoCellAnchor editAs="oneCell">
    <xdr:from>
      <xdr:col>10</xdr:col>
      <xdr:colOff>990598</xdr:colOff>
      <xdr:row>120</xdr:row>
      <xdr:rowOff>38101</xdr:rowOff>
    </xdr:from>
    <xdr:to>
      <xdr:col>10</xdr:col>
      <xdr:colOff>1379694</xdr:colOff>
      <xdr:row>122</xdr:row>
      <xdr:rowOff>111539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3" y="19211926"/>
          <a:ext cx="389096" cy="397288"/>
        </a:xfrm>
        <a:prstGeom prst="rect">
          <a:avLst/>
        </a:prstGeom>
      </xdr:spPr>
    </xdr:pic>
    <xdr:clientData/>
  </xdr:twoCellAnchor>
  <xdr:twoCellAnchor editAs="oneCell">
    <xdr:from>
      <xdr:col>10</xdr:col>
      <xdr:colOff>1085850</xdr:colOff>
      <xdr:row>41</xdr:row>
      <xdr:rowOff>28575</xdr:rowOff>
    </xdr:from>
    <xdr:to>
      <xdr:col>10</xdr:col>
      <xdr:colOff>1391850</xdr:colOff>
      <xdr:row>43</xdr:row>
      <xdr:rowOff>31922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334125"/>
          <a:ext cx="306000" cy="327197"/>
        </a:xfrm>
        <a:prstGeom prst="rect">
          <a:avLst/>
        </a:prstGeom>
      </xdr:spPr>
    </xdr:pic>
    <xdr:clientData/>
  </xdr:twoCellAnchor>
  <xdr:oneCellAnchor>
    <xdr:from>
      <xdr:col>10</xdr:col>
      <xdr:colOff>1143000</xdr:colOff>
      <xdr:row>64</xdr:row>
      <xdr:rowOff>19050</xdr:rowOff>
    </xdr:from>
    <xdr:ext cx="234000" cy="290160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953625"/>
          <a:ext cx="234000" cy="290160"/>
        </a:xfrm>
        <a:prstGeom prst="rect">
          <a:avLst/>
        </a:prstGeom>
      </xdr:spPr>
    </xdr:pic>
    <xdr:clientData/>
  </xdr:oneCellAnchor>
  <xdr:oneCellAnchor>
    <xdr:from>
      <xdr:col>10</xdr:col>
      <xdr:colOff>1143000</xdr:colOff>
      <xdr:row>105</xdr:row>
      <xdr:rowOff>19050</xdr:rowOff>
    </xdr:from>
    <xdr:ext cx="232768" cy="290959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6716375"/>
          <a:ext cx="232768" cy="290959"/>
        </a:xfrm>
        <a:prstGeom prst="rect">
          <a:avLst/>
        </a:prstGeom>
      </xdr:spPr>
    </xdr:pic>
    <xdr:clientData/>
  </xdr:oneCellAnchor>
  <xdr:oneCellAnchor>
    <xdr:from>
      <xdr:col>12</xdr:col>
      <xdr:colOff>1057275</xdr:colOff>
      <xdr:row>52</xdr:row>
      <xdr:rowOff>0</xdr:rowOff>
    </xdr:from>
    <xdr:ext cx="307586" cy="307586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8134350"/>
          <a:ext cx="307586" cy="307586"/>
        </a:xfrm>
        <a:prstGeom prst="rect">
          <a:avLst/>
        </a:prstGeom>
      </xdr:spPr>
    </xdr:pic>
    <xdr:clientData/>
  </xdr:oneCellAnchor>
  <xdr:oneCellAnchor>
    <xdr:from>
      <xdr:col>12</xdr:col>
      <xdr:colOff>1057275</xdr:colOff>
      <xdr:row>76</xdr:row>
      <xdr:rowOff>0</xdr:rowOff>
    </xdr:from>
    <xdr:ext cx="307586" cy="307586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11925300"/>
          <a:ext cx="307586" cy="307586"/>
        </a:xfrm>
        <a:prstGeom prst="rect">
          <a:avLst/>
        </a:prstGeom>
      </xdr:spPr>
    </xdr:pic>
    <xdr:clientData/>
  </xdr:oneCellAnchor>
  <xdr:twoCellAnchor editAs="oneCell">
    <xdr:from>
      <xdr:col>10</xdr:col>
      <xdr:colOff>723902</xdr:colOff>
      <xdr:row>81</xdr:row>
      <xdr:rowOff>12964</xdr:rowOff>
    </xdr:from>
    <xdr:to>
      <xdr:col>10</xdr:col>
      <xdr:colOff>1189437</xdr:colOff>
      <xdr:row>83</xdr:row>
      <xdr:rowOff>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7" y="12757414"/>
          <a:ext cx="465535" cy="311742"/>
        </a:xfrm>
        <a:prstGeom prst="rect">
          <a:avLst/>
        </a:prstGeom>
      </xdr:spPr>
    </xdr:pic>
    <xdr:clientData/>
  </xdr:twoCellAnchor>
  <xdr:twoCellAnchor editAs="oneCell">
    <xdr:from>
      <xdr:col>12</xdr:col>
      <xdr:colOff>772256</xdr:colOff>
      <xdr:row>94</xdr:row>
      <xdr:rowOff>28575</xdr:rowOff>
    </xdr:from>
    <xdr:to>
      <xdr:col>13</xdr:col>
      <xdr:colOff>157146</xdr:colOff>
      <xdr:row>96</xdr:row>
      <xdr:rowOff>94450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681" y="14916150"/>
          <a:ext cx="899365" cy="389725"/>
        </a:xfrm>
        <a:prstGeom prst="rect">
          <a:avLst/>
        </a:prstGeom>
      </xdr:spPr>
    </xdr:pic>
    <xdr:clientData/>
  </xdr:twoCellAnchor>
  <xdr:oneCellAnchor>
    <xdr:from>
      <xdr:col>12</xdr:col>
      <xdr:colOff>1260246</xdr:colOff>
      <xdr:row>101</xdr:row>
      <xdr:rowOff>28576</xdr:rowOff>
    </xdr:from>
    <xdr:ext cx="231955" cy="291600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671" y="15916276"/>
          <a:ext cx="231955" cy="291600"/>
        </a:xfrm>
        <a:prstGeom prst="rect">
          <a:avLst/>
        </a:prstGeom>
      </xdr:spPr>
    </xdr:pic>
    <xdr:clientData/>
  </xdr:oneCellAnchor>
  <xdr:oneCellAnchor>
    <xdr:from>
      <xdr:col>12</xdr:col>
      <xdr:colOff>1260246</xdr:colOff>
      <xdr:row>117</xdr:row>
      <xdr:rowOff>28576</xdr:rowOff>
    </xdr:from>
    <xdr:ext cx="231955" cy="291600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671" y="18554701"/>
          <a:ext cx="231955" cy="291600"/>
        </a:xfrm>
        <a:prstGeom prst="rect">
          <a:avLst/>
        </a:prstGeom>
      </xdr:spPr>
    </xdr:pic>
    <xdr:clientData/>
  </xdr:oneCellAnchor>
  <xdr:twoCellAnchor editAs="oneCell">
    <xdr:from>
      <xdr:col>12</xdr:col>
      <xdr:colOff>1200150</xdr:colOff>
      <xdr:row>99</xdr:row>
      <xdr:rowOff>9525</xdr:rowOff>
    </xdr:from>
    <xdr:to>
      <xdr:col>12</xdr:col>
      <xdr:colOff>1203218</xdr:colOff>
      <xdr:row>100</xdr:row>
      <xdr:rowOff>140233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24575" y="15563850"/>
          <a:ext cx="231668" cy="292633"/>
        </a:xfrm>
        <a:prstGeom prst="rect">
          <a:avLst/>
        </a:prstGeom>
      </xdr:spPr>
    </xdr:pic>
    <xdr:clientData/>
  </xdr:twoCellAnchor>
  <xdr:twoCellAnchor editAs="oneCell">
    <xdr:from>
      <xdr:col>12</xdr:col>
      <xdr:colOff>971550</xdr:colOff>
      <xdr:row>18</xdr:row>
      <xdr:rowOff>38100</xdr:rowOff>
    </xdr:from>
    <xdr:to>
      <xdr:col>12</xdr:col>
      <xdr:colOff>1258353</xdr:colOff>
      <xdr:row>19</xdr:row>
      <xdr:rowOff>67377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2876550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971550</xdr:colOff>
      <xdr:row>38</xdr:row>
      <xdr:rowOff>47625</xdr:rowOff>
    </xdr:from>
    <xdr:to>
      <xdr:col>10</xdr:col>
      <xdr:colOff>1258353</xdr:colOff>
      <xdr:row>39</xdr:row>
      <xdr:rowOff>76902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5857875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981075</xdr:colOff>
      <xdr:row>70</xdr:row>
      <xdr:rowOff>47625</xdr:rowOff>
    </xdr:from>
    <xdr:to>
      <xdr:col>10</xdr:col>
      <xdr:colOff>1267878</xdr:colOff>
      <xdr:row>71</xdr:row>
      <xdr:rowOff>67377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0982325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12</xdr:col>
      <xdr:colOff>981075</xdr:colOff>
      <xdr:row>70</xdr:row>
      <xdr:rowOff>47625</xdr:rowOff>
    </xdr:from>
    <xdr:to>
      <xdr:col>12</xdr:col>
      <xdr:colOff>1267878</xdr:colOff>
      <xdr:row>71</xdr:row>
      <xdr:rowOff>67377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0982325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981075</xdr:colOff>
      <xdr:row>111</xdr:row>
      <xdr:rowOff>47625</xdr:rowOff>
    </xdr:from>
    <xdr:to>
      <xdr:col>10</xdr:col>
      <xdr:colOff>1267878</xdr:colOff>
      <xdr:row>112</xdr:row>
      <xdr:rowOff>76902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7745075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981075</xdr:colOff>
      <xdr:row>93</xdr:row>
      <xdr:rowOff>47625</xdr:rowOff>
    </xdr:from>
    <xdr:to>
      <xdr:col>10</xdr:col>
      <xdr:colOff>1267878</xdr:colOff>
      <xdr:row>94</xdr:row>
      <xdr:rowOff>67377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763750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1266825</xdr:colOff>
      <xdr:row>67</xdr:row>
      <xdr:rowOff>28575</xdr:rowOff>
    </xdr:from>
    <xdr:to>
      <xdr:col>10</xdr:col>
      <xdr:colOff>1498780</xdr:colOff>
      <xdr:row>68</xdr:row>
      <xdr:rowOff>158250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0467975"/>
          <a:ext cx="231955" cy="29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971550</xdr:colOff>
      <xdr:row>18</xdr:row>
      <xdr:rowOff>38100</xdr:rowOff>
    </xdr:from>
    <xdr:to>
      <xdr:col>10</xdr:col>
      <xdr:colOff>1258353</xdr:colOff>
      <xdr:row>19</xdr:row>
      <xdr:rowOff>67377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2876550"/>
          <a:ext cx="286803" cy="19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1143000</xdr:colOff>
      <xdr:row>26</xdr:row>
      <xdr:rowOff>19050</xdr:rowOff>
    </xdr:from>
    <xdr:to>
      <xdr:col>10</xdr:col>
      <xdr:colOff>1378161</xdr:colOff>
      <xdr:row>27</xdr:row>
      <xdr:rowOff>148725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4000500"/>
          <a:ext cx="235161" cy="291600"/>
        </a:xfrm>
        <a:prstGeom prst="rect">
          <a:avLst/>
        </a:prstGeom>
      </xdr:spPr>
    </xdr:pic>
    <xdr:clientData/>
  </xdr:twoCellAnchor>
  <xdr:oneCellAnchor>
    <xdr:from>
      <xdr:col>12</xdr:col>
      <xdr:colOff>1047750</xdr:colOff>
      <xdr:row>42</xdr:row>
      <xdr:rowOff>0</xdr:rowOff>
    </xdr:from>
    <xdr:ext cx="307586" cy="307586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6467475"/>
          <a:ext cx="307586" cy="30758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6</xdr:col>
      <xdr:colOff>171541</xdr:colOff>
      <xdr:row>2</xdr:row>
      <xdr:rowOff>150597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400141" cy="445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</xdr:colOff>
      <xdr:row>0</xdr:row>
      <xdr:rowOff>0</xdr:rowOff>
    </xdr:from>
    <xdr:to>
      <xdr:col>12</xdr:col>
      <xdr:colOff>33785</xdr:colOff>
      <xdr:row>1</xdr:row>
      <xdr:rowOff>149817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0"/>
          <a:ext cx="290959" cy="3117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28576</xdr:rowOff>
    </xdr:from>
    <xdr:to>
      <xdr:col>2</xdr:col>
      <xdr:colOff>426675</xdr:colOff>
      <xdr:row>3</xdr:row>
      <xdr:rowOff>121297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" y="190501"/>
          <a:ext cx="360000" cy="416571"/>
        </a:xfrm>
        <a:prstGeom prst="rect">
          <a:avLst/>
        </a:prstGeom>
      </xdr:spPr>
    </xdr:pic>
    <xdr:clientData/>
  </xdr:twoCellAnchor>
  <xdr:twoCellAnchor editAs="oneCell">
    <xdr:from>
      <xdr:col>8</xdr:col>
      <xdr:colOff>66674</xdr:colOff>
      <xdr:row>1</xdr:row>
      <xdr:rowOff>47625</xdr:rowOff>
    </xdr:from>
    <xdr:to>
      <xdr:col>8</xdr:col>
      <xdr:colOff>426674</xdr:colOff>
      <xdr:row>3</xdr:row>
      <xdr:rowOff>83775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209550"/>
          <a:ext cx="360000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etanque.ee/index.php?id=103778&amp;cid=642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0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67"/>
  <sheetViews>
    <sheetView showGridLines="0" showRowColHeaders="0" zoomScaleNormal="100" workbookViewId="0">
      <pane ySplit="3" topLeftCell="A4" activePane="bottomLeft" state="frozen"/>
      <selection pane="bottomLeft" activeCell="I1" sqref="I1"/>
    </sheetView>
  </sheetViews>
  <sheetFormatPr defaultRowHeight="12.75" x14ac:dyDescent="0.2"/>
  <cols>
    <col min="1" max="1" width="12.5703125" style="1" customWidth="1"/>
    <col min="2" max="2" width="5.5703125" style="1" customWidth="1"/>
    <col min="3" max="3" width="27.140625" style="1" customWidth="1"/>
    <col min="4" max="4" width="8" style="1" customWidth="1"/>
    <col min="5" max="5" width="6.5703125" style="1" customWidth="1"/>
    <col min="6" max="6" width="16.7109375" style="1" customWidth="1"/>
    <col min="7" max="7" width="10" style="1" customWidth="1"/>
    <col min="8" max="8" width="4.5703125" style="1" customWidth="1"/>
    <col min="9" max="9" width="4.7109375" style="1" customWidth="1"/>
    <col min="10" max="16384" width="9.140625" style="1"/>
  </cols>
  <sheetData>
    <row r="1" spans="1:10" x14ac:dyDescent="0.2">
      <c r="A1" s="7" t="s">
        <v>36</v>
      </c>
      <c r="B1" s="8"/>
      <c r="C1" s="9"/>
      <c r="D1" s="10"/>
      <c r="E1" s="11"/>
      <c r="F1" s="1145" t="s">
        <v>619</v>
      </c>
      <c r="G1" s="12" t="str">
        <f>HYPERLINK("","")</f>
        <v/>
      </c>
      <c r="H1" s="13"/>
      <c r="I1" s="14"/>
      <c r="J1" s="14"/>
    </row>
    <row r="2" spans="1:10" x14ac:dyDescent="0.2">
      <c r="A2" s="15"/>
      <c r="B2" s="16"/>
      <c r="C2" s="9"/>
      <c r="D2" s="10"/>
      <c r="E2" s="17"/>
      <c r="F2" s="17"/>
      <c r="G2" s="9"/>
      <c r="H2" s="18"/>
      <c r="I2" s="9"/>
      <c r="J2" s="9"/>
    </row>
    <row r="3" spans="1:10" x14ac:dyDescent="0.2">
      <c r="A3" s="19" t="s">
        <v>37</v>
      </c>
      <c r="B3" s="20" t="s">
        <v>38</v>
      </c>
      <c r="C3" s="21" t="s">
        <v>39</v>
      </c>
      <c r="D3" s="22" t="s">
        <v>40</v>
      </c>
      <c r="E3" s="23" t="s">
        <v>17</v>
      </c>
      <c r="F3" s="24" t="s">
        <v>41</v>
      </c>
      <c r="G3" s="22" t="s">
        <v>42</v>
      </c>
      <c r="H3" s="25" t="s">
        <v>43</v>
      </c>
      <c r="I3" s="21" t="s">
        <v>44</v>
      </c>
      <c r="J3" s="14"/>
    </row>
    <row r="4" spans="1:10" x14ac:dyDescent="0.2">
      <c r="A4" s="26" t="s">
        <v>45</v>
      </c>
      <c r="B4" s="27"/>
      <c r="C4" s="28"/>
      <c r="D4" s="28"/>
      <c r="E4" s="29"/>
      <c r="F4" s="28"/>
      <c r="G4" s="30"/>
      <c r="H4" s="31"/>
      <c r="I4" s="32"/>
      <c r="J4" s="29"/>
    </row>
    <row r="5" spans="1:10" x14ac:dyDescent="0.2">
      <c r="A5" s="33" t="s">
        <v>46</v>
      </c>
      <c r="B5" s="34" t="s">
        <v>47</v>
      </c>
      <c r="C5" s="35" t="s">
        <v>48</v>
      </c>
      <c r="D5" s="36" t="s">
        <v>49</v>
      </c>
      <c r="E5" s="37" t="str">
        <f>HYPERLINK("#V1!I1","V1")</f>
        <v>V1</v>
      </c>
      <c r="F5" s="38" t="str">
        <f>HYPERLINK("https://kaart.delfi.ee/?bookmark=236e0f8de3f3d8e7138807663f9b5d14","Voka petangihall")</f>
        <v>Voka petangihall</v>
      </c>
      <c r="G5" s="39" t="s">
        <v>50</v>
      </c>
      <c r="H5" s="40">
        <v>2</v>
      </c>
      <c r="I5" s="41">
        <f>V!Z67</f>
        <v>12</v>
      </c>
      <c r="J5" s="29"/>
    </row>
    <row r="6" spans="1:10" x14ac:dyDescent="0.2">
      <c r="A6" s="33" t="s">
        <v>51</v>
      </c>
      <c r="B6" s="34" t="s">
        <v>47</v>
      </c>
      <c r="C6" s="35" t="s">
        <v>52</v>
      </c>
      <c r="D6" s="36" t="s">
        <v>49</v>
      </c>
      <c r="E6" s="37" t="str">
        <f>HYPERLINK("#V2!I1","V2")</f>
        <v>V2</v>
      </c>
      <c r="F6" s="38" t="str">
        <f>HYPERLINK("https://kaart.delfi.ee/?bookmark=236e0f8de3f3d8e7138807663f9b5d14","Voka petangihall")</f>
        <v>Voka petangihall</v>
      </c>
      <c r="G6" s="39" t="s">
        <v>50</v>
      </c>
      <c r="H6" s="40">
        <v>2</v>
      </c>
      <c r="I6" s="41">
        <f>V!AA67</f>
        <v>28</v>
      </c>
      <c r="J6" s="29"/>
    </row>
    <row r="7" spans="1:10" x14ac:dyDescent="0.2">
      <c r="A7" s="26" t="s">
        <v>53</v>
      </c>
      <c r="B7" s="27"/>
      <c r="C7" s="28"/>
      <c r="D7" s="28"/>
      <c r="E7" s="29"/>
      <c r="F7" s="28"/>
      <c r="G7" s="30"/>
      <c r="H7" s="31"/>
      <c r="I7" s="32"/>
      <c r="J7" s="29"/>
    </row>
    <row r="8" spans="1:10" x14ac:dyDescent="0.2">
      <c r="A8" s="1253" t="s">
        <v>54</v>
      </c>
      <c r="B8" s="34" t="s">
        <v>55</v>
      </c>
      <c r="C8" s="35" t="s">
        <v>56</v>
      </c>
      <c r="D8" s="36" t="s">
        <v>49</v>
      </c>
      <c r="E8" s="37" t="str">
        <f>HYPERLINK("#V3!I1","V3")</f>
        <v>V3</v>
      </c>
      <c r="F8" s="38" t="str">
        <f>HYPERLINK("https://kaart.delfi.ee/?bookmark=236e0f8de3f3d8e7138807663f9b5d14","Voka petangihall")</f>
        <v>Voka petangihall</v>
      </c>
      <c r="G8" s="39" t="s">
        <v>50</v>
      </c>
      <c r="H8" s="40">
        <v>2</v>
      </c>
      <c r="I8" s="41">
        <f>V!AB67</f>
        <v>26</v>
      </c>
      <c r="J8" s="29"/>
    </row>
    <row r="9" spans="1:10" ht="12.75" hidden="1" customHeight="1" x14ac:dyDescent="0.2">
      <c r="A9" s="1253"/>
      <c r="B9" s="42" t="s">
        <v>57</v>
      </c>
      <c r="C9" s="35" t="s">
        <v>58</v>
      </c>
      <c r="D9" s="36"/>
      <c r="E9" s="43"/>
      <c r="F9" s="38" t="str">
        <f>HYPERLINK("https://kaart.delfi.ee/?bookmark=236e0f8de3f3d8e7138807663f9b5d14","Voka petangihall")</f>
        <v>Voka petangihall</v>
      </c>
      <c r="G9" s="39"/>
      <c r="H9" s="40"/>
      <c r="I9" s="41"/>
      <c r="J9" s="168"/>
    </row>
    <row r="10" spans="1:10" x14ac:dyDescent="0.2">
      <c r="A10" s="33" t="s">
        <v>59</v>
      </c>
      <c r="B10" s="34" t="s">
        <v>55</v>
      </c>
      <c r="C10" s="35" t="s">
        <v>60</v>
      </c>
      <c r="D10" s="36" t="s">
        <v>49</v>
      </c>
      <c r="E10" s="37" t="str">
        <f>HYPERLINK("#V4!N1","V4")</f>
        <v>V4</v>
      </c>
      <c r="F10" s="38" t="str">
        <f>HYPERLINK("https://kaart.delfi.ee/?bookmark=236e0f8de3f3d8e7138807663f9b5d14","Voka petangihall")</f>
        <v>Voka petangihall</v>
      </c>
      <c r="G10" s="39" t="s">
        <v>50</v>
      </c>
      <c r="H10" s="40">
        <v>2</v>
      </c>
      <c r="I10" s="41">
        <f>V!AC67</f>
        <v>21</v>
      </c>
      <c r="J10" s="29"/>
    </row>
    <row r="11" spans="1:10" ht="12.75" hidden="1" customHeight="1" x14ac:dyDescent="0.2">
      <c r="A11" s="44" t="s">
        <v>61</v>
      </c>
      <c r="B11" s="45" t="s">
        <v>62</v>
      </c>
      <c r="C11" s="46" t="s">
        <v>63</v>
      </c>
      <c r="D11" s="47" t="s">
        <v>64</v>
      </c>
      <c r="E11" s="48"/>
      <c r="F11" s="49" t="str">
        <f>HYPERLINK("http://kaart.delfi.ee/?bookmark=225e5f274dc79e88e106035de3e50b2d","K-Järve petangihall")</f>
        <v>K-Järve petangihall</v>
      </c>
      <c r="G11" s="50" t="s">
        <v>65</v>
      </c>
      <c r="H11" s="51" t="s">
        <v>66</v>
      </c>
      <c r="I11" s="52">
        <v>8</v>
      </c>
      <c r="J11" s="168"/>
    </row>
    <row r="12" spans="1:10" x14ac:dyDescent="0.2">
      <c r="A12" s="33" t="s">
        <v>67</v>
      </c>
      <c r="B12" s="34" t="s">
        <v>55</v>
      </c>
      <c r="C12" s="35" t="s">
        <v>68</v>
      </c>
      <c r="D12" s="36" t="s">
        <v>49</v>
      </c>
      <c r="E12" s="37" t="str">
        <f>HYPERLINK("#V5!J1","V5")</f>
        <v>V5</v>
      </c>
      <c r="F12" s="38" t="str">
        <f>HYPERLINK("https://kaart.delfi.ee/?bookmark=236e0f8de3f3d8e7138807663f9b5d14","Voka petangihall")</f>
        <v>Voka petangihall</v>
      </c>
      <c r="G12" s="39" t="s">
        <v>50</v>
      </c>
      <c r="H12" s="40">
        <v>2</v>
      </c>
      <c r="I12" s="41">
        <f>V!AD67</f>
        <v>24</v>
      </c>
      <c r="J12" s="29"/>
    </row>
    <row r="13" spans="1:10" x14ac:dyDescent="0.2">
      <c r="A13" s="44" t="s">
        <v>69</v>
      </c>
      <c r="B13" s="45" t="s">
        <v>62</v>
      </c>
      <c r="C13" s="46" t="s">
        <v>70</v>
      </c>
      <c r="D13" s="47" t="s">
        <v>71</v>
      </c>
      <c r="E13" s="53" t="str">
        <f>HYPERLINK("https://www.facebook.com/pg/ivpetanque/posts/","tulem")</f>
        <v>tulem</v>
      </c>
      <c r="F13" s="49" t="str">
        <f>HYPERLINK("http://kaart.delfi.ee/?bookmark=225e5f274dc79e88e106035de3e50b2d","K-Järve petangihall")</f>
        <v>K-Järve petangihall</v>
      </c>
      <c r="G13" s="50" t="s">
        <v>65</v>
      </c>
      <c r="H13" s="54">
        <v>1</v>
      </c>
      <c r="I13" s="52">
        <v>7</v>
      </c>
      <c r="J13" s="29"/>
    </row>
    <row r="14" spans="1:10" x14ac:dyDescent="0.2">
      <c r="A14" s="26" t="s">
        <v>72</v>
      </c>
      <c r="B14" s="55"/>
      <c r="C14" s="28"/>
      <c r="D14" s="28"/>
      <c r="E14" s="56"/>
      <c r="F14" s="28"/>
      <c r="G14" s="30"/>
      <c r="H14" s="57"/>
      <c r="I14" s="58"/>
      <c r="J14" s="29"/>
    </row>
    <row r="15" spans="1:10" x14ac:dyDescent="0.2">
      <c r="A15" s="33" t="s">
        <v>73</v>
      </c>
      <c r="B15" s="34" t="s">
        <v>55</v>
      </c>
      <c r="C15" s="35" t="s">
        <v>74</v>
      </c>
      <c r="D15" s="36" t="s">
        <v>49</v>
      </c>
      <c r="E15" s="37" t="str">
        <f>HYPERLINK("#V6!N1","V6")</f>
        <v>V6</v>
      </c>
      <c r="F15" s="38" t="str">
        <f>HYPERLINK("https://kaart.delfi.ee/?bookmark=236e0f8de3f3d8e7138807663f9b5d14","Voka petangihall")</f>
        <v>Voka petangihall</v>
      </c>
      <c r="G15" s="39" t="s">
        <v>50</v>
      </c>
      <c r="H15" s="40">
        <v>2</v>
      </c>
      <c r="I15" s="41">
        <f>V!AE67</f>
        <v>20</v>
      </c>
      <c r="J15" s="14"/>
    </row>
    <row r="16" spans="1:10" x14ac:dyDescent="0.2">
      <c r="A16" s="33" t="s">
        <v>75</v>
      </c>
      <c r="B16" s="34" t="s">
        <v>55</v>
      </c>
      <c r="C16" s="35" t="s">
        <v>76</v>
      </c>
      <c r="D16" s="36" t="s">
        <v>49</v>
      </c>
      <c r="E16" s="37" t="str">
        <f>HYPERLINK("#V7!N1","V7")</f>
        <v>V7</v>
      </c>
      <c r="F16" s="38" t="str">
        <f>HYPERLINK("https://kaart.delfi.ee/?bookmark=236e0f8de3f3d8e7138807663f9b5d14","Voka petangihall")</f>
        <v>Voka petangihall</v>
      </c>
      <c r="G16" s="39" t="s">
        <v>50</v>
      </c>
      <c r="H16" s="40">
        <v>2</v>
      </c>
      <c r="I16" s="41">
        <f>V!AF67</f>
        <v>21</v>
      </c>
      <c r="J16" s="14"/>
    </row>
    <row r="17" spans="1:10" ht="12.75" hidden="1" customHeight="1" x14ac:dyDescent="0.2">
      <c r="A17" s="44" t="s">
        <v>77</v>
      </c>
      <c r="B17" s="45" t="s">
        <v>62</v>
      </c>
      <c r="C17" s="46" t="s">
        <v>78</v>
      </c>
      <c r="D17" s="47" t="s">
        <v>64</v>
      </c>
      <c r="E17" s="48"/>
      <c r="F17" s="49" t="str">
        <f>HYPERLINK("http://kaart.delfi.ee/?bookmark=225e5f274dc79e88e106035de3e50b2d","K-Järve petangihall")</f>
        <v>K-Järve petangihall</v>
      </c>
      <c r="G17" s="50" t="s">
        <v>65</v>
      </c>
      <c r="H17" s="51" t="s">
        <v>66</v>
      </c>
      <c r="I17" s="52">
        <v>9</v>
      </c>
      <c r="J17" s="169"/>
    </row>
    <row r="18" spans="1:10" x14ac:dyDescent="0.2">
      <c r="A18" s="59" t="s">
        <v>79</v>
      </c>
      <c r="B18" s="60" t="s">
        <v>62</v>
      </c>
      <c r="C18" s="61" t="str">
        <f>HYPERLINK("http://www.petanque.ee/index.php?id=103778&amp;cid=631","Eesti sise-MV")</f>
        <v>Eesti sise-MV</v>
      </c>
      <c r="D18" s="62" t="s">
        <v>80</v>
      </c>
      <c r="E18" s="63"/>
      <c r="F18" s="64" t="s">
        <v>81</v>
      </c>
      <c r="G18" s="1158" t="s">
        <v>65</v>
      </c>
      <c r="H18" s="65">
        <v>8</v>
      </c>
      <c r="I18" s="66">
        <v>44</v>
      </c>
      <c r="J18" s="14"/>
    </row>
    <row r="19" spans="1:10" x14ac:dyDescent="0.2">
      <c r="A19" s="59" t="s">
        <v>82</v>
      </c>
      <c r="B19" s="60" t="s">
        <v>55</v>
      </c>
      <c r="C19" s="61" t="str">
        <f>HYPERLINK("http://www.petanque.ee/index.php?id=103778&amp;cid=632","Eesti reiting")</f>
        <v>Eesti reiting</v>
      </c>
      <c r="D19" s="62" t="s">
        <v>83</v>
      </c>
      <c r="E19" s="63"/>
      <c r="F19" s="67" t="str">
        <f>HYPERLINK("https://kaart.delfi.ee/?bookmark=236e0f8de3f3d8e7138807663f9b5d14","Voka petangihall")</f>
        <v>Voka petangihall</v>
      </c>
      <c r="G19" s="1158" t="s">
        <v>65</v>
      </c>
      <c r="H19" s="65">
        <v>8</v>
      </c>
      <c r="I19" s="66">
        <v>41</v>
      </c>
      <c r="J19" s="14"/>
    </row>
    <row r="20" spans="1:10" x14ac:dyDescent="0.2">
      <c r="A20" s="68" t="s">
        <v>84</v>
      </c>
      <c r="B20" s="69" t="s">
        <v>55</v>
      </c>
      <c r="C20" s="70" t="s">
        <v>85</v>
      </c>
      <c r="D20" s="71" t="s">
        <v>49</v>
      </c>
      <c r="E20" s="72" t="str">
        <f>HYPERLINK("#'V-jh'!N1","V-jh")</f>
        <v>V-jh</v>
      </c>
      <c r="F20" s="73" t="str">
        <f>HYPERLINK("https://kaart.delfi.ee/?bookmark=236e0f8de3f3d8e7138807663f9b5d14","Voka petangihall")</f>
        <v>Voka petangihall</v>
      </c>
      <c r="G20" s="74" t="s">
        <v>50</v>
      </c>
      <c r="H20" s="75">
        <v>2</v>
      </c>
      <c r="I20" s="76">
        <v>22</v>
      </c>
      <c r="J20" s="14"/>
    </row>
    <row r="21" spans="1:10" x14ac:dyDescent="0.2">
      <c r="A21" s="77" t="s">
        <v>86</v>
      </c>
      <c r="B21" s="78" t="s">
        <v>87</v>
      </c>
      <c r="C21" s="79" t="s">
        <v>88</v>
      </c>
      <c r="D21" s="80" t="s">
        <v>49</v>
      </c>
      <c r="E21" s="81" t="str">
        <f>HYPERLINK("#'Vi-d'!I1","Vi-d")</f>
        <v>Vi-d</v>
      </c>
      <c r="F21" s="82" t="str">
        <f>HYPERLINK("https://kaart.delfi.ee/?bookmark=236e0f8de3f3d8e7138807663f9b5d14","Voka petangihall")</f>
        <v>Voka petangihall</v>
      </c>
      <c r="G21" s="83" t="s">
        <v>50</v>
      </c>
      <c r="H21" s="84">
        <v>0</v>
      </c>
      <c r="I21" s="85">
        <v>12</v>
      </c>
      <c r="J21" s="14"/>
    </row>
    <row r="22" spans="1:10" x14ac:dyDescent="0.2">
      <c r="A22" s="86" t="s">
        <v>89</v>
      </c>
      <c r="B22" s="87" t="s">
        <v>55</v>
      </c>
      <c r="C22" s="88" t="s">
        <v>90</v>
      </c>
      <c r="D22" s="89" t="s">
        <v>49</v>
      </c>
      <c r="E22" s="90" t="str">
        <f>HYPERLINK("#V8!N1","V8")</f>
        <v>V8</v>
      </c>
      <c r="F22" s="91" t="str">
        <f>HYPERLINK("https://kaart.delfi.ee/?bookmark=236e0f8de3f3d8e7138807663f9b5d14","Voka petangihall")</f>
        <v>Voka petangihall</v>
      </c>
      <c r="G22" s="92" t="s">
        <v>50</v>
      </c>
      <c r="H22" s="93">
        <v>2</v>
      </c>
      <c r="I22" s="94">
        <f>V!AG67</f>
        <v>26</v>
      </c>
      <c r="J22" s="14"/>
    </row>
    <row r="23" spans="1:10" x14ac:dyDescent="0.2">
      <c r="A23" s="95" t="s">
        <v>91</v>
      </c>
      <c r="B23" s="96"/>
      <c r="C23" s="97"/>
      <c r="D23" s="97"/>
      <c r="E23" s="98"/>
      <c r="F23" s="97"/>
      <c r="G23" s="99"/>
      <c r="H23" s="100"/>
      <c r="I23" s="101"/>
      <c r="J23" s="14"/>
    </row>
    <row r="24" spans="1:10" x14ac:dyDescent="0.2">
      <c r="A24" s="102" t="s">
        <v>92</v>
      </c>
      <c r="B24" s="103"/>
      <c r="C24" s="104" t="s">
        <v>93</v>
      </c>
      <c r="D24" s="105" t="s">
        <v>64</v>
      </c>
      <c r="E24" s="106" t="str">
        <f>HYPERLINK("#'V-n1'!I1","V-n1")</f>
        <v>V-n1</v>
      </c>
      <c r="F24" s="107" t="str">
        <f>HYPERLINK("https://kaart.delfi.ee/?bookmark=236e0f8de3f3d8e7138807663f9b5d14","Voka petangihall")</f>
        <v>Voka petangihall</v>
      </c>
      <c r="G24" s="108" t="s">
        <v>50</v>
      </c>
      <c r="H24" s="109">
        <v>0</v>
      </c>
      <c r="I24" s="110">
        <v>4</v>
      </c>
      <c r="J24" s="14"/>
    </row>
    <row r="25" spans="1:10" x14ac:dyDescent="0.2">
      <c r="A25" s="33" t="s">
        <v>94</v>
      </c>
      <c r="B25" s="34" t="s">
        <v>55</v>
      </c>
      <c r="C25" s="35" t="s">
        <v>95</v>
      </c>
      <c r="D25" s="36" t="s">
        <v>49</v>
      </c>
      <c r="E25" s="37" t="str">
        <f>HYPERLINK("#V9!N1","V9")</f>
        <v>V9</v>
      </c>
      <c r="F25" s="38" t="str">
        <f>HYPERLINK("https://kaart.delfi.ee/?bookmark=236e0f8de3f3d8e7138807663f9b5d14","Voka petangihall")</f>
        <v>Voka petangihall</v>
      </c>
      <c r="G25" s="39" t="s">
        <v>50</v>
      </c>
      <c r="H25" s="40">
        <v>2</v>
      </c>
      <c r="I25" s="41">
        <f>V!AH67</f>
        <v>26</v>
      </c>
      <c r="J25" s="14"/>
    </row>
    <row r="26" spans="1:10" ht="12.75" hidden="1" customHeight="1" x14ac:dyDescent="0.2">
      <c r="A26" s="44" t="s">
        <v>96</v>
      </c>
      <c r="B26" s="45" t="s">
        <v>62</v>
      </c>
      <c r="C26" s="46" t="s">
        <v>97</v>
      </c>
      <c r="D26" s="47" t="s">
        <v>64</v>
      </c>
      <c r="E26" s="48"/>
      <c r="F26" s="49" t="str">
        <f>HYPERLINK("http://kaart.delfi.ee/?bookmark=225e5f274dc79e88e106035de3e50b2d","K-Järve petangihall")</f>
        <v>K-Järve petangihall</v>
      </c>
      <c r="G26" s="50" t="s">
        <v>65</v>
      </c>
      <c r="H26" s="51" t="s">
        <v>66</v>
      </c>
      <c r="I26" s="52">
        <v>9</v>
      </c>
      <c r="J26" s="169"/>
    </row>
    <row r="27" spans="1:10" x14ac:dyDescent="0.2">
      <c r="A27" s="77" t="s">
        <v>98</v>
      </c>
      <c r="B27" s="78" t="s">
        <v>99</v>
      </c>
      <c r="C27" s="111" t="s">
        <v>88</v>
      </c>
      <c r="D27" s="80" t="s">
        <v>83</v>
      </c>
      <c r="E27" s="81" t="str">
        <f>HYPERLINK("#'Vi-t'!I1","Vi-t")</f>
        <v>Vi-t</v>
      </c>
      <c r="F27" s="82" t="str">
        <f>HYPERLINK("https://kaart.delfi.ee/?bookmark=236e0f8de3f3d8e7138807663f9b5d14","Voka petangihall")</f>
        <v>Voka petangihall</v>
      </c>
      <c r="G27" s="83" t="s">
        <v>50</v>
      </c>
      <c r="H27" s="84">
        <v>0</v>
      </c>
      <c r="I27" s="85">
        <v>20</v>
      </c>
      <c r="J27" s="14"/>
    </row>
    <row r="28" spans="1:10" x14ac:dyDescent="0.2">
      <c r="A28" s="33" t="s">
        <v>100</v>
      </c>
      <c r="B28" s="34" t="s">
        <v>55</v>
      </c>
      <c r="C28" s="35" t="s">
        <v>101</v>
      </c>
      <c r="D28" s="36" t="s">
        <v>49</v>
      </c>
      <c r="E28" s="37" t="str">
        <f>HYPERLINK("#V10!I1","V10")</f>
        <v>V10</v>
      </c>
      <c r="F28" s="38" t="str">
        <f>HYPERLINK("https://kaart.delfi.ee/?bookmark=236e0f8de3f3d8e7138807663f9b5d14","Voka petangihall")</f>
        <v>Voka petangihall</v>
      </c>
      <c r="G28" s="39" t="s">
        <v>50</v>
      </c>
      <c r="H28" s="40">
        <v>2</v>
      </c>
      <c r="I28" s="41">
        <f>V!AI67</f>
        <v>28</v>
      </c>
      <c r="J28" s="14"/>
    </row>
    <row r="29" spans="1:10" x14ac:dyDescent="0.2">
      <c r="A29" s="44" t="s">
        <v>102</v>
      </c>
      <c r="B29" s="45" t="s">
        <v>62</v>
      </c>
      <c r="C29" s="46" t="s">
        <v>103</v>
      </c>
      <c r="D29" s="47" t="s">
        <v>71</v>
      </c>
      <c r="E29" s="53" t="str">
        <f>HYPERLINK("https://www.facebook.com/pg/ivpetanque/posts/","tulem")</f>
        <v>tulem</v>
      </c>
      <c r="F29" s="49" t="str">
        <f>HYPERLINK("http://kaart.delfi.ee/?bookmark=225e5f274dc79e88e106035de3e50b2d","K-Järve petangihall")</f>
        <v>K-Järve petangihall</v>
      </c>
      <c r="G29" s="50" t="s">
        <v>65</v>
      </c>
      <c r="H29" s="54">
        <v>1</v>
      </c>
      <c r="I29" s="52">
        <v>3</v>
      </c>
      <c r="J29" s="29"/>
    </row>
    <row r="30" spans="1:10" x14ac:dyDescent="0.2">
      <c r="A30" s="33" t="s">
        <v>104</v>
      </c>
      <c r="B30" s="34" t="s">
        <v>55</v>
      </c>
      <c r="C30" s="35" t="s">
        <v>105</v>
      </c>
      <c r="D30" s="36" t="s">
        <v>49</v>
      </c>
      <c r="E30" s="37" t="str">
        <f>HYPERLINK("#V11!N1","V11")</f>
        <v>V11</v>
      </c>
      <c r="F30" s="38" t="str">
        <f>HYPERLINK("https://kaart.delfi.ee/?bookmark=236e0f8de3f3d8e7138807663f9b5d14","Voka petangihall")</f>
        <v>Voka petangihall</v>
      </c>
      <c r="G30" s="39" t="s">
        <v>50</v>
      </c>
      <c r="H30" s="40">
        <v>2</v>
      </c>
      <c r="I30" s="41">
        <f>V!AJ67</f>
        <v>26</v>
      </c>
      <c r="J30" s="14"/>
    </row>
    <row r="31" spans="1:10" x14ac:dyDescent="0.2">
      <c r="A31" s="112" t="s">
        <v>106</v>
      </c>
      <c r="B31" s="113"/>
      <c r="C31" s="114"/>
      <c r="D31" s="114"/>
      <c r="E31" s="115"/>
      <c r="F31" s="114"/>
      <c r="G31" s="116"/>
      <c r="H31" s="117"/>
      <c r="I31" s="118"/>
      <c r="J31" s="14"/>
    </row>
    <row r="32" spans="1:10" x14ac:dyDescent="0.2">
      <c r="A32" s="1085" t="s">
        <v>107</v>
      </c>
      <c r="B32" s="151" t="s">
        <v>55</v>
      </c>
      <c r="C32" s="1086" t="s">
        <v>108</v>
      </c>
      <c r="D32" s="1087" t="s">
        <v>83</v>
      </c>
      <c r="E32" s="119" t="str">
        <f>HYPERLINK("#'iv-t'!N1","iv-t")</f>
        <v>iv-t</v>
      </c>
      <c r="F32" s="1100" t="str">
        <f>HYPERLINK("https://kaart.delfi.ee/?bookmark=236e0f8de3f3d8e7138807663f9b5d14","Voka petangihall")</f>
        <v>Voka petangihall</v>
      </c>
      <c r="G32" s="1101" t="s">
        <v>50</v>
      </c>
      <c r="H32" s="1102">
        <v>2</v>
      </c>
      <c r="I32" s="1103">
        <v>35</v>
      </c>
      <c r="J32" s="14"/>
    </row>
    <row r="33" spans="1:10" ht="12.75" hidden="1" customHeight="1" x14ac:dyDescent="0.2">
      <c r="A33" s="44" t="s">
        <v>109</v>
      </c>
      <c r="B33" s="45" t="s">
        <v>62</v>
      </c>
      <c r="C33" s="46" t="s">
        <v>110</v>
      </c>
      <c r="D33" s="47" t="s">
        <v>64</v>
      </c>
      <c r="E33" s="48"/>
      <c r="F33" s="49" t="str">
        <f>HYPERLINK("http://kaart.delfi.ee/?bookmark=225e5f274dc79e88e106035de3e50b2d","K-Järve petangihall")</f>
        <v>K-Järve petangihall</v>
      </c>
      <c r="G33" s="50" t="s">
        <v>65</v>
      </c>
      <c r="H33" s="51" t="s">
        <v>66</v>
      </c>
      <c r="I33" s="52">
        <v>7</v>
      </c>
      <c r="J33" s="169"/>
    </row>
    <row r="34" spans="1:10" x14ac:dyDescent="0.2">
      <c r="A34" s="102" t="s">
        <v>111</v>
      </c>
      <c r="B34" s="103" t="s">
        <v>99</v>
      </c>
      <c r="C34" s="104" t="s">
        <v>112</v>
      </c>
      <c r="D34" s="105" t="s">
        <v>64</v>
      </c>
      <c r="E34" s="106" t="str">
        <f>HYPERLINK("#'V-n2'!I1","V-n2")</f>
        <v>V-n2</v>
      </c>
      <c r="F34" s="107" t="str">
        <f>HYPERLINK("https://kaart.delfi.ee/?bookmark=236e0f8de3f3d8e7138807663f9b5d14","Voka petangihall")</f>
        <v>Voka petangihall</v>
      </c>
      <c r="G34" s="108" t="s">
        <v>50</v>
      </c>
      <c r="H34" s="109">
        <v>0</v>
      </c>
      <c r="I34" s="110">
        <v>6</v>
      </c>
      <c r="J34" s="14"/>
    </row>
    <row r="35" spans="1:10" x14ac:dyDescent="0.2">
      <c r="A35" s="33" t="s">
        <v>113</v>
      </c>
      <c r="B35" s="34" t="s">
        <v>55</v>
      </c>
      <c r="C35" s="35" t="s">
        <v>114</v>
      </c>
      <c r="D35" s="36" t="s">
        <v>49</v>
      </c>
      <c r="E35" s="37" t="str">
        <f>HYPERLINK("#V12!I1","V12")</f>
        <v>V12</v>
      </c>
      <c r="F35" s="38" t="str">
        <f>HYPERLINK("https://kaart.delfi.ee/?bookmark=236e0f8de3f3d8e7138807663f9b5d14","Voka petangihall")</f>
        <v>Voka petangihall</v>
      </c>
      <c r="G35" s="39" t="s">
        <v>50</v>
      </c>
      <c r="H35" s="40">
        <v>2</v>
      </c>
      <c r="I35" s="41">
        <f>V!AK67</f>
        <v>28</v>
      </c>
      <c r="J35" s="14"/>
    </row>
    <row r="36" spans="1:10" x14ac:dyDescent="0.2">
      <c r="A36" s="77" t="s">
        <v>115</v>
      </c>
      <c r="B36" s="78" t="s">
        <v>99</v>
      </c>
      <c r="C36" s="111" t="s">
        <v>88</v>
      </c>
      <c r="D36" s="80" t="s">
        <v>64</v>
      </c>
      <c r="E36" s="81" t="str">
        <f>HYPERLINK("#'Vi-ü'!I1","Vi-ü")</f>
        <v>Vi-ü</v>
      </c>
      <c r="F36" s="82" t="str">
        <f>HYPERLINK("https://kaart.delfi.ee/?bookmark=236e0f8de3f3d8e7138807663f9b5d14","Voka petangihall")</f>
        <v>Voka petangihall</v>
      </c>
      <c r="G36" s="83" t="s">
        <v>50</v>
      </c>
      <c r="H36" s="84">
        <v>0</v>
      </c>
      <c r="I36" s="85"/>
      <c r="J36" s="14"/>
    </row>
    <row r="37" spans="1:10" x14ac:dyDescent="0.2">
      <c r="A37" s="1088" t="s">
        <v>115</v>
      </c>
      <c r="B37" s="45" t="s">
        <v>62</v>
      </c>
      <c r="C37" s="46" t="s">
        <v>116</v>
      </c>
      <c r="D37" s="47" t="s">
        <v>71</v>
      </c>
      <c r="E37" s="53" t="str">
        <f>HYPERLINK("https://www.facebook.com/pg/ivpetanque/posts/","tulem")</f>
        <v>tulem</v>
      </c>
      <c r="F37" s="49" t="str">
        <f>HYPERLINK("http://kaart.delfi.ee/?bookmark=225e5f274dc79e88e106035de3e50b2d","K-Järve petangihall")</f>
        <v>K-Järve petangihall</v>
      </c>
      <c r="G37" s="50" t="s">
        <v>65</v>
      </c>
      <c r="H37" s="54">
        <v>1</v>
      </c>
      <c r="I37" s="52">
        <v>3</v>
      </c>
      <c r="J37" s="14"/>
    </row>
    <row r="38" spans="1:10" x14ac:dyDescent="0.2">
      <c r="A38" s="1089" t="s">
        <v>117</v>
      </c>
      <c r="B38" s="1090" t="s">
        <v>55</v>
      </c>
      <c r="C38" s="1091" t="s">
        <v>118</v>
      </c>
      <c r="D38" s="1092" t="s">
        <v>49</v>
      </c>
      <c r="E38" s="120" t="str">
        <f>HYPERLINK("#EV101!I1","EV101")</f>
        <v>EV101</v>
      </c>
      <c r="F38" s="1104" t="str">
        <f>HYPERLINK("https://kaart.delfi.ee/?bookmark=236e0f8de3f3d8e7138807663f9b5d14","Voka petangihall")</f>
        <v>Voka petangihall</v>
      </c>
      <c r="G38" s="1105" t="s">
        <v>50</v>
      </c>
      <c r="H38" s="1106">
        <v>2</v>
      </c>
      <c r="I38" s="1107">
        <v>28</v>
      </c>
      <c r="J38" s="14"/>
    </row>
    <row r="39" spans="1:10" ht="25.5" x14ac:dyDescent="0.2">
      <c r="A39" s="1093" t="s">
        <v>117</v>
      </c>
      <c r="B39" s="1094" t="s">
        <v>55</v>
      </c>
      <c r="C39" s="1095" t="s">
        <v>119</v>
      </c>
      <c r="D39" s="1095" t="s">
        <v>120</v>
      </c>
      <c r="E39" s="121" t="str">
        <f>HYPERLINK("file:///E:/aPetank/juhendid/eesti-101-petangi-asetusv%C3%B5istlus-riigikokku-kandideerijatele-ida-virumaalt-2018-2019-juhend.pdf","juh")</f>
        <v>juh</v>
      </c>
      <c r="F39" s="1108" t="str">
        <f>HYPERLINK("https://kaart.delfi.ee/?bookmark=236e0f8de3f3d8e7138807663f9b5d14","Voka petangihall")</f>
        <v>Voka petangihall</v>
      </c>
      <c r="G39" s="1109" t="s">
        <v>50</v>
      </c>
      <c r="H39" s="1110">
        <v>2</v>
      </c>
      <c r="I39" s="1111">
        <v>12</v>
      </c>
      <c r="J39" s="14"/>
    </row>
    <row r="40" spans="1:10" x14ac:dyDescent="0.2">
      <c r="A40" s="1096" t="s">
        <v>121</v>
      </c>
      <c r="B40" s="1097" t="s">
        <v>122</v>
      </c>
      <c r="C40" s="1098" t="s">
        <v>123</v>
      </c>
      <c r="D40" s="1099" t="s">
        <v>64</v>
      </c>
      <c r="E40" s="122"/>
      <c r="F40" s="1112" t="str">
        <f>HYPERLINK("http://kaart.delfi.ee//?bookmark=4268fea6e7fefa2ad9d600f7d3a5e1d9","Voka, Metsa 2 (paisjärve jääl)")</f>
        <v>Voka, Metsa 2 (paisjärve jääl)</v>
      </c>
      <c r="G40" s="1113"/>
      <c r="H40" s="1114">
        <v>0</v>
      </c>
      <c r="I40" s="1115">
        <v>6</v>
      </c>
      <c r="J40" s="14"/>
    </row>
    <row r="41" spans="1:10" hidden="1" x14ac:dyDescent="0.2">
      <c r="A41" s="123"/>
      <c r="B41" s="124"/>
      <c r="C41" s="125"/>
      <c r="D41" s="126"/>
      <c r="E41" s="127"/>
      <c r="F41" s="128"/>
      <c r="G41" s="129"/>
      <c r="H41" s="130"/>
      <c r="I41" s="131"/>
      <c r="J41" s="14"/>
    </row>
    <row r="42" spans="1:10" x14ac:dyDescent="0.2">
      <c r="A42" s="26" t="s">
        <v>124</v>
      </c>
      <c r="B42" s="55"/>
      <c r="C42" s="28"/>
      <c r="D42" s="28"/>
      <c r="E42" s="56"/>
      <c r="F42" s="28"/>
      <c r="G42" s="30"/>
      <c r="H42" s="57"/>
      <c r="I42" s="58"/>
      <c r="J42" s="14"/>
    </row>
    <row r="43" spans="1:10" x14ac:dyDescent="0.2">
      <c r="A43" s="1194" t="s">
        <v>125</v>
      </c>
      <c r="B43" s="1195" t="s">
        <v>55</v>
      </c>
      <c r="C43" s="1196" t="s">
        <v>126</v>
      </c>
      <c r="D43" s="1197" t="s">
        <v>49</v>
      </c>
      <c r="E43" s="132" t="str">
        <f>HYPERLINK("#V13!I1","V13")</f>
        <v>V13</v>
      </c>
      <c r="F43" s="1159" t="str">
        <f>HYPERLINK("https://kaart.delfi.ee/?bookmark=236e0f8de3f3d8e7138807663f9b5d14","Voka petangihall")</f>
        <v>Voka petangihall</v>
      </c>
      <c r="G43" s="1160" t="s">
        <v>50</v>
      </c>
      <c r="H43" s="1161">
        <v>2</v>
      </c>
      <c r="I43" s="1162">
        <f>V!AL67</f>
        <v>16</v>
      </c>
      <c r="J43" s="14"/>
    </row>
    <row r="44" spans="1:10" ht="12.75" hidden="1" customHeight="1" x14ac:dyDescent="0.2">
      <c r="A44" s="1198" t="s">
        <v>127</v>
      </c>
      <c r="B44" s="133" t="s">
        <v>62</v>
      </c>
      <c r="C44" s="1199" t="s">
        <v>128</v>
      </c>
      <c r="D44" s="134" t="s">
        <v>64</v>
      </c>
      <c r="E44" s="138"/>
      <c r="F44" s="135" t="str">
        <f>HYPERLINK("http://kaart.delfi.ee/?bookmark=225e5f274dc79e88e106035de3e50b2d","K-Järve petangihall")</f>
        <v>K-Järve petangihall</v>
      </c>
      <c r="G44" s="136" t="s">
        <v>65</v>
      </c>
      <c r="H44" s="139" t="s">
        <v>66</v>
      </c>
      <c r="I44" s="137"/>
      <c r="J44" s="169"/>
    </row>
    <row r="45" spans="1:10" x14ac:dyDescent="0.2">
      <c r="A45" s="1200" t="s">
        <v>129</v>
      </c>
      <c r="B45" s="1201" t="s">
        <v>62</v>
      </c>
      <c r="C45" s="1202" t="str">
        <f>HYPERLINK("http://www.petanque.ee/index.php?id=103778&amp;cid=640","Eesti sise-MV")</f>
        <v>Eesti sise-MV</v>
      </c>
      <c r="D45" s="1203" t="s">
        <v>49</v>
      </c>
      <c r="E45" s="140" t="str">
        <f>HYPERLINK("https://drive.google.com/drive/folders/131Mb4Le_r7j0Kx6Oi1O66HZeD9LJ4ZOr","fot")</f>
        <v>fot</v>
      </c>
      <c r="F45" s="1163" t="s">
        <v>81</v>
      </c>
      <c r="G45" s="1164" t="s">
        <v>50</v>
      </c>
      <c r="H45" s="1165">
        <v>8</v>
      </c>
      <c r="I45" s="1166">
        <v>53</v>
      </c>
      <c r="J45" s="14"/>
    </row>
    <row r="46" spans="1:10" x14ac:dyDescent="0.2">
      <c r="A46" s="1200" t="s">
        <v>130</v>
      </c>
      <c r="B46" s="1201" t="s">
        <v>55</v>
      </c>
      <c r="C46" s="1202" t="str">
        <f>HYPERLINK("http://www.petanque.ee/index.php?id=103778&amp;cid=641","Eesti reiting (Toila Spa auhinnad)")</f>
        <v>Eesti reiting (Toila Spa auhinnad)</v>
      </c>
      <c r="D46" s="1203" t="s">
        <v>83</v>
      </c>
      <c r="E46" s="140" t="str">
        <f>HYPERLINK("https://webzone.ee/petank/juhendid/e2018-2019-e10-juhend.pdf","juh")</f>
        <v>juh</v>
      </c>
      <c r="F46" s="1167" t="str">
        <f t="shared" ref="F46" si="0">HYPERLINK("https://kaart.delfi.ee/?bookmark=236e0f8de3f3d8e7138807663f9b5d14","Voka petangihall")</f>
        <v>Voka petangihall</v>
      </c>
      <c r="G46" s="1164" t="s">
        <v>50</v>
      </c>
      <c r="H46" s="1165">
        <v>8</v>
      </c>
      <c r="I46" s="1168">
        <v>42</v>
      </c>
      <c r="J46" s="14"/>
    </row>
    <row r="47" spans="1:10" x14ac:dyDescent="0.2">
      <c r="A47" s="1194" t="s">
        <v>131</v>
      </c>
      <c r="B47" s="1195" t="s">
        <v>55</v>
      </c>
      <c r="C47" s="1196" t="s">
        <v>132</v>
      </c>
      <c r="D47" s="1197" t="s">
        <v>49</v>
      </c>
      <c r="E47" s="132" t="str">
        <f>HYPERLINK("#V14!I1","V14")</f>
        <v>V14</v>
      </c>
      <c r="F47" s="1159" t="str">
        <f>HYPERLINK("https://kaart.delfi.ee/?bookmark=236e0f8de3f3d8e7138807663f9b5d14","Voka petangihall")</f>
        <v>Voka petangihall</v>
      </c>
      <c r="G47" s="1160" t="s">
        <v>50</v>
      </c>
      <c r="H47" s="1161">
        <v>2</v>
      </c>
      <c r="I47" s="1162">
        <f>V!AM67</f>
        <v>31</v>
      </c>
      <c r="J47" s="14"/>
    </row>
    <row r="48" spans="1:10" x14ac:dyDescent="0.2">
      <c r="A48" s="1204" t="s">
        <v>133</v>
      </c>
      <c r="B48" s="1205" t="s">
        <v>62</v>
      </c>
      <c r="C48" s="1206" t="s">
        <v>134</v>
      </c>
      <c r="D48" s="1207" t="s">
        <v>71</v>
      </c>
      <c r="E48" s="141" t="str">
        <f>HYPERLINK("https://www.facebook.com/pg/ivpetanque/posts/","tulem")</f>
        <v>tulem</v>
      </c>
      <c r="F48" s="1169" t="str">
        <f>HYPERLINK("http://kaart.delfi.ee/?bookmark=225e5f274dc79e88e106035de3e50b2d","K-Järve petangihall")</f>
        <v>K-Järve petangihall</v>
      </c>
      <c r="G48" s="1248" t="s">
        <v>65</v>
      </c>
      <c r="H48" s="1171">
        <v>1</v>
      </c>
      <c r="I48" s="1172">
        <v>5</v>
      </c>
      <c r="J48" s="14"/>
    </row>
    <row r="49" spans="1:10" x14ac:dyDescent="0.2">
      <c r="A49" s="1204" t="s">
        <v>135</v>
      </c>
      <c r="B49" s="1205" t="s">
        <v>55</v>
      </c>
      <c r="C49" s="1206" t="s">
        <v>108</v>
      </c>
      <c r="D49" s="1207" t="s">
        <v>49</v>
      </c>
      <c r="E49" s="1066" t="str">
        <f>HYPERLINK("#'iv-d'!I1","iv-d")</f>
        <v>iv-d</v>
      </c>
      <c r="F49" s="1169" t="str">
        <f>HYPERLINK("https://kaart.delfi.ee/?bookmark=236e0f8de3f3d8e7138807663f9b5d14","Voka petangihall")</f>
        <v>Voka petangihall</v>
      </c>
      <c r="G49" s="1170" t="s">
        <v>50</v>
      </c>
      <c r="H49" s="1171">
        <v>2</v>
      </c>
      <c r="I49" s="1172">
        <v>30</v>
      </c>
      <c r="J49" s="14"/>
    </row>
    <row r="50" spans="1:10" x14ac:dyDescent="0.2">
      <c r="A50" s="1208" t="s">
        <v>136</v>
      </c>
      <c r="B50" s="133" t="s">
        <v>55</v>
      </c>
      <c r="C50" s="1199" t="s">
        <v>137</v>
      </c>
      <c r="D50" s="134" t="s">
        <v>138</v>
      </c>
      <c r="E50" s="142" t="str">
        <f>HYPERLINK("#'shk-viru'!K1","shk-viru")</f>
        <v>shk-viru</v>
      </c>
      <c r="F50" s="135" t="str">
        <f>HYPERLINK("https://kaart.delfi.ee/?bookmark=236e0f8de3f3d8e7138807663f9b5d14","Voka petangihall")</f>
        <v>Voka petangihall</v>
      </c>
      <c r="G50" s="136" t="s">
        <v>139</v>
      </c>
      <c r="H50" s="1173">
        <v>2</v>
      </c>
      <c r="I50" s="137">
        <v>26</v>
      </c>
      <c r="J50" s="9"/>
    </row>
    <row r="51" spans="1:10" x14ac:dyDescent="0.2">
      <c r="A51" s="112" t="s">
        <v>140</v>
      </c>
      <c r="B51" s="113"/>
      <c r="C51" s="114"/>
      <c r="D51" s="114"/>
      <c r="E51" s="115"/>
      <c r="F51" s="114"/>
      <c r="G51" s="116"/>
      <c r="H51" s="117"/>
      <c r="I51" s="118"/>
      <c r="J51" s="14"/>
    </row>
    <row r="52" spans="1:10" ht="12.75" hidden="1" customHeight="1" x14ac:dyDescent="0.2">
      <c r="A52" s="1209" t="s">
        <v>141</v>
      </c>
      <c r="B52" s="143" t="s">
        <v>62</v>
      </c>
      <c r="C52" s="1210" t="s">
        <v>142</v>
      </c>
      <c r="D52" s="144" t="s">
        <v>64</v>
      </c>
      <c r="E52" s="145"/>
      <c r="F52" s="146" t="str">
        <f>HYPERLINK("http://kaart.delfi.ee/?bookmark=225e5f274dc79e88e106035de3e50b2d","K-Järve petangihall")</f>
        <v>K-Järve petangihall</v>
      </c>
      <c r="G52" s="147" t="s">
        <v>65</v>
      </c>
      <c r="H52" s="148" t="s">
        <v>66</v>
      </c>
      <c r="I52" s="149"/>
      <c r="J52" s="169"/>
    </row>
    <row r="53" spans="1:10" x14ac:dyDescent="0.2">
      <c r="A53" s="1211" t="s">
        <v>143</v>
      </c>
      <c r="B53" s="1212" t="s">
        <v>55</v>
      </c>
      <c r="C53" s="1213" t="s">
        <v>144</v>
      </c>
      <c r="D53" s="1214" t="s">
        <v>49</v>
      </c>
      <c r="E53" s="1029" t="str">
        <f>HYPERLINK("#V15!I1","V15")</f>
        <v>V15</v>
      </c>
      <c r="F53" s="1174" t="str">
        <f>HYPERLINK("https://kaart.delfi.ee/?bookmark=236e0f8de3f3d8e7138807663f9b5d14","Voka petangihall")</f>
        <v>Voka petangihall</v>
      </c>
      <c r="G53" s="1175" t="s">
        <v>50</v>
      </c>
      <c r="H53" s="1176">
        <v>2</v>
      </c>
      <c r="I53" s="1177">
        <f>V!AN67</f>
        <v>29</v>
      </c>
      <c r="J53" s="14"/>
    </row>
    <row r="54" spans="1:10" ht="13.5" hidden="1" thickBot="1" x14ac:dyDescent="0.25">
      <c r="A54" s="1215" t="s">
        <v>141</v>
      </c>
      <c r="B54" s="1216" t="s">
        <v>62</v>
      </c>
      <c r="C54" s="1217" t="s">
        <v>142</v>
      </c>
      <c r="D54" s="1218" t="s">
        <v>64</v>
      </c>
      <c r="E54" s="170"/>
      <c r="F54" s="1178" t="str">
        <f>HYPERLINK("http://kaart.delfi.ee/?bookmark=225e5f274dc79e88e106035de3e50b2d","K-Järve petangihall")</f>
        <v>K-Järve petangihall</v>
      </c>
      <c r="G54" s="1179" t="s">
        <v>65</v>
      </c>
      <c r="H54" s="1180" t="s">
        <v>66</v>
      </c>
      <c r="I54" s="1181"/>
      <c r="J54" s="169"/>
    </row>
    <row r="55" spans="1:10" x14ac:dyDescent="0.2">
      <c r="A55" s="1219" t="s">
        <v>145</v>
      </c>
      <c r="B55" s="1220" t="s">
        <v>55</v>
      </c>
      <c r="C55" s="1221" t="s">
        <v>146</v>
      </c>
      <c r="D55" s="1222" t="s">
        <v>147</v>
      </c>
      <c r="E55" s="1139" t="str">
        <f>HYPERLINK("#'V-fin'!i1","V-fin")</f>
        <v>V-fin</v>
      </c>
      <c r="F55" s="1182" t="str">
        <f>HYPERLINK("https://kaart.delfi.ee/?bookmark=236e0f8de3f3d8e7138807663f9b5d14","Voka petangihall")</f>
        <v>Voka petangihall</v>
      </c>
      <c r="G55" s="1183" t="s">
        <v>50</v>
      </c>
      <c r="H55" s="1184">
        <v>2</v>
      </c>
      <c r="I55" s="1185">
        <f>V!AQ67</f>
        <v>25</v>
      </c>
      <c r="J55" s="150"/>
    </row>
    <row r="56" spans="1:10" x14ac:dyDescent="0.2">
      <c r="A56" s="1140" t="s">
        <v>148</v>
      </c>
      <c r="B56" s="1141" t="s">
        <v>149</v>
      </c>
      <c r="C56" s="1142" t="s">
        <v>150</v>
      </c>
      <c r="D56" s="1143" t="s">
        <v>64</v>
      </c>
      <c r="E56" s="1144"/>
      <c r="F56" s="1186" t="str">
        <f>HYPERLINK("https://kaart.delfi.ee/?bookmark=236e0f8de3f3d8e7138807663f9b5d14","Voka petangihall")</f>
        <v>Voka petangihall</v>
      </c>
      <c r="G56" s="1187" t="s">
        <v>50</v>
      </c>
      <c r="H56" s="1188">
        <v>0</v>
      </c>
      <c r="I56" s="1189"/>
      <c r="J56" s="150"/>
    </row>
    <row r="57" spans="1:10" x14ac:dyDescent="0.2">
      <c r="A57" s="1223" t="s">
        <v>151</v>
      </c>
      <c r="B57" s="1224" t="s">
        <v>55</v>
      </c>
      <c r="C57" s="1225" t="s">
        <v>108</v>
      </c>
      <c r="D57" s="1225" t="s">
        <v>64</v>
      </c>
      <c r="E57" s="1252" t="str">
        <f>HYPERLINK("#'iv-ü'!N1","iv-ü")</f>
        <v>iv-ü</v>
      </c>
      <c r="F57" s="1190" t="str">
        <f>HYPERLINK("https://kaart.delfi.ee/?bookmark=236e0f8de3f3d8e7138807663f9b5d14","Voka petangihall")</f>
        <v>Voka petangihall</v>
      </c>
      <c r="G57" s="1191" t="s">
        <v>50</v>
      </c>
      <c r="H57" s="1192">
        <v>2</v>
      </c>
      <c r="I57" s="1193">
        <v>23</v>
      </c>
      <c r="J57" s="150"/>
    </row>
    <row r="58" spans="1:10" x14ac:dyDescent="0.2">
      <c r="A58" s="1149" t="s">
        <v>152</v>
      </c>
      <c r="B58" s="1150" t="s">
        <v>55</v>
      </c>
      <c r="C58" s="1151" t="s">
        <v>636</v>
      </c>
      <c r="D58" s="1152" t="s">
        <v>153</v>
      </c>
      <c r="E58" s="1153"/>
      <c r="F58" s="1154" t="str">
        <f t="shared" ref="F58" si="1">HYPERLINK("https://kaart.delfi.ee/?bookmark=236e0f8de3f3d8e7138807663f9b5d14","Voka petangihall")</f>
        <v>Voka petangihall</v>
      </c>
      <c r="G58" s="1155" t="s">
        <v>65</v>
      </c>
      <c r="H58" s="1156"/>
      <c r="I58" s="1157"/>
      <c r="J58" s="150"/>
    </row>
    <row r="59" spans="1:10" x14ac:dyDescent="0.2">
      <c r="A59" s="152"/>
      <c r="B59" s="16"/>
      <c r="C59" s="9"/>
      <c r="D59" s="10"/>
      <c r="E59" s="17"/>
      <c r="F59" s="17"/>
      <c r="G59" s="9"/>
      <c r="H59" s="18"/>
      <c r="I59" s="9"/>
      <c r="J59" s="9"/>
    </row>
    <row r="60" spans="1:10" x14ac:dyDescent="0.2">
      <c r="A60" s="153" t="s">
        <v>154</v>
      </c>
      <c r="B60" s="154"/>
      <c r="C60" s="154"/>
      <c r="D60" s="154"/>
      <c r="E60" s="154"/>
      <c r="F60" s="155"/>
      <c r="G60" s="154"/>
      <c r="H60" s="154"/>
      <c r="I60" s="154"/>
      <c r="J60" s="154"/>
    </row>
    <row r="61" spans="1:10" x14ac:dyDescent="0.2">
      <c r="A61" s="156" t="s">
        <v>155</v>
      </c>
      <c r="B61" s="156"/>
      <c r="C61" s="156"/>
      <c r="D61" s="154"/>
      <c r="E61" s="157"/>
      <c r="F61" s="155"/>
      <c r="G61" s="154"/>
      <c r="H61" s="154"/>
      <c r="I61" s="154"/>
      <c r="J61" s="154"/>
    </row>
    <row r="62" spans="1:10" x14ac:dyDescent="0.2">
      <c r="A62" s="4" t="s">
        <v>156</v>
      </c>
      <c r="B62" s="4"/>
      <c r="C62" s="4"/>
      <c r="D62" s="4"/>
      <c r="E62" s="4"/>
      <c r="F62" s="158"/>
      <c r="J62" s="154"/>
    </row>
    <row r="63" spans="1:10" x14ac:dyDescent="0.2">
      <c r="A63" s="159" t="s">
        <v>157</v>
      </c>
      <c r="B63" s="159"/>
      <c r="C63" s="159"/>
      <c r="D63" s="154"/>
      <c r="E63" s="157"/>
      <c r="F63" s="155"/>
      <c r="G63" s="154"/>
      <c r="H63" s="154"/>
      <c r="I63" s="160"/>
    </row>
    <row r="64" spans="1:10" x14ac:dyDescent="0.2">
      <c r="A64" s="159" t="s">
        <v>158</v>
      </c>
      <c r="B64" s="159"/>
      <c r="C64" s="159"/>
      <c r="D64" s="161"/>
      <c r="E64" s="159"/>
      <c r="F64" s="162"/>
      <c r="G64" s="161"/>
      <c r="H64" s="154"/>
      <c r="I64" s="160"/>
    </row>
    <row r="65" spans="1:10" x14ac:dyDescent="0.2">
      <c r="A65" s="163" t="s">
        <v>159</v>
      </c>
      <c r="F65" s="164"/>
      <c r="J65" s="14"/>
    </row>
    <row r="66" spans="1:10" x14ac:dyDescent="0.2">
      <c r="A66" s="165"/>
      <c r="B66" s="166"/>
      <c r="C66" s="14"/>
      <c r="D66" s="167"/>
      <c r="E66" s="11"/>
      <c r="F66" s="11"/>
      <c r="G66" s="14"/>
      <c r="H66" s="13"/>
      <c r="I66" s="14"/>
      <c r="J66" s="14"/>
    </row>
    <row r="67" spans="1:10" x14ac:dyDescent="0.2">
      <c r="A67" s="165"/>
      <c r="B67" s="166"/>
      <c r="C67" s="14"/>
      <c r="D67" s="167"/>
      <c r="E67" s="11"/>
      <c r="F67" s="11"/>
      <c r="G67" s="14"/>
      <c r="H67" s="13"/>
      <c r="I67" s="14"/>
      <c r="J67" s="14"/>
    </row>
  </sheetData>
  <mergeCells count="1">
    <mergeCell ref="A8:A9"/>
  </mergeCells>
  <conditionalFormatting sqref="I58 I47 I5:I12 I15:I16 I20:I28 I30:I36 I38 I40:I43 I49 I53 I55:I56">
    <cfRule type="top10" dxfId="3705" priority="2" rank="1"/>
  </conditionalFormatting>
  <pageMargins left="0.59055118110236227" right="0.27559055118110237" top="0.78740157480314965" bottom="0.39370078740157483" header="0.59055118110236227" footer="0"/>
  <pageSetup paperSize="9" fitToHeight="0" orientation="portrait" verticalDpi="0" r:id="rId1"/>
  <headerFooter>
    <oddHeader>&amp;R&amp;9Page &amp;P of &amp;N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Q310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7.7109375" style="1" hidden="1" customWidth="1"/>
    <col min="35" max="35" width="6" style="1" hidden="1" customWidth="1"/>
    <col min="36" max="36" width="14.5703125" style="1" hidden="1" customWidth="1"/>
    <col min="37" max="37" width="6" style="1" hidden="1" customWidth="1"/>
    <col min="38" max="38" width="18.7109375" style="1" hidden="1" customWidth="1"/>
    <col min="39" max="39" width="0" style="1" hidden="1" customWidth="1"/>
    <col min="40" max="40" width="17.28515625" style="1" hidden="1" customWidth="1"/>
    <col min="41" max="41" width="0" style="1" hidden="1" customWidth="1"/>
    <col min="42" max="42" width="13.85546875" style="1" hidden="1" customWidth="1"/>
    <col min="43" max="16384" width="9.140625" style="1"/>
  </cols>
  <sheetData>
    <row r="1" spans="1:43" x14ac:dyDescent="0.2">
      <c r="A1" s="753" t="str">
        <f>UPPER((Kalend!E15)&amp;" - "&amp;(Kalend!C15)&amp;" - "&amp;(Kalend!D15))</f>
        <v>V6 - VOKA 2. SISE-KV 6.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817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</row>
    <row r="2" spans="1:43" x14ac:dyDescent="0.2">
      <c r="A2" s="757" t="str">
        <f>"Toimumisaeg: "&amp;(Kalend!A15)&amp;" kell "&amp;(Kalend!B15)</f>
        <v>Toimumisaeg: P, 02.12.2018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</row>
    <row r="3" spans="1:43" x14ac:dyDescent="0.2">
      <c r="A3" s="757" t="str">
        <f>"Toimumiskoht: "&amp;(Kalend!F15)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</row>
    <row r="4" spans="1:43" x14ac:dyDescent="0.2">
      <c r="A4" s="757" t="str">
        <f>"Korraldaja: "&amp;(Kalend!G15)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</row>
    <row r="5" spans="1:43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</row>
    <row r="6" spans="1:43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</row>
    <row r="7" spans="1:43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</row>
    <row r="8" spans="1:43" x14ac:dyDescent="0.2">
      <c r="A8" s="897">
        <v>1</v>
      </c>
      <c r="B8" s="792" t="s">
        <v>462</v>
      </c>
      <c r="C8" s="900">
        <v>13</v>
      </c>
      <c r="D8" s="901" t="s">
        <v>450</v>
      </c>
      <c r="E8" s="902">
        <v>6</v>
      </c>
      <c r="F8" s="903" t="str">
        <f>B9</f>
        <v>Jaan Sepp, Oskar Sepp</v>
      </c>
      <c r="G8" s="900">
        <v>13</v>
      </c>
      <c r="H8" s="901" t="s">
        <v>450</v>
      </c>
      <c r="I8" s="902">
        <v>5</v>
      </c>
      <c r="J8" s="903" t="str">
        <f>B12</f>
        <v>Illar Tõnurist, Jaan Saar</v>
      </c>
      <c r="K8" s="900">
        <v>13</v>
      </c>
      <c r="L8" s="901" t="s">
        <v>450</v>
      </c>
      <c r="M8" s="902">
        <v>5</v>
      </c>
      <c r="N8" s="903" t="str">
        <f>B10</f>
        <v>Karla Purgats, Kenneth Muusikus</v>
      </c>
      <c r="O8" s="900">
        <v>13</v>
      </c>
      <c r="P8" s="901" t="s">
        <v>450</v>
      </c>
      <c r="Q8" s="902">
        <v>4</v>
      </c>
      <c r="R8" s="903" t="str">
        <f>B11</f>
        <v>Meelis Luud, Vladimir Ogneštšikov</v>
      </c>
      <c r="S8" s="900">
        <v>13</v>
      </c>
      <c r="T8" s="901" t="s">
        <v>450</v>
      </c>
      <c r="U8" s="902">
        <v>9</v>
      </c>
      <c r="V8" s="903" t="str">
        <f>B13</f>
        <v>Elmo Lageda, Tõnu Piik</v>
      </c>
      <c r="W8" s="900"/>
      <c r="X8" s="901" t="s">
        <v>450</v>
      </c>
      <c r="Y8" s="902"/>
      <c r="Z8" s="903"/>
      <c r="AA8" s="904">
        <f t="shared" ref="AA8:AA17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5</v>
      </c>
      <c r="AB8" s="905"/>
      <c r="AC8" s="900">
        <f t="shared" ref="AC8:AC17" si="1">C8+G8+K8+O8+S8+W8</f>
        <v>65</v>
      </c>
      <c r="AD8" s="901" t="s">
        <v>450</v>
      </c>
      <c r="AE8" s="906">
        <f t="shared" ref="AE8:AE17" si="2">E8+I8+M8+Q8+U8+Y8</f>
        <v>29</v>
      </c>
      <c r="AF8" s="907">
        <f t="shared" ref="AF8:AF17" si="3">AC8-AE8</f>
        <v>36</v>
      </c>
      <c r="AG8" s="908"/>
      <c r="AH8" s="764">
        <f t="shared" ref="AH8:AH20" si="4">SUM(AI8:AP8)</f>
        <v>85.5</v>
      </c>
      <c r="AI8" s="784">
        <f>IFERROR(INDEX(V!$R:$R,MATCH(AJ8,V!$L:$L,0)),"")</f>
        <v>40.5</v>
      </c>
      <c r="AJ8" s="783" t="str">
        <f t="shared" ref="AJ8:AJ20" si="5">IFERROR(LEFT($B8,(FIND(",",$B8,1)-1)),"")</f>
        <v>Aigi Orro</v>
      </c>
      <c r="AK8" s="784">
        <f>IFERROR(INDEX(V!$R:$R,MATCH(AL8,V!$L:$L,0)),"")</f>
        <v>45</v>
      </c>
      <c r="AL8" s="783" t="str">
        <f t="shared" ref="AL8:AL20" si="6">IFERROR(MID($B8,FIND(", ",$B8)+2,256),"")</f>
        <v>Svetlana Veski</v>
      </c>
      <c r="AM8" s="784" t="str">
        <f>IFERROR(INDEX(V!$R:$R,MATCH(AN8,V!$L:$L,0)),"")</f>
        <v/>
      </c>
      <c r="AN8" s="785" t="str">
        <f t="shared" ref="AN8:AN20" si="7">IFERROR(MID($B8,FIND("^",SUBSTITUTE($B8,", ","^",1))+2,FIND("^",SUBSTITUTE($B8,", ","^",2))-FIND("^",SUBSTITUTE($B8,", ","^",1))-2),"")</f>
        <v/>
      </c>
      <c r="AO8" s="784" t="str">
        <f>IFERROR(INDEX(V!$R:$R,MATCH(AP8,V!$L:$L,0)),"")</f>
        <v/>
      </c>
      <c r="AP8" s="785" t="str">
        <f t="shared" ref="AP8:AP20" si="8">IFERROR(MID($B8,FIND(", ",$B8,FIND(", ",$B8,FIND(", ",$B8))+1)+2,700),"")</f>
        <v/>
      </c>
      <c r="AQ8" s="760"/>
    </row>
    <row r="9" spans="1:43" x14ac:dyDescent="0.2">
      <c r="A9" s="897">
        <v>2</v>
      </c>
      <c r="B9" s="792" t="s">
        <v>368</v>
      </c>
      <c r="C9" s="900">
        <v>6</v>
      </c>
      <c r="D9" s="901" t="s">
        <v>450</v>
      </c>
      <c r="E9" s="902">
        <v>13</v>
      </c>
      <c r="F9" s="903" t="str">
        <f>B8</f>
        <v>Aigi Orro, Svetlana Veski</v>
      </c>
      <c r="G9" s="900">
        <v>13</v>
      </c>
      <c r="H9" s="901" t="s">
        <v>450</v>
      </c>
      <c r="I9" s="902">
        <v>11</v>
      </c>
      <c r="J9" s="903" t="str">
        <f>B13</f>
        <v>Elmo Lageda, Tõnu Piik</v>
      </c>
      <c r="K9" s="900">
        <v>13</v>
      </c>
      <c r="L9" s="901" t="s">
        <v>450</v>
      </c>
      <c r="M9" s="902">
        <v>10</v>
      </c>
      <c r="N9" s="903" t="str">
        <f>B15</f>
        <v>Oleg Rõndenkov, Peep Peenema</v>
      </c>
      <c r="O9" s="900">
        <v>13</v>
      </c>
      <c r="P9" s="901" t="s">
        <v>450</v>
      </c>
      <c r="Q9" s="902">
        <v>2</v>
      </c>
      <c r="R9" s="903" t="str">
        <f>B14</f>
        <v>Eve Müüdla, Johannes Neiland</v>
      </c>
      <c r="S9" s="900">
        <v>13</v>
      </c>
      <c r="T9" s="901" t="s">
        <v>450</v>
      </c>
      <c r="U9" s="902">
        <v>6</v>
      </c>
      <c r="V9" s="903" t="str">
        <f>B10</f>
        <v>Karla Purgats, Kenneth Muusikus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58</v>
      </c>
      <c r="AD9" s="901" t="s">
        <v>450</v>
      </c>
      <c r="AE9" s="906">
        <f t="shared" si="2"/>
        <v>42</v>
      </c>
      <c r="AF9" s="907">
        <f t="shared" si="3"/>
        <v>16</v>
      </c>
      <c r="AG9" s="908"/>
      <c r="AH9" s="764">
        <f t="shared" si="4"/>
        <v>317</v>
      </c>
      <c r="AI9" s="784">
        <f>IFERROR(INDEX(V!$R:$R,MATCH(AJ9,V!$L:$L,0)),"")</f>
        <v>159</v>
      </c>
      <c r="AJ9" s="783" t="str">
        <f t="shared" si="5"/>
        <v>Jaan Sepp</v>
      </c>
      <c r="AK9" s="784">
        <f>IFERROR(INDEX(V!$R:$R,MATCH(AL9,V!$L:$L,0)),"")</f>
        <v>158</v>
      </c>
      <c r="AL9" s="783" t="str">
        <f t="shared" si="6"/>
        <v>Oskar Sepp</v>
      </c>
      <c r="AM9" s="784" t="str">
        <f>IFERROR(INDEX(V!$R:$R,MATCH(AN9,V!$L:$L,0)),"")</f>
        <v/>
      </c>
      <c r="AN9" s="785" t="str">
        <f t="shared" si="7"/>
        <v/>
      </c>
      <c r="AO9" s="784" t="str">
        <f>IFERROR(INDEX(V!$R:$R,MATCH(AP9,V!$L:$L,0)),"")</f>
        <v/>
      </c>
      <c r="AP9" s="785" t="str">
        <f t="shared" si="8"/>
        <v/>
      </c>
      <c r="AQ9" s="760"/>
    </row>
    <row r="10" spans="1:43" x14ac:dyDescent="0.2">
      <c r="A10" s="897">
        <v>3</v>
      </c>
      <c r="B10" s="922" t="s">
        <v>457</v>
      </c>
      <c r="C10" s="900">
        <v>13</v>
      </c>
      <c r="D10" s="901"/>
      <c r="E10" s="902">
        <v>4</v>
      </c>
      <c r="F10" s="903" t="str">
        <f>B17</f>
        <v>Mait Metsla, Matti Vinni</v>
      </c>
      <c r="G10" s="900">
        <v>13</v>
      </c>
      <c r="H10" s="901"/>
      <c r="I10" s="902">
        <v>10</v>
      </c>
      <c r="J10" s="903" t="str">
        <f>B11</f>
        <v>Meelis Luud, Vladimir Ogneštšikov</v>
      </c>
      <c r="K10" s="900">
        <v>5</v>
      </c>
      <c r="L10" s="901"/>
      <c r="M10" s="902">
        <v>13</v>
      </c>
      <c r="N10" s="903" t="str">
        <f>B8</f>
        <v>Aigi Orro, Svetlana Veski</v>
      </c>
      <c r="O10" s="900">
        <v>13</v>
      </c>
      <c r="P10" s="901"/>
      <c r="Q10" s="902">
        <v>10</v>
      </c>
      <c r="R10" s="903" t="str">
        <f>B12</f>
        <v>Illar Tõnurist, Jaan Saar</v>
      </c>
      <c r="S10" s="900">
        <v>6</v>
      </c>
      <c r="T10" s="901"/>
      <c r="U10" s="902">
        <v>13</v>
      </c>
      <c r="V10" s="903" t="str">
        <f>B9</f>
        <v>Jaan Sepp, Oskar Sepp</v>
      </c>
      <c r="W10" s="900"/>
      <c r="X10" s="901" t="s">
        <v>450</v>
      </c>
      <c r="Y10" s="902"/>
      <c r="Z10" s="903"/>
      <c r="AA10" s="910">
        <f t="shared" si="0"/>
        <v>3</v>
      </c>
      <c r="AB10" s="905"/>
      <c r="AC10" s="900">
        <f t="shared" si="1"/>
        <v>50</v>
      </c>
      <c r="AD10" s="901" t="s">
        <v>450</v>
      </c>
      <c r="AE10" s="918">
        <f t="shared" si="2"/>
        <v>50</v>
      </c>
      <c r="AF10" s="907">
        <f t="shared" si="3"/>
        <v>0</v>
      </c>
      <c r="AG10" s="908"/>
      <c r="AH10" s="764">
        <f t="shared" si="4"/>
        <v>254.5</v>
      </c>
      <c r="AI10" s="784">
        <f>IFERROR(INDEX(V!$R:$R,MATCH(AJ10,V!$L:$L,0)),"")</f>
        <v>123.5</v>
      </c>
      <c r="AJ10" s="783" t="str">
        <f t="shared" si="5"/>
        <v>Karla Purgats</v>
      </c>
      <c r="AK10" s="784">
        <f>IFERROR(INDEX(V!$R:$R,MATCH(AL10,V!$L:$L,0)),"")</f>
        <v>131</v>
      </c>
      <c r="AL10" s="783" t="str">
        <f t="shared" si="6"/>
        <v>Kenneth Muusikus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</row>
    <row r="11" spans="1:43" x14ac:dyDescent="0.2">
      <c r="A11" s="897">
        <v>4</v>
      </c>
      <c r="B11" s="922" t="s">
        <v>463</v>
      </c>
      <c r="C11" s="900">
        <v>13</v>
      </c>
      <c r="D11" s="901"/>
      <c r="E11" s="902">
        <v>4</v>
      </c>
      <c r="F11" s="903" t="str">
        <f>B15</f>
        <v>Oleg Rõndenkov, Peep Peenema</v>
      </c>
      <c r="G11" s="900">
        <v>10</v>
      </c>
      <c r="H11" s="901"/>
      <c r="I11" s="902">
        <v>13</v>
      </c>
      <c r="J11" s="903" t="str">
        <f>B10</f>
        <v>Karla Purgats, Kenneth Muusikus</v>
      </c>
      <c r="K11" s="900">
        <v>13</v>
      </c>
      <c r="L11" s="901"/>
      <c r="M11" s="902">
        <v>11</v>
      </c>
      <c r="N11" s="903" t="str">
        <f>B14</f>
        <v>Eve Müüdla, Johannes Neiland</v>
      </c>
      <c r="O11" s="900">
        <v>4</v>
      </c>
      <c r="P11" s="901"/>
      <c r="Q11" s="902">
        <v>13</v>
      </c>
      <c r="R11" s="903" t="str">
        <f>B8</f>
        <v>Aigi Orro, Svetlana Veski</v>
      </c>
      <c r="S11" s="900">
        <v>13</v>
      </c>
      <c r="T11" s="901"/>
      <c r="U11" s="902">
        <v>4</v>
      </c>
      <c r="V11" s="903" t="str">
        <f>B16</f>
        <v>Enn Tokman, Tarmo Bombe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00">
        <f t="shared" si="1"/>
        <v>53</v>
      </c>
      <c r="AD11" s="901" t="s">
        <v>450</v>
      </c>
      <c r="AE11" s="906">
        <f t="shared" si="2"/>
        <v>45</v>
      </c>
      <c r="AF11" s="907">
        <f t="shared" si="3"/>
        <v>8</v>
      </c>
      <c r="AG11" s="908"/>
      <c r="AH11" s="764">
        <f t="shared" si="4"/>
        <v>232.5</v>
      </c>
      <c r="AI11" s="784">
        <f>IFERROR(INDEX(V!$R:$R,MATCH(AJ11,V!$L:$L,0)),"")</f>
        <v>125</v>
      </c>
      <c r="AJ11" s="783" t="str">
        <f t="shared" si="5"/>
        <v>Meelis Luud</v>
      </c>
      <c r="AK11" s="784">
        <f>IFERROR(INDEX(V!$R:$R,MATCH(AL11,V!$L:$L,0)),"")</f>
        <v>107.5</v>
      </c>
      <c r="AL11" s="783" t="str">
        <f t="shared" si="6"/>
        <v>Vladimir Ogneštšikov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</row>
    <row r="12" spans="1:43" x14ac:dyDescent="0.2">
      <c r="A12" s="897">
        <v>4</v>
      </c>
      <c r="B12" s="922" t="s">
        <v>404</v>
      </c>
      <c r="C12" s="900">
        <v>13</v>
      </c>
      <c r="D12" s="901" t="s">
        <v>450</v>
      </c>
      <c r="E12" s="902">
        <v>7</v>
      </c>
      <c r="F12" s="903" t="str">
        <f>B16</f>
        <v>Enn Tokman, Tarmo Bombe</v>
      </c>
      <c r="G12" s="900">
        <v>5</v>
      </c>
      <c r="H12" s="901" t="s">
        <v>450</v>
      </c>
      <c r="I12" s="902">
        <v>13</v>
      </c>
      <c r="J12" s="903" t="str">
        <f>B8</f>
        <v>Aigi Orro, Svetlana Veski</v>
      </c>
      <c r="K12" s="900">
        <v>13</v>
      </c>
      <c r="L12" s="901" t="s">
        <v>450</v>
      </c>
      <c r="M12" s="902">
        <v>10</v>
      </c>
      <c r="N12" s="903" t="str">
        <f>B13</f>
        <v>Elmo Lageda, Tõnu Piik</v>
      </c>
      <c r="O12" s="900">
        <v>10</v>
      </c>
      <c r="P12" s="901" t="s">
        <v>450</v>
      </c>
      <c r="Q12" s="902">
        <v>13</v>
      </c>
      <c r="R12" s="903" t="str">
        <f>B10</f>
        <v>Karla Purgats, Kenneth Muusikus</v>
      </c>
      <c r="S12" s="900">
        <v>13</v>
      </c>
      <c r="T12" s="901" t="s">
        <v>450</v>
      </c>
      <c r="U12" s="902">
        <v>6</v>
      </c>
      <c r="V12" s="903" t="str">
        <f>B17</f>
        <v>Mait Metsla, Matti Vinni</v>
      </c>
      <c r="W12" s="900"/>
      <c r="X12" s="901" t="s">
        <v>450</v>
      </c>
      <c r="Y12" s="902"/>
      <c r="Z12" s="903"/>
      <c r="AA12" s="910">
        <f t="shared" si="0"/>
        <v>3</v>
      </c>
      <c r="AB12" s="905"/>
      <c r="AC12" s="900">
        <f t="shared" si="1"/>
        <v>54</v>
      </c>
      <c r="AD12" s="901" t="s">
        <v>450</v>
      </c>
      <c r="AE12" s="906">
        <f t="shared" si="2"/>
        <v>49</v>
      </c>
      <c r="AF12" s="907">
        <f t="shared" si="3"/>
        <v>5</v>
      </c>
      <c r="AG12" s="908"/>
      <c r="AH12" s="764">
        <f t="shared" si="4"/>
        <v>190.5</v>
      </c>
      <c r="AI12" s="784">
        <f>IFERROR(INDEX(V!$R:$R,MATCH(AJ12,V!$L:$L,0)),"")</f>
        <v>98.5</v>
      </c>
      <c r="AJ12" s="783" t="str">
        <f t="shared" si="5"/>
        <v>Illar Tõnurist</v>
      </c>
      <c r="AK12" s="784">
        <f>IFERROR(INDEX(V!$R:$R,MATCH(AL12,V!$L:$L,0)),"")</f>
        <v>92</v>
      </c>
      <c r="AL12" s="783" t="str">
        <f t="shared" si="6"/>
        <v>Jaan Saar</v>
      </c>
      <c r="AM12" s="784" t="str">
        <f>IFERROR(INDEX(V!$R:$R,MATCH(AN12,V!$L:$L,0)),"")</f>
        <v/>
      </c>
      <c r="AN12" s="785" t="str">
        <f t="shared" si="7"/>
        <v/>
      </c>
      <c r="AO12" s="784" t="str">
        <f>IFERROR(INDEX(V!$R:$R,MATCH(AP12,V!$L:$L,0)),"")</f>
        <v/>
      </c>
      <c r="AP12" s="785" t="str">
        <f t="shared" si="8"/>
        <v/>
      </c>
      <c r="AQ12" s="760"/>
    </row>
    <row r="13" spans="1:43" x14ac:dyDescent="0.2">
      <c r="A13" s="897">
        <v>6</v>
      </c>
      <c r="B13" s="909" t="s">
        <v>370</v>
      </c>
      <c r="C13" s="900">
        <v>13</v>
      </c>
      <c r="D13" s="901" t="s">
        <v>450</v>
      </c>
      <c r="E13" s="902">
        <v>8</v>
      </c>
      <c r="F13" s="903" t="str">
        <f>B14</f>
        <v>Eve Müüdla, Johannes Neiland</v>
      </c>
      <c r="G13" s="900">
        <v>11</v>
      </c>
      <c r="H13" s="901" t="s">
        <v>450</v>
      </c>
      <c r="I13" s="902">
        <v>13</v>
      </c>
      <c r="J13" s="903" t="str">
        <f>B9</f>
        <v>Jaan Sepp, Oskar Sepp</v>
      </c>
      <c r="K13" s="900">
        <v>10</v>
      </c>
      <c r="L13" s="901" t="s">
        <v>450</v>
      </c>
      <c r="M13" s="902">
        <v>13</v>
      </c>
      <c r="N13" s="903" t="str">
        <f>B12</f>
        <v>Illar Tõnurist, Jaan Saar</v>
      </c>
      <c r="O13" s="900">
        <v>13</v>
      </c>
      <c r="P13" s="901" t="s">
        <v>450</v>
      </c>
      <c r="Q13" s="902">
        <v>5</v>
      </c>
      <c r="R13" s="903" t="str">
        <f>B17</f>
        <v>Mait Metsla, Matti Vinni</v>
      </c>
      <c r="S13" s="900">
        <v>8</v>
      </c>
      <c r="T13" s="901" t="s">
        <v>450</v>
      </c>
      <c r="U13" s="902">
        <v>13</v>
      </c>
      <c r="V13" s="903" t="str">
        <f>B8</f>
        <v>Aigi Orro, Svetlana Veski</v>
      </c>
      <c r="W13" s="900"/>
      <c r="X13" s="901" t="s">
        <v>450</v>
      </c>
      <c r="Y13" s="902"/>
      <c r="Z13" s="903"/>
      <c r="AA13" s="904">
        <f t="shared" si="0"/>
        <v>2</v>
      </c>
      <c r="AB13" s="905"/>
      <c r="AC13" s="900">
        <f t="shared" si="1"/>
        <v>55</v>
      </c>
      <c r="AD13" s="901" t="s">
        <v>450</v>
      </c>
      <c r="AE13" s="906">
        <f t="shared" si="2"/>
        <v>52</v>
      </c>
      <c r="AF13" s="907">
        <f t="shared" si="3"/>
        <v>3</v>
      </c>
      <c r="AG13" s="908"/>
      <c r="AH13" s="764">
        <f t="shared" si="4"/>
        <v>240</v>
      </c>
      <c r="AI13" s="784">
        <f>IFERROR(INDEX(V!$R:$R,MATCH(AJ13,V!$L:$L,0)),"")</f>
        <v>117</v>
      </c>
      <c r="AJ13" s="783" t="str">
        <f t="shared" si="5"/>
        <v>Elmo Lageda</v>
      </c>
      <c r="AK13" s="784">
        <f>IFERROR(INDEX(V!$R:$R,MATCH(AL13,V!$L:$L,0)),"")</f>
        <v>123</v>
      </c>
      <c r="AL13" s="783" t="str">
        <f t="shared" si="6"/>
        <v>Tõnu Piik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</row>
    <row r="14" spans="1:43" x14ac:dyDescent="0.2">
      <c r="A14" s="897">
        <v>7</v>
      </c>
      <c r="B14" s="909" t="s">
        <v>464</v>
      </c>
      <c r="C14" s="900">
        <v>8</v>
      </c>
      <c r="D14" s="901" t="s">
        <v>450</v>
      </c>
      <c r="E14" s="902">
        <v>13</v>
      </c>
      <c r="F14" s="903" t="str">
        <f>B13</f>
        <v>Elmo Lageda, Tõnu Piik</v>
      </c>
      <c r="G14" s="900">
        <v>13</v>
      </c>
      <c r="H14" s="901" t="s">
        <v>450</v>
      </c>
      <c r="I14" s="902">
        <v>4</v>
      </c>
      <c r="J14" s="903" t="str">
        <f>B16</f>
        <v>Enn Tokman, Tarmo Bombe</v>
      </c>
      <c r="K14" s="900">
        <v>11</v>
      </c>
      <c r="L14" s="901" t="s">
        <v>450</v>
      </c>
      <c r="M14" s="902">
        <v>13</v>
      </c>
      <c r="N14" s="903" t="str">
        <f>B11</f>
        <v>Meelis Luud, Vladimir Ogneštšikov</v>
      </c>
      <c r="O14" s="900">
        <v>2</v>
      </c>
      <c r="P14" s="901" t="s">
        <v>450</v>
      </c>
      <c r="Q14" s="902">
        <v>13</v>
      </c>
      <c r="R14" s="903" t="str">
        <f>B9</f>
        <v>Jaan Sepp, Oskar Sepp</v>
      </c>
      <c r="S14" s="900">
        <v>13</v>
      </c>
      <c r="T14" s="901" t="s">
        <v>450</v>
      </c>
      <c r="U14" s="902">
        <v>10</v>
      </c>
      <c r="V14" s="903" t="str">
        <f>B15</f>
        <v>Oleg Rõndenkov, Peep Peenema</v>
      </c>
      <c r="W14" s="900"/>
      <c r="X14" s="901" t="s">
        <v>450</v>
      </c>
      <c r="Y14" s="902"/>
      <c r="Z14" s="903"/>
      <c r="AA14" s="904">
        <f t="shared" si="0"/>
        <v>2</v>
      </c>
      <c r="AB14" s="905"/>
      <c r="AC14" s="900">
        <f t="shared" si="1"/>
        <v>47</v>
      </c>
      <c r="AD14" s="901" t="s">
        <v>450</v>
      </c>
      <c r="AE14" s="906">
        <f t="shared" si="2"/>
        <v>53</v>
      </c>
      <c r="AF14" s="907">
        <f t="shared" si="3"/>
        <v>-6</v>
      </c>
      <c r="AG14" s="908"/>
      <c r="AH14" s="764">
        <f t="shared" si="4"/>
        <v>103</v>
      </c>
      <c r="AI14" s="784">
        <f>IFERROR(INDEX(V!$R:$R,MATCH(AJ14,V!$L:$L,0)),"")</f>
        <v>9</v>
      </c>
      <c r="AJ14" s="783" t="str">
        <f t="shared" si="5"/>
        <v>Eve Müüdla</v>
      </c>
      <c r="AK14" s="784">
        <f>IFERROR(INDEX(V!$R:$R,MATCH(AL14,V!$L:$L,0)),"")</f>
        <v>94</v>
      </c>
      <c r="AL14" s="783" t="str">
        <f t="shared" si="6"/>
        <v>Johannes Neiland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</row>
    <row r="15" spans="1:43" x14ac:dyDescent="0.2">
      <c r="A15" s="897">
        <v>8</v>
      </c>
      <c r="B15" s="909" t="s">
        <v>465</v>
      </c>
      <c r="C15" s="900">
        <v>4</v>
      </c>
      <c r="D15" s="901" t="s">
        <v>450</v>
      </c>
      <c r="E15" s="902">
        <v>13</v>
      </c>
      <c r="F15" s="903" t="str">
        <f>B11</f>
        <v>Meelis Luud, Vladimir Ogneštšikov</v>
      </c>
      <c r="G15" s="900">
        <v>13</v>
      </c>
      <c r="H15" s="901" t="s">
        <v>450</v>
      </c>
      <c r="I15" s="902">
        <v>12</v>
      </c>
      <c r="J15" s="903" t="str">
        <f>B17</f>
        <v>Mait Metsla, Matti Vinni</v>
      </c>
      <c r="K15" s="900">
        <v>10</v>
      </c>
      <c r="L15" s="901" t="s">
        <v>450</v>
      </c>
      <c r="M15" s="902">
        <v>13</v>
      </c>
      <c r="N15" s="903" t="str">
        <f>B9</f>
        <v>Jaan Sepp, Oskar Sepp</v>
      </c>
      <c r="O15" s="900">
        <v>13</v>
      </c>
      <c r="P15" s="901" t="s">
        <v>450</v>
      </c>
      <c r="Q15" s="902">
        <v>3</v>
      </c>
      <c r="R15" s="903" t="str">
        <f>B16</f>
        <v>Enn Tokman, Tarmo Bombe</v>
      </c>
      <c r="S15" s="900">
        <v>10</v>
      </c>
      <c r="T15" s="901" t="s">
        <v>450</v>
      </c>
      <c r="U15" s="902">
        <v>13</v>
      </c>
      <c r="V15" s="903" t="str">
        <f>B14</f>
        <v>Eve Müüdla, Johannes Neiland</v>
      </c>
      <c r="W15" s="900"/>
      <c r="X15" s="901" t="s">
        <v>450</v>
      </c>
      <c r="Y15" s="902"/>
      <c r="Z15" s="903"/>
      <c r="AA15" s="904">
        <f t="shared" si="0"/>
        <v>2</v>
      </c>
      <c r="AB15" s="905"/>
      <c r="AC15" s="900">
        <f t="shared" si="1"/>
        <v>50</v>
      </c>
      <c r="AD15" s="901" t="s">
        <v>450</v>
      </c>
      <c r="AE15" s="906">
        <f t="shared" si="2"/>
        <v>54</v>
      </c>
      <c r="AF15" s="907">
        <f t="shared" si="3"/>
        <v>-4</v>
      </c>
      <c r="AG15" s="908"/>
      <c r="AH15" s="764">
        <f t="shared" si="4"/>
        <v>106.5</v>
      </c>
      <c r="AI15" s="784">
        <f>IFERROR(INDEX(V!$R:$R,MATCH(AJ15,V!$L:$L,0)),"")</f>
        <v>66.5</v>
      </c>
      <c r="AJ15" s="783" t="str">
        <f t="shared" si="5"/>
        <v>Oleg Rõndenkov</v>
      </c>
      <c r="AK15" s="784">
        <f>IFERROR(INDEX(V!$R:$R,MATCH(AL15,V!$L:$L,0)),"")</f>
        <v>40</v>
      </c>
      <c r="AL15" s="783" t="str">
        <f t="shared" si="6"/>
        <v>Peep Peenema</v>
      </c>
      <c r="AM15" s="784" t="str">
        <f>IFERROR(INDEX(V!$R:$R,MATCH(AN15,V!$L:$L,0)),"")</f>
        <v/>
      </c>
      <c r="AN15" s="785" t="str">
        <f t="shared" si="7"/>
        <v/>
      </c>
      <c r="AO15" s="784" t="str">
        <f>IFERROR(INDEX(V!$R:$R,MATCH(AP15,V!$L:$L,0)),"")</f>
        <v/>
      </c>
      <c r="AP15" s="785" t="str">
        <f t="shared" si="8"/>
        <v/>
      </c>
      <c r="AQ15" s="760"/>
    </row>
    <row r="16" spans="1:43" x14ac:dyDescent="0.2">
      <c r="A16" s="897">
        <v>9</v>
      </c>
      <c r="B16" s="909" t="s">
        <v>369</v>
      </c>
      <c r="C16" s="900">
        <v>7</v>
      </c>
      <c r="D16" s="901" t="s">
        <v>450</v>
      </c>
      <c r="E16" s="902">
        <v>13</v>
      </c>
      <c r="F16" s="903" t="str">
        <f>B12</f>
        <v>Illar Tõnurist, Jaan Saar</v>
      </c>
      <c r="G16" s="900">
        <v>4</v>
      </c>
      <c r="H16" s="901" t="s">
        <v>450</v>
      </c>
      <c r="I16" s="902">
        <v>13</v>
      </c>
      <c r="J16" s="903" t="str">
        <f>B14</f>
        <v>Eve Müüdla, Johannes Neiland</v>
      </c>
      <c r="K16" s="900">
        <v>13</v>
      </c>
      <c r="L16" s="901" t="s">
        <v>450</v>
      </c>
      <c r="M16" s="902">
        <v>12</v>
      </c>
      <c r="N16" s="903" t="str">
        <f>B17</f>
        <v>Mait Metsla, Matti Vinni</v>
      </c>
      <c r="O16" s="900">
        <v>3</v>
      </c>
      <c r="P16" s="901" t="s">
        <v>450</v>
      </c>
      <c r="Q16" s="902">
        <v>13</v>
      </c>
      <c r="R16" s="903" t="str">
        <f>B15</f>
        <v>Oleg Rõndenkov, Peep Peenema</v>
      </c>
      <c r="S16" s="900">
        <v>4</v>
      </c>
      <c r="T16" s="901" t="s">
        <v>450</v>
      </c>
      <c r="U16" s="902">
        <v>13</v>
      </c>
      <c r="V16" s="903" t="str">
        <f>B11</f>
        <v>Meelis Luud, Vladimir Ogneštšikov</v>
      </c>
      <c r="W16" s="900"/>
      <c r="X16" s="901" t="s">
        <v>450</v>
      </c>
      <c r="Y16" s="902"/>
      <c r="Z16" s="903"/>
      <c r="AA16" s="910">
        <f t="shared" si="0"/>
        <v>1</v>
      </c>
      <c r="AB16" s="905"/>
      <c r="AC16" s="900">
        <f t="shared" si="1"/>
        <v>31</v>
      </c>
      <c r="AD16" s="901" t="s">
        <v>450</v>
      </c>
      <c r="AE16" s="918">
        <f t="shared" si="2"/>
        <v>64</v>
      </c>
      <c r="AF16" s="907">
        <f t="shared" si="3"/>
        <v>-33</v>
      </c>
      <c r="AG16" s="908"/>
      <c r="AH16" s="764">
        <f t="shared" si="4"/>
        <v>164</v>
      </c>
      <c r="AI16" s="784">
        <f>IFERROR(INDEX(V!$R:$R,MATCH(AJ16,V!$L:$L,0)),"")</f>
        <v>88</v>
      </c>
      <c r="AJ16" s="783" t="str">
        <f t="shared" si="5"/>
        <v>Enn Tokman</v>
      </c>
      <c r="AK16" s="784">
        <f>IFERROR(INDEX(V!$R:$R,MATCH(AL16,V!$L:$L,0)),"")</f>
        <v>76</v>
      </c>
      <c r="AL16" s="783" t="str">
        <f t="shared" si="6"/>
        <v>Tarmo Bombe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</row>
    <row r="17" spans="1:43" x14ac:dyDescent="0.2">
      <c r="A17" s="897">
        <v>10</v>
      </c>
      <c r="B17" s="909" t="s">
        <v>459</v>
      </c>
      <c r="C17" s="900">
        <v>4</v>
      </c>
      <c r="D17" s="901" t="s">
        <v>450</v>
      </c>
      <c r="E17" s="902">
        <v>13</v>
      </c>
      <c r="F17" s="903" t="str">
        <f>B10</f>
        <v>Karla Purgats, Kenneth Muusikus</v>
      </c>
      <c r="G17" s="900">
        <v>12</v>
      </c>
      <c r="H17" s="901" t="s">
        <v>450</v>
      </c>
      <c r="I17" s="902">
        <v>13</v>
      </c>
      <c r="J17" s="903" t="str">
        <f>B15</f>
        <v>Oleg Rõndenkov, Peep Peenema</v>
      </c>
      <c r="K17" s="900">
        <v>12</v>
      </c>
      <c r="L17" s="901" t="s">
        <v>450</v>
      </c>
      <c r="M17" s="902">
        <v>13</v>
      </c>
      <c r="N17" s="903" t="str">
        <f>B16</f>
        <v>Enn Tokman, Tarmo Bombe</v>
      </c>
      <c r="O17" s="900">
        <v>5</v>
      </c>
      <c r="P17" s="901" t="s">
        <v>450</v>
      </c>
      <c r="Q17" s="902">
        <v>13</v>
      </c>
      <c r="R17" s="903" t="str">
        <f>B13</f>
        <v>Elmo Lageda, Tõnu Piik</v>
      </c>
      <c r="S17" s="900">
        <v>6</v>
      </c>
      <c r="T17" s="901" t="s">
        <v>450</v>
      </c>
      <c r="U17" s="902">
        <v>13</v>
      </c>
      <c r="V17" s="903" t="str">
        <f>B12</f>
        <v>Illar Tõnurist, Jaan Saar</v>
      </c>
      <c r="W17" s="900"/>
      <c r="X17" s="901" t="s">
        <v>450</v>
      </c>
      <c r="Y17" s="902"/>
      <c r="Z17" s="903"/>
      <c r="AA17" s="904">
        <f t="shared" si="0"/>
        <v>0</v>
      </c>
      <c r="AB17" s="905"/>
      <c r="AC17" s="900">
        <f t="shared" si="1"/>
        <v>39</v>
      </c>
      <c r="AD17" s="901" t="s">
        <v>450</v>
      </c>
      <c r="AE17" s="906">
        <f t="shared" si="2"/>
        <v>65</v>
      </c>
      <c r="AF17" s="907">
        <f t="shared" si="3"/>
        <v>-26</v>
      </c>
      <c r="AG17" s="908"/>
      <c r="AH17" s="764">
        <f t="shared" si="4"/>
        <v>215.5</v>
      </c>
      <c r="AI17" s="784">
        <f>IFERROR(INDEX(V!$R:$R,MATCH(AJ17,V!$L:$L,0)),"")</f>
        <v>105.5</v>
      </c>
      <c r="AJ17" s="783" t="str">
        <f t="shared" si="5"/>
        <v>Mait Metsla</v>
      </c>
      <c r="AK17" s="784">
        <f>IFERROR(INDEX(V!$R:$R,MATCH(AL17,V!$L:$L,0)),"")</f>
        <v>110</v>
      </c>
      <c r="AL17" s="783" t="str">
        <f t="shared" si="6"/>
        <v>Matti Vinni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</row>
    <row r="18" spans="1:43" hidden="1" x14ac:dyDescent="0.2">
      <c r="A18" s="760"/>
      <c r="B18" s="760"/>
      <c r="C18" s="760"/>
      <c r="D18" s="760"/>
      <c r="E18" s="760"/>
      <c r="F18" s="760"/>
      <c r="G18" s="760"/>
      <c r="H18" s="760"/>
      <c r="I18" s="760"/>
      <c r="J18" s="760"/>
      <c r="K18" s="760"/>
      <c r="L18" s="760"/>
      <c r="M18" s="760"/>
      <c r="N18" s="760"/>
      <c r="O18" s="760"/>
      <c r="P18" s="760"/>
      <c r="Q18" s="760"/>
      <c r="R18" s="760"/>
      <c r="S18" s="760"/>
      <c r="T18" s="760"/>
      <c r="U18" s="760"/>
      <c r="V18" s="760"/>
      <c r="W18" s="760"/>
      <c r="X18" s="760"/>
      <c r="Y18" s="760"/>
      <c r="Z18" s="760"/>
      <c r="AA18" s="760"/>
      <c r="AB18" s="760"/>
      <c r="AC18" s="760"/>
      <c r="AD18" s="760"/>
      <c r="AE18" s="760"/>
      <c r="AF18" s="760"/>
      <c r="AG18" s="760"/>
      <c r="AH18" s="764">
        <f t="shared" si="4"/>
        <v>0</v>
      </c>
      <c r="AI18" s="784" t="str">
        <f>IFERROR(INDEX(V!$R:$R,MATCH(AJ18,V!$L:$L,0)),"")</f>
        <v/>
      </c>
      <c r="AJ18" s="783" t="str">
        <f t="shared" si="5"/>
        <v/>
      </c>
      <c r="AK18" s="784" t="str">
        <f>IFERROR(INDEX(V!$R:$R,MATCH(AL18,V!$L:$L,0)),"")</f>
        <v/>
      </c>
      <c r="AL18" s="783" t="str">
        <f t="shared" si="6"/>
        <v/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</row>
    <row r="19" spans="1:43" hidden="1" x14ac:dyDescent="0.2">
      <c r="A19" s="760"/>
      <c r="B19" s="760"/>
      <c r="C19" s="760"/>
      <c r="D19" s="760"/>
      <c r="E19" s="760"/>
      <c r="F19" s="760"/>
      <c r="G19" s="760"/>
      <c r="H19" s="760"/>
      <c r="I19" s="760"/>
      <c r="J19" s="760"/>
      <c r="K19" s="760"/>
      <c r="L19" s="760"/>
      <c r="M19" s="760"/>
      <c r="N19" s="760"/>
      <c r="O19" s="760"/>
      <c r="P19" s="760"/>
      <c r="Q19" s="760"/>
      <c r="R19" s="760"/>
      <c r="S19" s="760"/>
      <c r="T19" s="760"/>
      <c r="U19" s="760"/>
      <c r="V19" s="760"/>
      <c r="W19" s="760"/>
      <c r="X19" s="760"/>
      <c r="Y19" s="760"/>
      <c r="Z19" s="760"/>
      <c r="AA19" s="760"/>
      <c r="AB19" s="760"/>
      <c r="AC19" s="760"/>
      <c r="AD19" s="760"/>
      <c r="AE19" s="760"/>
      <c r="AF19" s="760"/>
      <c r="AG19" s="760"/>
      <c r="AH19" s="764">
        <f t="shared" si="4"/>
        <v>0</v>
      </c>
      <c r="AI19" s="784" t="str">
        <f>IFERROR(INDEX(V!$R:$R,MATCH(AJ19,V!$L:$L,0)),"")</f>
        <v/>
      </c>
      <c r="AJ19" s="783" t="str">
        <f t="shared" si="5"/>
        <v/>
      </c>
      <c r="AK19" s="784" t="str">
        <f>IFERROR(INDEX(V!$R:$R,MATCH(AL19,V!$L:$L,0)),"")</f>
        <v/>
      </c>
      <c r="AL19" s="783" t="str">
        <f t="shared" si="6"/>
        <v/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</row>
    <row r="20" spans="1:43" hidden="1" x14ac:dyDescent="0.2">
      <c r="A20" s="760"/>
      <c r="B20" s="760"/>
      <c r="C20" s="760"/>
      <c r="D20" s="760"/>
      <c r="E20" s="760"/>
      <c r="F20" s="760"/>
      <c r="G20" s="760"/>
      <c r="H20" s="760"/>
      <c r="I20" s="760"/>
      <c r="J20" s="760"/>
      <c r="K20" s="760"/>
      <c r="L20" s="760"/>
      <c r="M20" s="760"/>
      <c r="N20" s="760"/>
      <c r="O20" s="760"/>
      <c r="P20" s="760"/>
      <c r="Q20" s="760"/>
      <c r="R20" s="760"/>
      <c r="S20" s="760"/>
      <c r="T20" s="760"/>
      <c r="U20" s="760"/>
      <c r="V20" s="760"/>
      <c r="W20" s="760"/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4">
        <f t="shared" si="4"/>
        <v>0</v>
      </c>
      <c r="AI20" s="784" t="str">
        <f>IFERROR(INDEX(V!$R:$R,MATCH(AJ20,V!$L:$L,0)),"")</f>
        <v/>
      </c>
      <c r="AJ20" s="783" t="str">
        <f t="shared" si="5"/>
        <v/>
      </c>
      <c r="AK20" s="784" t="str">
        <f>IFERROR(INDEX(V!$R:$R,MATCH(AL20,V!$L:$L,0)),"")</f>
        <v/>
      </c>
      <c r="AL20" s="783" t="str">
        <f t="shared" si="6"/>
        <v/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</row>
    <row r="21" spans="1:43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</row>
    <row r="22" spans="1:43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</row>
    <row r="23" spans="1:43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</row>
    <row r="24" spans="1:43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</row>
    <row r="25" spans="1:43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</row>
    <row r="26" spans="1:43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</row>
    <row r="27" spans="1:43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</row>
    <row r="28" spans="1:43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760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</row>
    <row r="29" spans="1:43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</row>
    <row r="30" spans="1:43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</row>
    <row r="31" spans="1:43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</row>
    <row r="32" spans="1:43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</row>
    <row r="33" spans="1:43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</row>
    <row r="34" spans="1:43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</row>
    <row r="35" spans="1:43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</row>
    <row r="36" spans="1:43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</row>
    <row r="37" spans="1:43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</row>
    <row r="38" spans="1:43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</row>
    <row r="39" spans="1:43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</row>
    <row r="40" spans="1:43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</row>
    <row r="41" spans="1:43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</row>
    <row r="42" spans="1:43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</row>
    <row r="43" spans="1:43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</row>
    <row r="44" spans="1:43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</row>
    <row r="45" spans="1:43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</row>
    <row r="46" spans="1:43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</row>
    <row r="47" spans="1:43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</row>
    <row r="48" spans="1:43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</row>
    <row r="49" spans="1:43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</row>
    <row r="50" spans="1:43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</row>
    <row r="51" spans="1:43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</row>
    <row r="52" spans="1:43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</row>
    <row r="53" spans="1:43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</row>
    <row r="54" spans="1:43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</row>
    <row r="55" spans="1:43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</row>
    <row r="56" spans="1:43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760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</row>
    <row r="57" spans="1:43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</row>
    <row r="58" spans="1:43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</row>
    <row r="59" spans="1:43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</row>
    <row r="60" spans="1:43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</row>
    <row r="61" spans="1:43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</row>
    <row r="62" spans="1:43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</row>
    <row r="63" spans="1:43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</row>
    <row r="64" spans="1:43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</row>
    <row r="65" spans="1:43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</row>
    <row r="66" spans="1:43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</row>
    <row r="67" spans="1:43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</row>
    <row r="68" spans="1:43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</row>
    <row r="69" spans="1:43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</row>
    <row r="70" spans="1:43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</row>
    <row r="71" spans="1:43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</row>
    <row r="72" spans="1:43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760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</row>
    <row r="73" spans="1:43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760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</row>
    <row r="74" spans="1:43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760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</row>
    <row r="75" spans="1:43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</row>
    <row r="76" spans="1:43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</row>
    <row r="77" spans="1:43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</row>
    <row r="78" spans="1:43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</row>
    <row r="79" spans="1:43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</row>
    <row r="80" spans="1:43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</row>
    <row r="81" spans="1:43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</row>
    <row r="82" spans="1:43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</row>
    <row r="83" spans="1:43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</row>
    <row r="84" spans="1:43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</row>
    <row r="85" spans="1:43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</row>
    <row r="86" spans="1:43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</row>
    <row r="87" spans="1:43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</row>
    <row r="88" spans="1:43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</row>
    <row r="89" spans="1:43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</row>
    <row r="90" spans="1:43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</row>
    <row r="91" spans="1:43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</row>
    <row r="92" spans="1:43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</row>
    <row r="93" spans="1:43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</row>
    <row r="94" spans="1:43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</row>
    <row r="95" spans="1:43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</row>
    <row r="96" spans="1:43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</row>
    <row r="97" spans="1:43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</row>
    <row r="98" spans="1:43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</row>
    <row r="99" spans="1:43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</row>
    <row r="100" spans="1:43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</row>
    <row r="101" spans="1:43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</row>
    <row r="102" spans="1:43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</row>
    <row r="103" spans="1:43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</row>
    <row r="104" spans="1:43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</row>
    <row r="105" spans="1:43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</row>
    <row r="106" spans="1:43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</row>
    <row r="107" spans="1:43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</row>
    <row r="108" spans="1:43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</row>
    <row r="109" spans="1:43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</row>
    <row r="110" spans="1:43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</row>
    <row r="111" spans="1:43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</row>
    <row r="112" spans="1:43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</row>
    <row r="113" spans="1:43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</row>
    <row r="114" spans="1:43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</row>
    <row r="115" spans="1:43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</row>
    <row r="116" spans="1:43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</row>
    <row r="117" spans="1:43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</row>
    <row r="118" spans="1:43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</row>
    <row r="119" spans="1:43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</row>
    <row r="120" spans="1:43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</row>
    <row r="121" spans="1:43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</row>
    <row r="122" spans="1:43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</row>
    <row r="123" spans="1:43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</row>
    <row r="124" spans="1:43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</row>
    <row r="125" spans="1:43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</row>
    <row r="126" spans="1:43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</row>
    <row r="127" spans="1:43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</row>
    <row r="128" spans="1:43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</row>
    <row r="129" spans="1:43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</row>
    <row r="130" spans="1:43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</row>
    <row r="131" spans="1:43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</row>
    <row r="132" spans="1:43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</row>
    <row r="133" spans="1:43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</row>
    <row r="134" spans="1:43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</row>
    <row r="135" spans="1:43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</row>
    <row r="136" spans="1:43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</row>
    <row r="137" spans="1:43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</row>
    <row r="138" spans="1:43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</row>
    <row r="139" spans="1:43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</row>
    <row r="140" spans="1:43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</row>
    <row r="141" spans="1:43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</row>
    <row r="142" spans="1:43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</row>
    <row r="143" spans="1:43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</row>
    <row r="144" spans="1:43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</row>
    <row r="145" spans="1:43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</row>
    <row r="146" spans="1:43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</row>
    <row r="147" spans="1:43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</row>
    <row r="148" spans="1:43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</row>
    <row r="149" spans="1:43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</row>
    <row r="150" spans="1:43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</row>
    <row r="151" spans="1:43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</row>
    <row r="152" spans="1:43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</row>
    <row r="153" spans="1:43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</row>
    <row r="154" spans="1:43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</row>
    <row r="155" spans="1:43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</row>
    <row r="156" spans="1:43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</row>
    <row r="157" spans="1:43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</row>
    <row r="158" spans="1:43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</row>
    <row r="159" spans="1:43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</row>
    <row r="160" spans="1:43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</row>
    <row r="161" spans="1:43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</row>
    <row r="162" spans="1:43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</row>
    <row r="163" spans="1:43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</row>
    <row r="164" spans="1:43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</row>
    <row r="165" spans="1:43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</row>
    <row r="166" spans="1:43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</row>
    <row r="167" spans="1:43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</row>
    <row r="168" spans="1:43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</row>
    <row r="169" spans="1:43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</row>
    <row r="170" spans="1:43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</row>
    <row r="171" spans="1:43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</row>
    <row r="172" spans="1:43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</row>
    <row r="173" spans="1:43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</row>
    <row r="174" spans="1:43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</row>
    <row r="175" spans="1:43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</row>
    <row r="176" spans="1:43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60"/>
      <c r="R176" s="760"/>
      <c r="S176" s="760"/>
      <c r="T176" s="760"/>
      <c r="U176" s="760"/>
      <c r="V176" s="760"/>
      <c r="W176" s="76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</row>
    <row r="177" spans="1:43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60"/>
      <c r="R177" s="760"/>
      <c r="S177" s="760"/>
      <c r="T177" s="760"/>
      <c r="U177" s="760"/>
      <c r="V177" s="760"/>
      <c r="W177" s="76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</row>
    <row r="178" spans="1:43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60"/>
      <c r="R178" s="760"/>
      <c r="S178" s="760"/>
      <c r="T178" s="760"/>
      <c r="U178" s="760"/>
      <c r="V178" s="760"/>
      <c r="W178" s="76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</row>
    <row r="179" spans="1:43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60"/>
      <c r="R179" s="760"/>
      <c r="S179" s="760"/>
      <c r="T179" s="760"/>
      <c r="U179" s="760"/>
      <c r="V179" s="760"/>
      <c r="W179" s="76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</row>
    <row r="180" spans="1:43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60"/>
      <c r="R180" s="760"/>
      <c r="S180" s="760"/>
      <c r="T180" s="760"/>
      <c r="U180" s="760"/>
      <c r="V180" s="760"/>
      <c r="W180" s="76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</row>
    <row r="181" spans="1:43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60"/>
      <c r="R181" s="760"/>
      <c r="S181" s="760"/>
      <c r="T181" s="760"/>
      <c r="U181" s="760"/>
      <c r="V181" s="760"/>
      <c r="W181" s="76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</row>
    <row r="182" spans="1:43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60"/>
      <c r="R182" s="760"/>
      <c r="S182" s="760"/>
      <c r="T182" s="760"/>
      <c r="U182" s="760"/>
      <c r="V182" s="760"/>
      <c r="W182" s="76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</row>
    <row r="183" spans="1:43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60"/>
      <c r="R183" s="760"/>
      <c r="S183" s="760"/>
      <c r="T183" s="760"/>
      <c r="U183" s="760"/>
      <c r="V183" s="760"/>
      <c r="W183" s="76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</row>
    <row r="184" spans="1:43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60"/>
      <c r="R184" s="760"/>
      <c r="S184" s="760"/>
      <c r="T184" s="760"/>
      <c r="U184" s="760"/>
      <c r="V184" s="760"/>
      <c r="W184" s="76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</row>
    <row r="185" spans="1:43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60"/>
      <c r="R185" s="760"/>
      <c r="S185" s="760"/>
      <c r="T185" s="760"/>
      <c r="U185" s="760"/>
      <c r="V185" s="760"/>
      <c r="W185" s="76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</row>
    <row r="186" spans="1:43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60"/>
      <c r="R186" s="760"/>
      <c r="S186" s="760"/>
      <c r="T186" s="760"/>
      <c r="U186" s="760"/>
      <c r="V186" s="760"/>
      <c r="W186" s="76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</row>
    <row r="187" spans="1:43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60"/>
      <c r="R187" s="760"/>
      <c r="S187" s="760"/>
      <c r="T187" s="760"/>
      <c r="U187" s="760"/>
      <c r="V187" s="760"/>
      <c r="W187" s="76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</row>
    <row r="188" spans="1:43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60"/>
      <c r="R188" s="760"/>
      <c r="S188" s="760"/>
      <c r="T188" s="760"/>
      <c r="U188" s="760"/>
      <c r="V188" s="760"/>
      <c r="W188" s="76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</row>
    <row r="189" spans="1:43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60"/>
      <c r="R189" s="760"/>
      <c r="S189" s="760"/>
      <c r="T189" s="760"/>
      <c r="U189" s="760"/>
      <c r="V189" s="760"/>
      <c r="W189" s="76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</row>
    <row r="190" spans="1:43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60"/>
      <c r="R190" s="760"/>
      <c r="S190" s="760"/>
      <c r="T190" s="760"/>
      <c r="U190" s="760"/>
      <c r="V190" s="760"/>
      <c r="W190" s="76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</row>
    <row r="191" spans="1:43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60"/>
      <c r="R191" s="760"/>
      <c r="S191" s="760"/>
      <c r="T191" s="760"/>
      <c r="U191" s="760"/>
      <c r="V191" s="760"/>
      <c r="W191" s="76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</row>
    <row r="192" spans="1:43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60"/>
      <c r="R192" s="760"/>
      <c r="S192" s="760"/>
      <c r="T192" s="760"/>
      <c r="U192" s="760"/>
      <c r="V192" s="760"/>
      <c r="W192" s="76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</row>
    <row r="193" spans="1:43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60"/>
      <c r="R193" s="760"/>
      <c r="S193" s="760"/>
      <c r="T193" s="760"/>
      <c r="U193" s="760"/>
      <c r="V193" s="760"/>
      <c r="W193" s="76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</row>
    <row r="194" spans="1:43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60"/>
      <c r="R194" s="760"/>
      <c r="S194" s="760"/>
      <c r="T194" s="760"/>
      <c r="U194" s="760"/>
      <c r="V194" s="760"/>
      <c r="W194" s="76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</row>
    <row r="195" spans="1:43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60"/>
      <c r="R195" s="760"/>
      <c r="S195" s="760"/>
      <c r="T195" s="760"/>
      <c r="U195" s="760"/>
      <c r="V195" s="760"/>
      <c r="W195" s="76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</row>
    <row r="196" spans="1:43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60"/>
      <c r="R196" s="760"/>
      <c r="S196" s="760"/>
      <c r="T196" s="760"/>
      <c r="U196" s="760"/>
      <c r="V196" s="760"/>
      <c r="W196" s="76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</row>
    <row r="197" spans="1:43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60"/>
      <c r="R197" s="760"/>
      <c r="S197" s="760"/>
      <c r="T197" s="760"/>
      <c r="U197" s="760"/>
      <c r="V197" s="760"/>
      <c r="W197" s="76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</row>
    <row r="198" spans="1:43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60"/>
      <c r="R198" s="760"/>
      <c r="S198" s="760"/>
      <c r="T198" s="760"/>
      <c r="U198" s="760"/>
      <c r="V198" s="760"/>
      <c r="W198" s="76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</row>
    <row r="199" spans="1:43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60"/>
      <c r="R199" s="760"/>
      <c r="S199" s="760"/>
      <c r="T199" s="760"/>
      <c r="U199" s="760"/>
      <c r="V199" s="760"/>
      <c r="W199" s="76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</row>
    <row r="200" spans="1:43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60"/>
      <c r="R200" s="760"/>
      <c r="S200" s="760"/>
      <c r="T200" s="760"/>
      <c r="U200" s="760"/>
      <c r="V200" s="760"/>
      <c r="W200" s="76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</row>
    <row r="201" spans="1:43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60"/>
      <c r="R201" s="760"/>
      <c r="S201" s="760"/>
      <c r="T201" s="760"/>
      <c r="U201" s="760"/>
      <c r="V201" s="760"/>
      <c r="W201" s="76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</row>
    <row r="202" spans="1:43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60"/>
      <c r="R202" s="760"/>
      <c r="S202" s="760"/>
      <c r="T202" s="760"/>
      <c r="U202" s="760"/>
      <c r="V202" s="760"/>
      <c r="W202" s="76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</row>
    <row r="203" spans="1:43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60"/>
      <c r="R203" s="760"/>
      <c r="S203" s="760"/>
      <c r="T203" s="760"/>
      <c r="U203" s="760"/>
      <c r="V203" s="760"/>
      <c r="W203" s="76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</row>
    <row r="204" spans="1:43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60"/>
      <c r="R204" s="760"/>
      <c r="S204" s="760"/>
      <c r="T204" s="760"/>
      <c r="U204" s="760"/>
      <c r="V204" s="760"/>
      <c r="W204" s="76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</row>
    <row r="205" spans="1:43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60"/>
      <c r="R205" s="760"/>
      <c r="S205" s="760"/>
      <c r="T205" s="760"/>
      <c r="U205" s="760"/>
      <c r="V205" s="760"/>
      <c r="W205" s="76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</row>
    <row r="206" spans="1:43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60"/>
      <c r="R206" s="760"/>
      <c r="S206" s="760"/>
      <c r="T206" s="760"/>
      <c r="U206" s="760"/>
      <c r="V206" s="760"/>
      <c r="W206" s="76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</row>
    <row r="207" spans="1:43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60"/>
      <c r="R207" s="760"/>
      <c r="S207" s="760"/>
      <c r="T207" s="760"/>
      <c r="U207" s="760"/>
      <c r="V207" s="760"/>
      <c r="W207" s="76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</row>
    <row r="208" spans="1:43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60"/>
      <c r="R208" s="760"/>
      <c r="S208" s="760"/>
      <c r="T208" s="760"/>
      <c r="U208" s="760"/>
      <c r="V208" s="760"/>
      <c r="W208" s="76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</row>
    <row r="209" spans="1:43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60"/>
      <c r="R209" s="760"/>
      <c r="S209" s="760"/>
      <c r="T209" s="760"/>
      <c r="U209" s="760"/>
      <c r="V209" s="760"/>
      <c r="W209" s="76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</row>
    <row r="210" spans="1:43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60"/>
      <c r="R210" s="760"/>
      <c r="S210" s="760"/>
      <c r="T210" s="760"/>
      <c r="U210" s="760"/>
      <c r="V210" s="760"/>
      <c r="W210" s="76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</row>
    <row r="211" spans="1:43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60"/>
      <c r="R211" s="760"/>
      <c r="S211" s="760"/>
      <c r="T211" s="760"/>
      <c r="U211" s="760"/>
      <c r="V211" s="760"/>
      <c r="W211" s="76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</row>
    <row r="212" spans="1:43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60"/>
      <c r="R212" s="760"/>
      <c r="S212" s="760"/>
      <c r="T212" s="760"/>
      <c r="U212" s="760"/>
      <c r="V212" s="760"/>
      <c r="W212" s="76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</row>
    <row r="213" spans="1:43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60"/>
      <c r="R213" s="760"/>
      <c r="S213" s="760"/>
      <c r="T213" s="760"/>
      <c r="U213" s="760"/>
      <c r="V213" s="760"/>
      <c r="W213" s="76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</row>
    <row r="214" spans="1:43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60"/>
      <c r="R214" s="760"/>
      <c r="S214" s="760"/>
      <c r="T214" s="760"/>
      <c r="U214" s="760"/>
      <c r="V214" s="760"/>
      <c r="W214" s="76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</row>
    <row r="215" spans="1:43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60"/>
      <c r="R215" s="760"/>
      <c r="S215" s="760"/>
      <c r="T215" s="760"/>
      <c r="U215" s="760"/>
      <c r="V215" s="760"/>
      <c r="W215" s="76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</row>
    <row r="216" spans="1:43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60"/>
      <c r="R216" s="760"/>
      <c r="S216" s="760"/>
      <c r="T216" s="760"/>
      <c r="U216" s="760"/>
      <c r="V216" s="760"/>
      <c r="W216" s="76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</row>
    <row r="217" spans="1:43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60"/>
      <c r="R217" s="760"/>
      <c r="S217" s="760"/>
      <c r="T217" s="760"/>
      <c r="U217" s="760"/>
      <c r="V217" s="760"/>
      <c r="W217" s="76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</row>
    <row r="218" spans="1:43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60"/>
      <c r="R218" s="760"/>
      <c r="S218" s="760"/>
      <c r="T218" s="760"/>
      <c r="U218" s="760"/>
      <c r="V218" s="760"/>
      <c r="W218" s="76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</row>
    <row r="219" spans="1:43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60"/>
      <c r="R219" s="760"/>
      <c r="S219" s="760"/>
      <c r="T219" s="760"/>
      <c r="U219" s="760"/>
      <c r="V219" s="760"/>
      <c r="W219" s="76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</row>
    <row r="220" spans="1:43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60"/>
      <c r="R220" s="760"/>
      <c r="S220" s="760"/>
      <c r="T220" s="760"/>
      <c r="U220" s="760"/>
      <c r="V220" s="760"/>
      <c r="W220" s="76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</row>
    <row r="221" spans="1:43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60"/>
      <c r="R221" s="760"/>
      <c r="S221" s="760"/>
      <c r="T221" s="760"/>
      <c r="U221" s="760"/>
      <c r="V221" s="760"/>
      <c r="W221" s="76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</row>
    <row r="222" spans="1:43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60"/>
      <c r="R222" s="760"/>
      <c r="S222" s="760"/>
      <c r="T222" s="760"/>
      <c r="U222" s="760"/>
      <c r="V222" s="760"/>
      <c r="W222" s="76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</row>
    <row r="223" spans="1:43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60"/>
      <c r="R223" s="760"/>
      <c r="S223" s="760"/>
      <c r="T223" s="760"/>
      <c r="U223" s="760"/>
      <c r="V223" s="760"/>
      <c r="W223" s="76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</row>
    <row r="224" spans="1:43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60"/>
      <c r="R224" s="760"/>
      <c r="S224" s="760"/>
      <c r="T224" s="760"/>
      <c r="U224" s="760"/>
      <c r="V224" s="760"/>
      <c r="W224" s="76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</row>
    <row r="225" spans="1:43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60"/>
      <c r="R225" s="760"/>
      <c r="S225" s="760"/>
      <c r="T225" s="760"/>
      <c r="U225" s="760"/>
      <c r="V225" s="760"/>
      <c r="W225" s="76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</row>
    <row r="226" spans="1:43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60"/>
      <c r="R226" s="760"/>
      <c r="S226" s="760"/>
      <c r="T226" s="760"/>
      <c r="U226" s="760"/>
      <c r="V226" s="760"/>
      <c r="W226" s="76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</row>
    <row r="227" spans="1:43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60"/>
      <c r="R227" s="760"/>
      <c r="S227" s="760"/>
      <c r="T227" s="760"/>
      <c r="U227" s="760"/>
      <c r="V227" s="760"/>
      <c r="W227" s="76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</row>
    <row r="228" spans="1:43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60"/>
      <c r="R228" s="760"/>
      <c r="S228" s="760"/>
      <c r="T228" s="760"/>
      <c r="U228" s="760"/>
      <c r="V228" s="760"/>
      <c r="W228" s="76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</row>
    <row r="229" spans="1:43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60"/>
      <c r="R229" s="760"/>
      <c r="S229" s="760"/>
      <c r="T229" s="760"/>
      <c r="U229" s="760"/>
      <c r="V229" s="760"/>
      <c r="W229" s="76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</row>
    <row r="230" spans="1:43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60"/>
      <c r="R230" s="760"/>
      <c r="S230" s="760"/>
      <c r="T230" s="760"/>
      <c r="U230" s="760"/>
      <c r="V230" s="760"/>
      <c r="W230" s="76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</row>
    <row r="231" spans="1:43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60"/>
      <c r="R231" s="760"/>
      <c r="S231" s="760"/>
      <c r="T231" s="760"/>
      <c r="U231" s="760"/>
      <c r="V231" s="760"/>
      <c r="W231" s="76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</row>
    <row r="232" spans="1:43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60"/>
      <c r="R232" s="760"/>
      <c r="S232" s="760"/>
      <c r="T232" s="760"/>
      <c r="U232" s="760"/>
      <c r="V232" s="760"/>
      <c r="W232" s="76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</row>
    <row r="233" spans="1:43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60"/>
      <c r="R233" s="760"/>
      <c r="S233" s="760"/>
      <c r="T233" s="760"/>
      <c r="U233" s="760"/>
      <c r="V233" s="760"/>
      <c r="W233" s="76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</row>
    <row r="234" spans="1:43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60"/>
      <c r="R234" s="760"/>
      <c r="S234" s="760"/>
      <c r="T234" s="760"/>
      <c r="U234" s="760"/>
      <c r="V234" s="760"/>
      <c r="W234" s="76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</row>
    <row r="235" spans="1:43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60"/>
      <c r="R235" s="760"/>
      <c r="S235" s="760"/>
      <c r="T235" s="760"/>
      <c r="U235" s="760"/>
      <c r="V235" s="760"/>
      <c r="W235" s="76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</row>
    <row r="236" spans="1:43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60"/>
      <c r="R236" s="760"/>
      <c r="S236" s="760"/>
      <c r="T236" s="760"/>
      <c r="U236" s="760"/>
      <c r="V236" s="760"/>
      <c r="W236" s="76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</row>
    <row r="237" spans="1:43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60"/>
      <c r="R237" s="760"/>
      <c r="S237" s="760"/>
      <c r="T237" s="760"/>
      <c r="U237" s="760"/>
      <c r="V237" s="760"/>
      <c r="W237" s="76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</row>
    <row r="238" spans="1:43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60"/>
      <c r="R238" s="760"/>
      <c r="S238" s="760"/>
      <c r="T238" s="760"/>
      <c r="U238" s="760"/>
      <c r="V238" s="760"/>
      <c r="W238" s="76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</row>
    <row r="239" spans="1:43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60"/>
      <c r="R239" s="760"/>
      <c r="S239" s="760"/>
      <c r="T239" s="760"/>
      <c r="U239" s="760"/>
      <c r="V239" s="760"/>
      <c r="W239" s="76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</row>
    <row r="240" spans="1:43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60"/>
      <c r="R240" s="760"/>
      <c r="S240" s="760"/>
      <c r="T240" s="760"/>
      <c r="U240" s="760"/>
      <c r="V240" s="760"/>
      <c r="W240" s="76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</row>
    <row r="241" spans="1:43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60"/>
      <c r="R241" s="760"/>
      <c r="S241" s="760"/>
      <c r="T241" s="760"/>
      <c r="U241" s="760"/>
      <c r="V241" s="760"/>
      <c r="W241" s="76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</row>
    <row r="242" spans="1:43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60"/>
      <c r="R242" s="760"/>
      <c r="S242" s="760"/>
      <c r="T242" s="760"/>
      <c r="U242" s="760"/>
      <c r="V242" s="760"/>
      <c r="W242" s="76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</row>
    <row r="243" spans="1:43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60"/>
      <c r="R243" s="760"/>
      <c r="S243" s="760"/>
      <c r="T243" s="760"/>
      <c r="U243" s="760"/>
      <c r="V243" s="760"/>
      <c r="W243" s="76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</row>
    <row r="244" spans="1:43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60"/>
      <c r="R244" s="760"/>
      <c r="S244" s="760"/>
      <c r="T244" s="760"/>
      <c r="U244" s="760"/>
      <c r="V244" s="760"/>
      <c r="W244" s="76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</row>
    <row r="245" spans="1:43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60"/>
      <c r="R245" s="760"/>
      <c r="S245" s="760"/>
      <c r="T245" s="760"/>
      <c r="U245" s="760"/>
      <c r="V245" s="760"/>
      <c r="W245" s="76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</row>
    <row r="246" spans="1:43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60"/>
      <c r="R246" s="760"/>
      <c r="S246" s="760"/>
      <c r="T246" s="760"/>
      <c r="U246" s="760"/>
      <c r="V246" s="760"/>
      <c r="W246" s="76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</row>
    <row r="247" spans="1:43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60"/>
      <c r="R247" s="760"/>
      <c r="S247" s="760"/>
      <c r="T247" s="760"/>
      <c r="U247" s="760"/>
      <c r="V247" s="760"/>
      <c r="W247" s="76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</row>
    <row r="248" spans="1:43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60"/>
      <c r="R248" s="760"/>
      <c r="S248" s="760"/>
      <c r="T248" s="760"/>
      <c r="U248" s="760"/>
      <c r="V248" s="760"/>
      <c r="W248" s="76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</row>
    <row r="249" spans="1:43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60"/>
      <c r="R249" s="760"/>
      <c r="S249" s="760"/>
      <c r="T249" s="760"/>
      <c r="U249" s="760"/>
      <c r="V249" s="760"/>
      <c r="W249" s="76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</row>
    <row r="250" spans="1:43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60"/>
      <c r="R250" s="760"/>
      <c r="S250" s="760"/>
      <c r="T250" s="760"/>
      <c r="U250" s="760"/>
      <c r="V250" s="760"/>
      <c r="W250" s="76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</row>
    <row r="251" spans="1:43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60"/>
      <c r="R251" s="760"/>
      <c r="S251" s="760"/>
      <c r="T251" s="760"/>
      <c r="U251" s="760"/>
      <c r="V251" s="760"/>
      <c r="W251" s="76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</row>
    <row r="252" spans="1:43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60"/>
      <c r="R252" s="760"/>
      <c r="S252" s="760"/>
      <c r="T252" s="760"/>
      <c r="U252" s="760"/>
      <c r="V252" s="760"/>
      <c r="W252" s="76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</row>
    <row r="253" spans="1:43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60"/>
      <c r="R253" s="760"/>
      <c r="S253" s="760"/>
      <c r="T253" s="760"/>
      <c r="U253" s="760"/>
      <c r="V253" s="760"/>
      <c r="W253" s="76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</row>
    <row r="254" spans="1:43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60"/>
      <c r="R254" s="760"/>
      <c r="S254" s="760"/>
      <c r="T254" s="760"/>
      <c r="U254" s="760"/>
      <c r="V254" s="760"/>
      <c r="W254" s="76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</row>
    <row r="255" spans="1:43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60"/>
      <c r="R255" s="760"/>
      <c r="S255" s="760"/>
      <c r="T255" s="760"/>
      <c r="U255" s="760"/>
      <c r="V255" s="760"/>
      <c r="W255" s="76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</row>
    <row r="256" spans="1:43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60"/>
      <c r="R256" s="760"/>
      <c r="S256" s="760"/>
      <c r="T256" s="760"/>
      <c r="U256" s="760"/>
      <c r="V256" s="760"/>
      <c r="W256" s="76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</row>
    <row r="257" spans="1:43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60"/>
      <c r="R257" s="760"/>
      <c r="S257" s="760"/>
      <c r="T257" s="760"/>
      <c r="U257" s="760"/>
      <c r="V257" s="760"/>
      <c r="W257" s="76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</row>
    <row r="258" spans="1:43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60"/>
      <c r="R258" s="760"/>
      <c r="S258" s="760"/>
      <c r="T258" s="760"/>
      <c r="U258" s="760"/>
      <c r="V258" s="760"/>
      <c r="W258" s="76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</row>
    <row r="259" spans="1:43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60"/>
      <c r="R259" s="760"/>
      <c r="S259" s="760"/>
      <c r="T259" s="760"/>
      <c r="U259" s="760"/>
      <c r="V259" s="760"/>
      <c r="W259" s="76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</row>
    <row r="260" spans="1:43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60"/>
      <c r="R260" s="760"/>
      <c r="S260" s="760"/>
      <c r="T260" s="760"/>
      <c r="U260" s="760"/>
      <c r="V260" s="760"/>
      <c r="W260" s="76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</row>
    <row r="261" spans="1:43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60"/>
      <c r="R261" s="760"/>
      <c r="S261" s="760"/>
      <c r="T261" s="760"/>
      <c r="U261" s="760"/>
      <c r="V261" s="760"/>
      <c r="W261" s="76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</row>
    <row r="262" spans="1:43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60"/>
      <c r="R262" s="760"/>
      <c r="S262" s="760"/>
      <c r="T262" s="760"/>
      <c r="U262" s="760"/>
      <c r="V262" s="760"/>
      <c r="W262" s="76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</row>
    <row r="263" spans="1:43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60"/>
      <c r="R263" s="760"/>
      <c r="S263" s="760"/>
      <c r="T263" s="760"/>
      <c r="U263" s="760"/>
      <c r="V263" s="760"/>
      <c r="W263" s="76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</row>
    <row r="264" spans="1:43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60"/>
      <c r="R264" s="760"/>
      <c r="S264" s="760"/>
      <c r="T264" s="760"/>
      <c r="U264" s="760"/>
      <c r="V264" s="760"/>
      <c r="W264" s="76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</row>
    <row r="265" spans="1:43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60"/>
      <c r="R265" s="760"/>
      <c r="S265" s="760"/>
      <c r="T265" s="760"/>
      <c r="U265" s="760"/>
      <c r="V265" s="760"/>
      <c r="W265" s="76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</row>
    <row r="266" spans="1:43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60"/>
      <c r="R266" s="760"/>
      <c r="S266" s="760"/>
      <c r="T266" s="760"/>
      <c r="U266" s="760"/>
      <c r="V266" s="760"/>
      <c r="W266" s="76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</row>
    <row r="267" spans="1:43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60"/>
      <c r="R267" s="760"/>
      <c r="S267" s="760"/>
      <c r="T267" s="760"/>
      <c r="U267" s="760"/>
      <c r="V267" s="760"/>
      <c r="W267" s="76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</row>
    <row r="268" spans="1:43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60"/>
      <c r="R268" s="760"/>
      <c r="S268" s="760"/>
      <c r="T268" s="760"/>
      <c r="U268" s="760"/>
      <c r="V268" s="760"/>
      <c r="W268" s="76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</row>
    <row r="269" spans="1:43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60"/>
      <c r="R269" s="760"/>
      <c r="S269" s="760"/>
      <c r="T269" s="760"/>
      <c r="U269" s="760"/>
      <c r="V269" s="760"/>
      <c r="W269" s="76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</row>
    <row r="270" spans="1:43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60"/>
      <c r="R270" s="760"/>
      <c r="S270" s="760"/>
      <c r="T270" s="760"/>
      <c r="U270" s="760"/>
      <c r="V270" s="760"/>
      <c r="W270" s="76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</row>
    <row r="271" spans="1:43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60"/>
      <c r="R271" s="760"/>
      <c r="S271" s="760"/>
      <c r="T271" s="760"/>
      <c r="U271" s="760"/>
      <c r="V271" s="760"/>
      <c r="W271" s="76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</row>
    <row r="272" spans="1:43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60"/>
      <c r="R272" s="760"/>
      <c r="S272" s="760"/>
      <c r="T272" s="760"/>
      <c r="U272" s="760"/>
      <c r="V272" s="760"/>
      <c r="W272" s="76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</row>
    <row r="273" spans="1:43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60"/>
      <c r="R273" s="760"/>
      <c r="S273" s="760"/>
      <c r="T273" s="760"/>
      <c r="U273" s="760"/>
      <c r="V273" s="760"/>
      <c r="W273" s="76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</row>
    <row r="274" spans="1:43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60"/>
      <c r="R274" s="760"/>
      <c r="S274" s="760"/>
      <c r="T274" s="760"/>
      <c r="U274" s="760"/>
      <c r="V274" s="760"/>
      <c r="W274" s="76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</row>
    <row r="275" spans="1:43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60"/>
      <c r="R275" s="760"/>
      <c r="S275" s="760"/>
      <c r="T275" s="760"/>
      <c r="U275" s="760"/>
      <c r="V275" s="760"/>
      <c r="W275" s="76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</row>
    <row r="276" spans="1:43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60"/>
      <c r="R276" s="760"/>
      <c r="S276" s="760"/>
      <c r="T276" s="760"/>
      <c r="U276" s="760"/>
      <c r="V276" s="760"/>
      <c r="W276" s="76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</row>
    <row r="277" spans="1:43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60"/>
      <c r="R277" s="760"/>
      <c r="S277" s="760"/>
      <c r="T277" s="760"/>
      <c r="U277" s="760"/>
      <c r="V277" s="760"/>
      <c r="W277" s="76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</row>
    <row r="278" spans="1:43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60"/>
      <c r="R278" s="760"/>
      <c r="S278" s="760"/>
      <c r="T278" s="760"/>
      <c r="U278" s="760"/>
      <c r="V278" s="760"/>
      <c r="W278" s="76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</row>
    <row r="279" spans="1:43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60"/>
      <c r="R279" s="760"/>
      <c r="S279" s="760"/>
      <c r="T279" s="760"/>
      <c r="U279" s="760"/>
      <c r="V279" s="760"/>
      <c r="W279" s="76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</row>
    <row r="280" spans="1:43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60"/>
      <c r="R280" s="760"/>
      <c r="S280" s="760"/>
      <c r="T280" s="760"/>
      <c r="U280" s="760"/>
      <c r="V280" s="760"/>
      <c r="W280" s="76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</row>
    <row r="281" spans="1:43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60"/>
      <c r="R281" s="760"/>
      <c r="S281" s="760"/>
      <c r="T281" s="760"/>
      <c r="U281" s="760"/>
      <c r="V281" s="760"/>
      <c r="W281" s="76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</row>
    <row r="282" spans="1:43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60"/>
      <c r="R282" s="760"/>
      <c r="S282" s="760"/>
      <c r="T282" s="760"/>
      <c r="U282" s="760"/>
      <c r="V282" s="760"/>
      <c r="W282" s="76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</row>
    <row r="283" spans="1:43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60"/>
      <c r="R283" s="760"/>
      <c r="S283" s="760"/>
      <c r="T283" s="760"/>
      <c r="U283" s="760"/>
      <c r="V283" s="760"/>
      <c r="W283" s="76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</row>
    <row r="284" spans="1:43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60"/>
      <c r="R284" s="760"/>
      <c r="S284" s="760"/>
      <c r="T284" s="760"/>
      <c r="U284" s="760"/>
      <c r="V284" s="760"/>
      <c r="W284" s="76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</row>
    <row r="285" spans="1:43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60"/>
      <c r="R285" s="760"/>
      <c r="S285" s="760"/>
      <c r="T285" s="760"/>
      <c r="U285" s="760"/>
      <c r="V285" s="760"/>
      <c r="W285" s="76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</row>
    <row r="286" spans="1:43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60"/>
      <c r="R286" s="760"/>
      <c r="S286" s="760"/>
      <c r="T286" s="760"/>
      <c r="U286" s="760"/>
      <c r="V286" s="760"/>
      <c r="W286" s="76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</row>
    <row r="287" spans="1:43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60"/>
      <c r="R287" s="760"/>
      <c r="S287" s="760"/>
      <c r="T287" s="760"/>
      <c r="U287" s="760"/>
      <c r="V287" s="760"/>
      <c r="W287" s="76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</row>
    <row r="288" spans="1:43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60"/>
      <c r="R288" s="760"/>
      <c r="S288" s="760"/>
      <c r="T288" s="760"/>
      <c r="U288" s="760"/>
      <c r="V288" s="760"/>
      <c r="W288" s="76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</row>
    <row r="289" spans="1:43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60"/>
      <c r="R289" s="760"/>
      <c r="S289" s="760"/>
      <c r="T289" s="760"/>
      <c r="U289" s="760"/>
      <c r="V289" s="760"/>
      <c r="W289" s="76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</row>
    <row r="290" spans="1:43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60"/>
      <c r="R290" s="760"/>
      <c r="S290" s="760"/>
      <c r="T290" s="760"/>
      <c r="U290" s="760"/>
      <c r="V290" s="760"/>
      <c r="W290" s="76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</row>
    <row r="291" spans="1:43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60"/>
      <c r="R291" s="760"/>
      <c r="S291" s="760"/>
      <c r="T291" s="760"/>
      <c r="U291" s="760"/>
      <c r="V291" s="760"/>
      <c r="W291" s="76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</row>
    <row r="292" spans="1:43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60"/>
      <c r="R292" s="760"/>
      <c r="S292" s="760"/>
      <c r="T292" s="760"/>
      <c r="U292" s="760"/>
      <c r="V292" s="760"/>
      <c r="W292" s="76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</row>
    <row r="293" spans="1:43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60"/>
      <c r="R293" s="760"/>
      <c r="S293" s="760"/>
      <c r="T293" s="760"/>
      <c r="U293" s="760"/>
      <c r="V293" s="760"/>
      <c r="W293" s="76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</row>
    <row r="294" spans="1:43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60"/>
      <c r="R294" s="760"/>
      <c r="S294" s="760"/>
      <c r="T294" s="760"/>
      <c r="U294" s="760"/>
      <c r="V294" s="760"/>
      <c r="W294" s="76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</row>
    <row r="295" spans="1:43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60"/>
      <c r="R295" s="760"/>
      <c r="S295" s="760"/>
      <c r="T295" s="760"/>
      <c r="U295" s="760"/>
      <c r="V295" s="760"/>
      <c r="W295" s="76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</row>
    <row r="296" spans="1:43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60"/>
      <c r="R296" s="760"/>
      <c r="S296" s="760"/>
      <c r="T296" s="760"/>
      <c r="U296" s="760"/>
      <c r="V296" s="760"/>
      <c r="W296" s="76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</row>
    <row r="297" spans="1:43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60"/>
      <c r="R297" s="760"/>
      <c r="S297" s="760"/>
      <c r="T297" s="760"/>
      <c r="U297" s="760"/>
      <c r="V297" s="760"/>
      <c r="W297" s="76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</row>
    <row r="298" spans="1:43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60"/>
      <c r="R298" s="760"/>
      <c r="S298" s="760"/>
      <c r="T298" s="760"/>
      <c r="U298" s="760"/>
      <c r="V298" s="760"/>
      <c r="W298" s="76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</row>
    <row r="299" spans="1:43" x14ac:dyDescent="0.2">
      <c r="A299" s="760"/>
      <c r="B299" s="760"/>
      <c r="C299" s="912" t="s">
        <v>232</v>
      </c>
      <c r="D299" s="814"/>
      <c r="E299" s="814"/>
      <c r="F299" s="919"/>
      <c r="G299" s="760"/>
      <c r="H299" s="760"/>
      <c r="I299" s="760"/>
      <c r="J299" s="760"/>
      <c r="K299" s="760"/>
      <c r="L299" s="880"/>
      <c r="M299" s="880"/>
      <c r="N299" s="880"/>
      <c r="O299" s="760"/>
      <c r="P299" s="760"/>
      <c r="Q299" s="760"/>
      <c r="R299" s="760"/>
      <c r="S299" s="760"/>
      <c r="T299" s="880"/>
      <c r="U299" s="880"/>
      <c r="V299" s="88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</row>
    <row r="300" spans="1:43" x14ac:dyDescent="0.2">
      <c r="A300" s="815">
        <v>1</v>
      </c>
      <c r="B300" s="816" t="str">
        <f>IFERROR(INDEX(B$1:B$100,MATCH(A300,A$1:A$100,0)),"")</f>
        <v>Aigi Orro, Svetlana Veski</v>
      </c>
      <c r="C300" s="755">
        <f>IF(16-A300&gt;0,16-A300,1)</f>
        <v>15</v>
      </c>
      <c r="D300" s="755"/>
      <c r="E300" s="755"/>
      <c r="F300" s="920"/>
      <c r="G300" s="760"/>
      <c r="H300" s="760"/>
      <c r="I300" s="760"/>
      <c r="J300" s="921"/>
      <c r="K300" s="880"/>
      <c r="L300" s="880"/>
      <c r="M300" s="880"/>
      <c r="N300" s="880"/>
      <c r="O300" s="880"/>
      <c r="P300" s="880"/>
      <c r="Q300" s="880"/>
      <c r="R300" s="880"/>
      <c r="S300" s="880"/>
      <c r="T300" s="880"/>
      <c r="U300" s="880"/>
      <c r="V300" s="88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</row>
    <row r="301" spans="1:43" x14ac:dyDescent="0.2">
      <c r="A301" s="815">
        <v>2</v>
      </c>
      <c r="B301" s="816" t="str">
        <f t="shared" ref="B301:B307" si="9">IFERROR(INDEX(B$1:B$100,MATCH(A301,A$1:A$100,0)),"")</f>
        <v>Jaan Sepp, Oskar Sepp</v>
      </c>
      <c r="C301" s="755">
        <f t="shared" ref="C301:C307" si="10">IF(16-A301&gt;0,16-A301,1)</f>
        <v>14</v>
      </c>
      <c r="D301" s="817"/>
      <c r="E301" s="817"/>
      <c r="F301" s="920"/>
      <c r="G301" s="760"/>
      <c r="H301" s="760"/>
      <c r="I301" s="760"/>
      <c r="J301" s="921"/>
      <c r="K301" s="880"/>
      <c r="L301" s="880"/>
      <c r="M301" s="921"/>
      <c r="N301" s="880"/>
      <c r="O301" s="880"/>
      <c r="P301" s="880"/>
      <c r="Q301" s="880"/>
      <c r="R301" s="880"/>
      <c r="S301" s="880"/>
      <c r="T301" s="880"/>
      <c r="U301" s="880"/>
      <c r="V301" s="880"/>
      <c r="W301" s="88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</row>
    <row r="302" spans="1:43" x14ac:dyDescent="0.2">
      <c r="A302" s="815">
        <v>3</v>
      </c>
      <c r="B302" s="816" t="str">
        <f t="shared" si="9"/>
        <v>Karla Purgats, Kenneth Muusikus</v>
      </c>
      <c r="C302" s="755">
        <f t="shared" si="10"/>
        <v>13</v>
      </c>
      <c r="D302" s="817"/>
      <c r="E302" s="817"/>
      <c r="F302" s="920"/>
      <c r="G302" s="760"/>
      <c r="H302" s="760"/>
      <c r="I302" s="760"/>
      <c r="J302" s="921"/>
      <c r="K302" s="880"/>
      <c r="L302" s="880"/>
      <c r="M302" s="880"/>
      <c r="N302" s="880"/>
      <c r="O302" s="880"/>
      <c r="P302" s="880"/>
      <c r="Q302" s="880"/>
      <c r="R302" s="880"/>
      <c r="S302" s="880"/>
      <c r="T302" s="880"/>
      <c r="U302" s="880"/>
      <c r="V302" s="88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</row>
    <row r="303" spans="1:43" x14ac:dyDescent="0.2">
      <c r="A303" s="815">
        <v>4</v>
      </c>
      <c r="B303" s="816" t="str">
        <f t="shared" si="9"/>
        <v>Meelis Luud, Vladimir Ogneštšikov</v>
      </c>
      <c r="C303" s="755">
        <v>11.5</v>
      </c>
      <c r="D303" s="817"/>
      <c r="E303" s="817"/>
      <c r="F303" s="920"/>
      <c r="G303" s="760"/>
      <c r="H303" s="760"/>
      <c r="I303" s="760"/>
      <c r="J303" s="921"/>
      <c r="K303" s="880"/>
      <c r="L303" s="880"/>
      <c r="M303" s="880"/>
      <c r="N303" s="880"/>
      <c r="O303" s="880"/>
      <c r="P303" s="880"/>
      <c r="Q303" s="880"/>
      <c r="R303" s="880"/>
      <c r="S303" s="880"/>
      <c r="T303" s="880"/>
      <c r="U303" s="880"/>
      <c r="V303" s="88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</row>
    <row r="304" spans="1:43" x14ac:dyDescent="0.2">
      <c r="A304" s="815">
        <v>4</v>
      </c>
      <c r="B304" s="816" t="str">
        <f>B12</f>
        <v>Illar Tõnurist, Jaan Saar</v>
      </c>
      <c r="C304" s="755">
        <v>11.5</v>
      </c>
      <c r="D304" s="817"/>
      <c r="E304" s="817"/>
      <c r="F304" s="920"/>
      <c r="G304" s="760"/>
      <c r="H304" s="760"/>
      <c r="I304" s="760"/>
      <c r="J304" s="921"/>
      <c r="K304" s="880"/>
      <c r="L304" s="880"/>
      <c r="M304" s="880"/>
      <c r="N304" s="880"/>
      <c r="O304" s="880"/>
      <c r="P304" s="880"/>
      <c r="Q304" s="880"/>
      <c r="R304" s="880"/>
      <c r="S304" s="880"/>
      <c r="T304" s="880"/>
      <c r="U304" s="880"/>
      <c r="V304" s="88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</row>
    <row r="305" spans="1:43" x14ac:dyDescent="0.2">
      <c r="A305" s="815">
        <v>6</v>
      </c>
      <c r="B305" s="816" t="str">
        <f t="shared" si="9"/>
        <v>Elmo Lageda, Tõnu Piik</v>
      </c>
      <c r="C305" s="755">
        <f t="shared" si="10"/>
        <v>10</v>
      </c>
      <c r="D305" s="817"/>
      <c r="E305" s="817"/>
      <c r="F305" s="920"/>
      <c r="G305" s="760"/>
      <c r="H305" s="760"/>
      <c r="I305" s="760"/>
      <c r="J305" s="921"/>
      <c r="K305" s="880"/>
      <c r="L305" s="880"/>
      <c r="M305" s="921"/>
      <c r="N305" s="880"/>
      <c r="O305" s="880"/>
      <c r="P305" s="880"/>
      <c r="Q305" s="880"/>
      <c r="R305" s="880"/>
      <c r="S305" s="880"/>
      <c r="T305" s="880"/>
      <c r="U305" s="880"/>
      <c r="V305" s="88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</row>
    <row r="306" spans="1:43" x14ac:dyDescent="0.2">
      <c r="A306" s="815">
        <v>7</v>
      </c>
      <c r="B306" s="816" t="str">
        <f t="shared" si="9"/>
        <v>Eve Müüdla, Johannes Neiland</v>
      </c>
      <c r="C306" s="755">
        <f t="shared" si="10"/>
        <v>9</v>
      </c>
      <c r="D306" s="817"/>
      <c r="E306" s="817"/>
      <c r="F306" s="920"/>
      <c r="G306" s="760"/>
      <c r="H306" s="760"/>
      <c r="I306" s="760"/>
      <c r="J306" s="921"/>
      <c r="K306" s="880"/>
      <c r="L306" s="880"/>
      <c r="M306" s="880"/>
      <c r="N306" s="880"/>
      <c r="O306" s="880"/>
      <c r="P306" s="880"/>
      <c r="Q306" s="880"/>
      <c r="R306" s="880"/>
      <c r="S306" s="880"/>
      <c r="T306" s="880"/>
      <c r="U306" s="880"/>
      <c r="V306" s="880"/>
      <c r="W306" s="88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</row>
    <row r="307" spans="1:43" x14ac:dyDescent="0.2">
      <c r="A307" s="815">
        <v>8</v>
      </c>
      <c r="B307" s="816" t="str">
        <f t="shared" si="9"/>
        <v>Oleg Rõndenkov, Peep Peenema</v>
      </c>
      <c r="C307" s="755">
        <f t="shared" si="10"/>
        <v>8</v>
      </c>
      <c r="D307" s="817"/>
      <c r="E307" s="817"/>
      <c r="F307" s="920"/>
      <c r="G307" s="760"/>
      <c r="H307" s="760"/>
      <c r="I307" s="760"/>
      <c r="J307" s="921"/>
      <c r="K307" s="880"/>
      <c r="L307" s="880"/>
      <c r="M307" s="880"/>
      <c r="N307" s="880"/>
      <c r="O307" s="880"/>
      <c r="P307" s="880"/>
      <c r="Q307" s="880"/>
      <c r="R307" s="880"/>
      <c r="S307" s="880"/>
      <c r="T307" s="880"/>
      <c r="U307" s="880"/>
      <c r="V307" s="88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</row>
    <row r="308" spans="1:43" x14ac:dyDescent="0.2">
      <c r="A308" s="815">
        <v>9</v>
      </c>
      <c r="B308" s="816" t="str">
        <f>IFERROR(INDEX(B$1:B$100,MATCH(A308,A$1:A$100,0)),"")</f>
        <v>Enn Tokman, Tarmo Bombe</v>
      </c>
      <c r="C308" s="755">
        <f>IF(16-A308&gt;0,16-A308,1)</f>
        <v>7</v>
      </c>
      <c r="D308" s="817"/>
      <c r="E308" s="817"/>
      <c r="F308" s="920"/>
      <c r="G308" s="760"/>
      <c r="H308" s="760"/>
      <c r="I308" s="760"/>
      <c r="J308" s="921"/>
      <c r="K308" s="880"/>
      <c r="L308" s="880"/>
      <c r="M308" s="880"/>
      <c r="N308" s="880"/>
      <c r="O308" s="880"/>
      <c r="P308" s="880"/>
      <c r="Q308" s="880"/>
      <c r="R308" s="880"/>
      <c r="S308" s="880"/>
      <c r="T308" s="880"/>
      <c r="U308" s="880"/>
      <c r="V308" s="88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</row>
    <row r="309" spans="1:43" x14ac:dyDescent="0.2">
      <c r="A309" s="815">
        <v>10</v>
      </c>
      <c r="B309" s="816" t="str">
        <f t="shared" ref="B309" si="11">IFERROR(INDEX(B$1:B$100,MATCH(A309,A$1:A$100,0)),"")</f>
        <v>Mait Metsla, Matti Vinni</v>
      </c>
      <c r="C309" s="755">
        <f t="shared" ref="C309" si="12">IF(16-A309&gt;0,16-A309,1)</f>
        <v>6</v>
      </c>
      <c r="D309" s="817"/>
      <c r="E309" s="817"/>
      <c r="F309" s="920"/>
      <c r="G309" s="760"/>
      <c r="H309" s="760"/>
      <c r="I309" s="760"/>
      <c r="J309" s="921"/>
      <c r="K309" s="880"/>
      <c r="L309" s="880"/>
      <c r="M309" s="880"/>
      <c r="N309" s="880"/>
      <c r="O309" s="880"/>
      <c r="P309" s="880"/>
      <c r="Q309" s="880"/>
      <c r="R309" s="880"/>
      <c r="S309" s="880"/>
      <c r="T309" s="880"/>
      <c r="U309" s="880"/>
      <c r="V309" s="88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</row>
    <row r="310" spans="1:43" x14ac:dyDescent="0.2">
      <c r="A310" s="760"/>
      <c r="B310" s="760"/>
      <c r="C310" s="760"/>
      <c r="D310" s="760"/>
      <c r="E310" s="760"/>
      <c r="F310" s="760"/>
      <c r="G310" s="760"/>
      <c r="H310" s="760"/>
      <c r="I310" s="760"/>
      <c r="J310" s="921"/>
      <c r="K310" s="880"/>
      <c r="L310" s="880"/>
      <c r="M310" s="880"/>
      <c r="N310" s="880"/>
      <c r="O310" s="880"/>
      <c r="P310" s="880"/>
      <c r="Q310" s="880"/>
      <c r="R310" s="880"/>
      <c r="S310" s="880"/>
      <c r="T310" s="880"/>
      <c r="U310" s="880"/>
      <c r="V310" s="88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</row>
  </sheetData>
  <conditionalFormatting sqref="A300:A309">
    <cfRule type="duplicateValues" dxfId="3035" priority="176"/>
  </conditionalFormatting>
  <conditionalFormatting sqref="B300:B309">
    <cfRule type="expression" dxfId="3034" priority="168">
      <formula>A300=3</formula>
    </cfRule>
    <cfRule type="expression" dxfId="3033" priority="169">
      <formula>A300=2</formula>
    </cfRule>
    <cfRule type="expression" dxfId="3032" priority="170">
      <formula>A300=1</formula>
    </cfRule>
    <cfRule type="containsBlanks" dxfId="3031" priority="171">
      <formula>LEN(TRIM(B300))=0</formula>
    </cfRule>
    <cfRule type="duplicateValues" dxfId="3030" priority="172"/>
  </conditionalFormatting>
  <conditionalFormatting sqref="A8:A17">
    <cfRule type="duplicateValues" dxfId="3029" priority="167"/>
  </conditionalFormatting>
  <conditionalFormatting sqref="C8:C11 C16:C17">
    <cfRule type="expression" dxfId="3028" priority="149">
      <formula>IF($C8&gt;$E8,TRUE)</formula>
    </cfRule>
  </conditionalFormatting>
  <conditionalFormatting sqref="E8:E11 E16:E17">
    <cfRule type="expression" dxfId="3027" priority="150">
      <formula>IF($C8&lt;$E8,TRUE)</formula>
    </cfRule>
  </conditionalFormatting>
  <conditionalFormatting sqref="K8:K11 K16:K17">
    <cfRule type="expression" dxfId="3026" priority="157">
      <formula>IF($K8&gt;$M8,TRUE)</formula>
    </cfRule>
  </conditionalFormatting>
  <conditionalFormatting sqref="M8:M11 M16:M17">
    <cfRule type="expression" dxfId="3025" priority="158">
      <formula>IF($K8&lt;$M8,TRUE)</formula>
    </cfRule>
  </conditionalFormatting>
  <conditionalFormatting sqref="O8:O11 O16:O17">
    <cfRule type="expression" dxfId="3024" priority="161">
      <formula>IF($O8&gt;$Q8,TRUE)</formula>
    </cfRule>
  </conditionalFormatting>
  <conditionalFormatting sqref="Q8:Q11 Q16:Q17">
    <cfRule type="expression" dxfId="3023" priority="162">
      <formula>IF($O8&lt;$Q8,TRUE)</formula>
    </cfRule>
  </conditionalFormatting>
  <conditionalFormatting sqref="S8:S11 S16:S17">
    <cfRule type="expression" dxfId="3022" priority="165">
      <formula>IF($S8&gt;$U8,TRUE)</formula>
    </cfRule>
  </conditionalFormatting>
  <conditionalFormatting sqref="U8:U11 U16:U17">
    <cfRule type="expression" dxfId="3021" priority="166">
      <formula>IF($S8&lt;$U8,TRUE)</formula>
    </cfRule>
  </conditionalFormatting>
  <conditionalFormatting sqref="G8:G11 G16:G17">
    <cfRule type="expression" dxfId="3020" priority="153">
      <formula>IF($G8&gt;$I8,TRUE)</formula>
    </cfRule>
  </conditionalFormatting>
  <conditionalFormatting sqref="I8:I11 I16:I17">
    <cfRule type="expression" dxfId="3019" priority="154">
      <formula>IF($G8&lt;$I8,TRUE)</formula>
    </cfRule>
  </conditionalFormatting>
  <conditionalFormatting sqref="F8:F11 F16:F17">
    <cfRule type="containsText" dxfId="3018" priority="135" operator="containsText" text="vaba voor">
      <formula>NOT(ISERROR(SEARCH("vaba voor",F8)))</formula>
    </cfRule>
  </conditionalFormatting>
  <conditionalFormatting sqref="N8:N11 N16:N17">
    <cfRule type="containsText" dxfId="3017" priority="133" operator="containsText" text="vaba voor">
      <formula>NOT(ISERROR(SEARCH("vaba voor",N8)))</formula>
    </cfRule>
  </conditionalFormatting>
  <conditionalFormatting sqref="R8:R11 R16:R17">
    <cfRule type="containsText" dxfId="3016" priority="136" operator="containsText" text="vaba voor">
      <formula>NOT(ISERROR(SEARCH("vaba voor",R8)))</formula>
    </cfRule>
  </conditionalFormatting>
  <conditionalFormatting sqref="V8:V11 V16:V17">
    <cfRule type="containsText" dxfId="3015" priority="132" operator="containsText" text="vaba voor">
      <formula>NOT(ISERROR(SEARCH("vaba voor",V8)))</formula>
    </cfRule>
  </conditionalFormatting>
  <conditionalFormatting sqref="Z8:Z17">
    <cfRule type="containsText" dxfId="3014" priority="131" operator="containsText" text="vaba voor">
      <formula>NOT(ISERROR(SEARCH("vaba voor",Z8)))</formula>
    </cfRule>
  </conditionalFormatting>
  <conditionalFormatting sqref="W8:W17">
    <cfRule type="expression" dxfId="3013" priority="140">
      <formula>IF($W8&gt;$Y8,TRUE)</formula>
    </cfRule>
  </conditionalFormatting>
  <conditionalFormatting sqref="Y8:Y17">
    <cfRule type="expression" dxfId="3012" priority="141">
      <formula>IF($W8&lt;$Y8,TRUE)</formula>
    </cfRule>
  </conditionalFormatting>
  <conditionalFormatting sqref="J8:J11 J16:J17">
    <cfRule type="containsText" dxfId="3011" priority="134" operator="containsText" text="vaba voor">
      <formula>NOT(ISERROR(SEARCH("vaba voor",J8)))</formula>
    </cfRule>
  </conditionalFormatting>
  <conditionalFormatting sqref="C8:F11 C16:F17">
    <cfRule type="expression" dxfId="3010" priority="145">
      <formula>IF(AND(ISNUMBER($C8),$C8=$E8),TRUE)</formula>
    </cfRule>
    <cfRule type="expression" dxfId="3009" priority="147">
      <formula>IF($C8&gt;$E8,TRUE)</formula>
    </cfRule>
    <cfRule type="expression" dxfId="3008" priority="148">
      <formula>IF($C8&lt;$E8,TRUE)</formula>
    </cfRule>
  </conditionalFormatting>
  <conditionalFormatting sqref="G8:J11 G16:J17">
    <cfRule type="expression" dxfId="3007" priority="146">
      <formula>IF(AND(ISNUMBER($G8),$G8=$I8),TRUE)</formula>
    </cfRule>
    <cfRule type="expression" dxfId="3006" priority="151">
      <formula>IF($G8&gt;$I8,TRUE)</formula>
    </cfRule>
    <cfRule type="expression" dxfId="3005" priority="152">
      <formula>IF($G8&lt;$I8,TRUE)</formula>
    </cfRule>
  </conditionalFormatting>
  <conditionalFormatting sqref="K8:N11 K16:N17">
    <cfRule type="expression" dxfId="3004" priority="144">
      <formula>IF(AND(ISNUMBER($K8),$K8=$M8),TRUE)</formula>
    </cfRule>
    <cfRule type="expression" dxfId="3003" priority="155">
      <formula>IF($K8&gt;$M8,TRUE)</formula>
    </cfRule>
    <cfRule type="expression" dxfId="3002" priority="156">
      <formula>IF($K8&lt;$M8,TRUE)</formula>
    </cfRule>
  </conditionalFormatting>
  <conditionalFormatting sqref="O8:R11 O16:R17">
    <cfRule type="expression" dxfId="3001" priority="143">
      <formula>IF(AND(ISNUMBER($O8),$O8=$Q8),TRUE)</formula>
    </cfRule>
    <cfRule type="expression" dxfId="3000" priority="159">
      <formula>IF($O8&gt;$Q8,TRUE)</formula>
    </cfRule>
    <cfRule type="expression" dxfId="2999" priority="160">
      <formula>IF($O8&lt;$Q8,TRUE)</formula>
    </cfRule>
  </conditionalFormatting>
  <conditionalFormatting sqref="S8:V11 S16:V17">
    <cfRule type="expression" dxfId="2998" priority="142">
      <formula>IF(AND(ISNUMBER($S8),$S8=$U8),TRUE)</formula>
    </cfRule>
    <cfRule type="expression" dxfId="2997" priority="163">
      <formula>IF($S8&gt;$U8,TRUE)</formula>
    </cfRule>
    <cfRule type="expression" dxfId="2996" priority="164">
      <formula>IF($S8&lt;$U8,TRUE)</formula>
    </cfRule>
  </conditionalFormatting>
  <conditionalFormatting sqref="W8:Z17">
    <cfRule type="expression" dxfId="2995" priority="137">
      <formula>IF(AND(ISNUMBER($W8),$W8=$Y8),TRUE)</formula>
    </cfRule>
    <cfRule type="expression" dxfId="2994" priority="138">
      <formula>IF($W8&gt;$Y8,TRUE)</formula>
    </cfRule>
    <cfRule type="expression" dxfId="2993" priority="139">
      <formula>IF($W8&lt;$Y8,TRUE)</formula>
    </cfRule>
  </conditionalFormatting>
  <conditionalFormatting sqref="C8:C11 G8:G11 K8:K11 O8:O11 S8:S11 W8:W17 S16:S17 O16:O17 K16:K17 G16:G17 C16:C17">
    <cfRule type="expression" dxfId="2992" priority="129">
      <formula>AND(C8=0,E8=13)</formula>
    </cfRule>
  </conditionalFormatting>
  <conditionalFormatting sqref="E8:E11 I8:I11 M8:M11 Q8:Q11 U8:U11 Y8:Y17 U16:U17 Q16:Q17 M16:M17 I16:I17 E16:E17">
    <cfRule type="expression" dxfId="2991" priority="130">
      <formula>AND(E8=0,C8=13)</formula>
    </cfRule>
  </conditionalFormatting>
  <conditionalFormatting sqref="C12">
    <cfRule type="expression" dxfId="2990" priority="111">
      <formula>IF($C12&gt;$E12,TRUE)</formula>
    </cfRule>
  </conditionalFormatting>
  <conditionalFormatting sqref="E12">
    <cfRule type="expression" dxfId="2989" priority="112">
      <formula>IF($C12&lt;$E12,TRUE)</formula>
    </cfRule>
  </conditionalFormatting>
  <conditionalFormatting sqref="K12">
    <cfRule type="expression" dxfId="2988" priority="119">
      <formula>IF($K12&gt;$M12,TRUE)</formula>
    </cfRule>
  </conditionalFormatting>
  <conditionalFormatting sqref="M12">
    <cfRule type="expression" dxfId="2987" priority="120">
      <formula>IF($K12&lt;$M12,TRUE)</formula>
    </cfRule>
  </conditionalFormatting>
  <conditionalFormatting sqref="O12">
    <cfRule type="expression" dxfId="2986" priority="123">
      <formula>IF($O12&gt;$Q12,TRUE)</formula>
    </cfRule>
  </conditionalFormatting>
  <conditionalFormatting sqref="Q12">
    <cfRule type="expression" dxfId="2985" priority="124">
      <formula>IF($O12&lt;$Q12,TRUE)</formula>
    </cfRule>
  </conditionalFormatting>
  <conditionalFormatting sqref="S12">
    <cfRule type="expression" dxfId="2984" priority="127">
      <formula>IF($S12&gt;$U12,TRUE)</formula>
    </cfRule>
  </conditionalFormatting>
  <conditionalFormatting sqref="U12">
    <cfRule type="expression" dxfId="2983" priority="128">
      <formula>IF($S12&lt;$U12,TRUE)</formula>
    </cfRule>
  </conditionalFormatting>
  <conditionalFormatting sqref="G12">
    <cfRule type="expression" dxfId="2982" priority="115">
      <formula>IF($G12&gt;$I12,TRUE)</formula>
    </cfRule>
  </conditionalFormatting>
  <conditionalFormatting sqref="I12">
    <cfRule type="expression" dxfId="2981" priority="116">
      <formula>IF($G12&lt;$I12,TRUE)</formula>
    </cfRule>
  </conditionalFormatting>
  <conditionalFormatting sqref="F12">
    <cfRule type="containsText" dxfId="2980" priority="102" operator="containsText" text="vaba voor">
      <formula>NOT(ISERROR(SEARCH("vaba voor",F12)))</formula>
    </cfRule>
  </conditionalFormatting>
  <conditionalFormatting sqref="N12">
    <cfRule type="containsText" dxfId="2979" priority="100" operator="containsText" text="vaba voor">
      <formula>NOT(ISERROR(SEARCH("vaba voor",N12)))</formula>
    </cfRule>
  </conditionalFormatting>
  <conditionalFormatting sqref="R12">
    <cfRule type="containsText" dxfId="2978" priority="103" operator="containsText" text="vaba voor">
      <formula>NOT(ISERROR(SEARCH("vaba voor",R12)))</formula>
    </cfRule>
  </conditionalFormatting>
  <conditionalFormatting sqref="V12">
    <cfRule type="containsText" dxfId="2977" priority="99" operator="containsText" text="vaba voor">
      <formula>NOT(ISERROR(SEARCH("vaba voor",V12)))</formula>
    </cfRule>
  </conditionalFormatting>
  <conditionalFormatting sqref="J12">
    <cfRule type="containsText" dxfId="2976" priority="101" operator="containsText" text="vaba voor">
      <formula>NOT(ISERROR(SEARCH("vaba voor",J12)))</formula>
    </cfRule>
  </conditionalFormatting>
  <conditionalFormatting sqref="C12:F12">
    <cfRule type="expression" dxfId="2975" priority="107">
      <formula>IF(AND(ISNUMBER($C12),$C12=$E12),TRUE)</formula>
    </cfRule>
    <cfRule type="expression" dxfId="2974" priority="109">
      <formula>IF($C12&gt;$E12,TRUE)</formula>
    </cfRule>
    <cfRule type="expression" dxfId="2973" priority="110">
      <formula>IF($C12&lt;$E12,TRUE)</formula>
    </cfRule>
  </conditionalFormatting>
  <conditionalFormatting sqref="G12:J12">
    <cfRule type="expression" dxfId="2972" priority="108">
      <formula>IF(AND(ISNUMBER($G12),$G12=$I12),TRUE)</formula>
    </cfRule>
    <cfRule type="expression" dxfId="2971" priority="113">
      <formula>IF($G12&gt;$I12,TRUE)</formula>
    </cfRule>
    <cfRule type="expression" dxfId="2970" priority="114">
      <formula>IF($G12&lt;$I12,TRUE)</formula>
    </cfRule>
  </conditionalFormatting>
  <conditionalFormatting sqref="K12:N12">
    <cfRule type="expression" dxfId="2969" priority="106">
      <formula>IF(AND(ISNUMBER($K12),$K12=$M12),TRUE)</formula>
    </cfRule>
    <cfRule type="expression" dxfId="2968" priority="117">
      <formula>IF($K12&gt;$M12,TRUE)</formula>
    </cfRule>
    <cfRule type="expression" dxfId="2967" priority="118">
      <formula>IF($K12&lt;$M12,TRUE)</formula>
    </cfRule>
  </conditionalFormatting>
  <conditionalFormatting sqref="O12:R12">
    <cfRule type="expression" dxfId="2966" priority="105">
      <formula>IF(AND(ISNUMBER($O12),$O12=$Q12),TRUE)</formula>
    </cfRule>
    <cfRule type="expression" dxfId="2965" priority="121">
      <formula>IF($O12&gt;$Q12,TRUE)</formula>
    </cfRule>
    <cfRule type="expression" dxfId="2964" priority="122">
      <formula>IF($O12&lt;$Q12,TRUE)</formula>
    </cfRule>
  </conditionalFormatting>
  <conditionalFormatting sqref="S12:V12">
    <cfRule type="expression" dxfId="2963" priority="104">
      <formula>IF(AND(ISNUMBER($S12),$S12=$U12),TRUE)</formula>
    </cfRule>
    <cfRule type="expression" dxfId="2962" priority="125">
      <formula>IF($S12&gt;$U12,TRUE)</formula>
    </cfRule>
    <cfRule type="expression" dxfId="2961" priority="126">
      <formula>IF($S12&lt;$U12,TRUE)</formula>
    </cfRule>
  </conditionalFormatting>
  <conditionalFormatting sqref="C12 G12 K12 O12 S12">
    <cfRule type="expression" dxfId="2960" priority="97">
      <formula>AND(C12=0,E12=13)</formula>
    </cfRule>
  </conditionalFormatting>
  <conditionalFormatting sqref="E12 I12 M12 Q12 U12">
    <cfRule type="expression" dxfId="2959" priority="98">
      <formula>AND(E12=0,C12=13)</formula>
    </cfRule>
  </conditionalFormatting>
  <conditionalFormatting sqref="C13">
    <cfRule type="expression" dxfId="2958" priority="79">
      <formula>IF($C13&gt;$E13,TRUE)</formula>
    </cfRule>
  </conditionalFormatting>
  <conditionalFormatting sqref="E13">
    <cfRule type="expression" dxfId="2957" priority="80">
      <formula>IF($C13&lt;$E13,TRUE)</formula>
    </cfRule>
  </conditionalFormatting>
  <conditionalFormatting sqref="K13">
    <cfRule type="expression" dxfId="2956" priority="87">
      <formula>IF($K13&gt;$M13,TRUE)</formula>
    </cfRule>
  </conditionalFormatting>
  <conditionalFormatting sqref="M13">
    <cfRule type="expression" dxfId="2955" priority="88">
      <formula>IF($K13&lt;$M13,TRUE)</formula>
    </cfRule>
  </conditionalFormatting>
  <conditionalFormatting sqref="O13">
    <cfRule type="expression" dxfId="2954" priority="91">
      <formula>IF($O13&gt;$Q13,TRUE)</formula>
    </cfRule>
  </conditionalFormatting>
  <conditionalFormatting sqref="Q13">
    <cfRule type="expression" dxfId="2953" priority="92">
      <formula>IF($O13&lt;$Q13,TRUE)</formula>
    </cfRule>
  </conditionalFormatting>
  <conditionalFormatting sqref="S13">
    <cfRule type="expression" dxfId="2952" priority="95">
      <formula>IF($S13&gt;$U13,TRUE)</formula>
    </cfRule>
  </conditionalFormatting>
  <conditionalFormatting sqref="U13">
    <cfRule type="expression" dxfId="2951" priority="96">
      <formula>IF($S13&lt;$U13,TRUE)</formula>
    </cfRule>
  </conditionalFormatting>
  <conditionalFormatting sqref="G13">
    <cfRule type="expression" dxfId="2950" priority="83">
      <formula>IF($G13&gt;$I13,TRUE)</formula>
    </cfRule>
  </conditionalFormatting>
  <conditionalFormatting sqref="I13">
    <cfRule type="expression" dxfId="2949" priority="84">
      <formula>IF($G13&lt;$I13,TRUE)</formula>
    </cfRule>
  </conditionalFormatting>
  <conditionalFormatting sqref="F13">
    <cfRule type="containsText" dxfId="2948" priority="70" operator="containsText" text="vaba voor">
      <formula>NOT(ISERROR(SEARCH("vaba voor",F13)))</formula>
    </cfRule>
  </conditionalFormatting>
  <conditionalFormatting sqref="N13">
    <cfRule type="containsText" dxfId="2947" priority="68" operator="containsText" text="vaba voor">
      <formula>NOT(ISERROR(SEARCH("vaba voor",N13)))</formula>
    </cfRule>
  </conditionalFormatting>
  <conditionalFormatting sqref="R13">
    <cfRule type="containsText" dxfId="2946" priority="71" operator="containsText" text="vaba voor">
      <formula>NOT(ISERROR(SEARCH("vaba voor",R13)))</formula>
    </cfRule>
  </conditionalFormatting>
  <conditionalFormatting sqref="V13">
    <cfRule type="containsText" dxfId="2945" priority="67" operator="containsText" text="vaba voor">
      <formula>NOT(ISERROR(SEARCH("vaba voor",V13)))</formula>
    </cfRule>
  </conditionalFormatting>
  <conditionalFormatting sqref="J13">
    <cfRule type="containsText" dxfId="2944" priority="69" operator="containsText" text="vaba voor">
      <formula>NOT(ISERROR(SEARCH("vaba voor",J13)))</formula>
    </cfRule>
  </conditionalFormatting>
  <conditionalFormatting sqref="C13:F13">
    <cfRule type="expression" dxfId="2943" priority="75">
      <formula>IF(AND(ISNUMBER($C13),$C13=$E13),TRUE)</formula>
    </cfRule>
    <cfRule type="expression" dxfId="2942" priority="77">
      <formula>IF($C13&gt;$E13,TRUE)</formula>
    </cfRule>
    <cfRule type="expression" dxfId="2941" priority="78">
      <formula>IF($C13&lt;$E13,TRUE)</formula>
    </cfRule>
  </conditionalFormatting>
  <conditionalFormatting sqref="G13:J13">
    <cfRule type="expression" dxfId="2940" priority="76">
      <formula>IF(AND(ISNUMBER($G13),$G13=$I13),TRUE)</formula>
    </cfRule>
    <cfRule type="expression" dxfId="2939" priority="81">
      <formula>IF($G13&gt;$I13,TRUE)</formula>
    </cfRule>
    <cfRule type="expression" dxfId="2938" priority="82">
      <formula>IF($G13&lt;$I13,TRUE)</formula>
    </cfRule>
  </conditionalFormatting>
  <conditionalFormatting sqref="K13:N13">
    <cfRule type="expression" dxfId="2937" priority="74">
      <formula>IF(AND(ISNUMBER($K13),$K13=$M13),TRUE)</formula>
    </cfRule>
    <cfRule type="expression" dxfId="2936" priority="85">
      <formula>IF($K13&gt;$M13,TRUE)</formula>
    </cfRule>
    <cfRule type="expression" dxfId="2935" priority="86">
      <formula>IF($K13&lt;$M13,TRUE)</formula>
    </cfRule>
  </conditionalFormatting>
  <conditionalFormatting sqref="O13:R13">
    <cfRule type="expression" dxfId="2934" priority="73">
      <formula>IF(AND(ISNUMBER($O13),$O13=$Q13),TRUE)</formula>
    </cfRule>
    <cfRule type="expression" dxfId="2933" priority="89">
      <formula>IF($O13&gt;$Q13,TRUE)</formula>
    </cfRule>
    <cfRule type="expression" dxfId="2932" priority="90">
      <formula>IF($O13&lt;$Q13,TRUE)</formula>
    </cfRule>
  </conditionalFormatting>
  <conditionalFormatting sqref="S13:V13">
    <cfRule type="expression" dxfId="2931" priority="72">
      <formula>IF(AND(ISNUMBER($S13),$S13=$U13),TRUE)</formula>
    </cfRule>
    <cfRule type="expression" dxfId="2930" priority="93">
      <formula>IF($S13&gt;$U13,TRUE)</formula>
    </cfRule>
    <cfRule type="expression" dxfId="2929" priority="94">
      <formula>IF($S13&lt;$U13,TRUE)</formula>
    </cfRule>
  </conditionalFormatting>
  <conditionalFormatting sqref="C13 G13 K13 O13 S13">
    <cfRule type="expression" dxfId="2928" priority="65">
      <formula>AND(C13=0,E13=13)</formula>
    </cfRule>
  </conditionalFormatting>
  <conditionalFormatting sqref="E13 I13 M13 Q13 U13">
    <cfRule type="expression" dxfId="2927" priority="66">
      <formula>AND(E13=0,C13=13)</formula>
    </cfRule>
  </conditionalFormatting>
  <conditionalFormatting sqref="C14">
    <cfRule type="expression" dxfId="2926" priority="47">
      <formula>IF($C14&gt;$E14,TRUE)</formula>
    </cfRule>
  </conditionalFormatting>
  <conditionalFormatting sqref="E14">
    <cfRule type="expression" dxfId="2925" priority="48">
      <formula>IF($C14&lt;$E14,TRUE)</formula>
    </cfRule>
  </conditionalFormatting>
  <conditionalFormatting sqref="K14">
    <cfRule type="expression" dxfId="2924" priority="55">
      <formula>IF($K14&gt;$M14,TRUE)</formula>
    </cfRule>
  </conditionalFormatting>
  <conditionalFormatting sqref="M14">
    <cfRule type="expression" dxfId="2923" priority="56">
      <formula>IF($K14&lt;$M14,TRUE)</formula>
    </cfRule>
  </conditionalFormatting>
  <conditionalFormatting sqref="O14">
    <cfRule type="expression" dxfId="2922" priority="59">
      <formula>IF($O14&gt;$Q14,TRUE)</formula>
    </cfRule>
  </conditionalFormatting>
  <conditionalFormatting sqref="Q14">
    <cfRule type="expression" dxfId="2921" priority="60">
      <formula>IF($O14&lt;$Q14,TRUE)</formula>
    </cfRule>
  </conditionalFormatting>
  <conditionalFormatting sqref="S14">
    <cfRule type="expression" dxfId="2920" priority="63">
      <formula>IF($S14&gt;$U14,TRUE)</formula>
    </cfRule>
  </conditionalFormatting>
  <conditionalFormatting sqref="U14">
    <cfRule type="expression" dxfId="2919" priority="64">
      <formula>IF($S14&lt;$U14,TRUE)</formula>
    </cfRule>
  </conditionalFormatting>
  <conditionalFormatting sqref="G14">
    <cfRule type="expression" dxfId="2918" priority="51">
      <formula>IF($G14&gt;$I14,TRUE)</formula>
    </cfRule>
  </conditionalFormatting>
  <conditionalFormatting sqref="I14">
    <cfRule type="expression" dxfId="2917" priority="52">
      <formula>IF($G14&lt;$I14,TRUE)</formula>
    </cfRule>
  </conditionalFormatting>
  <conditionalFormatting sqref="F14">
    <cfRule type="containsText" dxfId="2916" priority="38" operator="containsText" text="vaba voor">
      <formula>NOT(ISERROR(SEARCH("vaba voor",F14)))</formula>
    </cfRule>
  </conditionalFormatting>
  <conditionalFormatting sqref="N14">
    <cfRule type="containsText" dxfId="2915" priority="36" operator="containsText" text="vaba voor">
      <formula>NOT(ISERROR(SEARCH("vaba voor",N14)))</formula>
    </cfRule>
  </conditionalFormatting>
  <conditionalFormatting sqref="R14">
    <cfRule type="containsText" dxfId="2914" priority="39" operator="containsText" text="vaba voor">
      <formula>NOT(ISERROR(SEARCH("vaba voor",R14)))</formula>
    </cfRule>
  </conditionalFormatting>
  <conditionalFormatting sqref="V14">
    <cfRule type="containsText" dxfId="2913" priority="35" operator="containsText" text="vaba voor">
      <formula>NOT(ISERROR(SEARCH("vaba voor",V14)))</formula>
    </cfRule>
  </conditionalFormatting>
  <conditionalFormatting sqref="J14">
    <cfRule type="containsText" dxfId="2912" priority="37" operator="containsText" text="vaba voor">
      <formula>NOT(ISERROR(SEARCH("vaba voor",J14)))</formula>
    </cfRule>
  </conditionalFormatting>
  <conditionalFormatting sqref="C14:F14">
    <cfRule type="expression" dxfId="2911" priority="43">
      <formula>IF(AND(ISNUMBER($C14),$C14=$E14),TRUE)</formula>
    </cfRule>
    <cfRule type="expression" dxfId="2910" priority="45">
      <formula>IF($C14&gt;$E14,TRUE)</formula>
    </cfRule>
    <cfRule type="expression" dxfId="2909" priority="46">
      <formula>IF($C14&lt;$E14,TRUE)</formula>
    </cfRule>
  </conditionalFormatting>
  <conditionalFormatting sqref="G14:J14">
    <cfRule type="expression" dxfId="2908" priority="44">
      <formula>IF(AND(ISNUMBER($G14),$G14=$I14),TRUE)</formula>
    </cfRule>
    <cfRule type="expression" dxfId="2907" priority="49">
      <formula>IF($G14&gt;$I14,TRUE)</formula>
    </cfRule>
    <cfRule type="expression" dxfId="2906" priority="50">
      <formula>IF($G14&lt;$I14,TRUE)</formula>
    </cfRule>
  </conditionalFormatting>
  <conditionalFormatting sqref="K14:N14">
    <cfRule type="expression" dxfId="2905" priority="42">
      <formula>IF(AND(ISNUMBER($K14),$K14=$M14),TRUE)</formula>
    </cfRule>
    <cfRule type="expression" dxfId="2904" priority="53">
      <formula>IF($K14&gt;$M14,TRUE)</formula>
    </cfRule>
    <cfRule type="expression" dxfId="2903" priority="54">
      <formula>IF($K14&lt;$M14,TRUE)</formula>
    </cfRule>
  </conditionalFormatting>
  <conditionalFormatting sqref="O14:R14">
    <cfRule type="expression" dxfId="2902" priority="41">
      <formula>IF(AND(ISNUMBER($O14),$O14=$Q14),TRUE)</formula>
    </cfRule>
    <cfRule type="expression" dxfId="2901" priority="57">
      <formula>IF($O14&gt;$Q14,TRUE)</formula>
    </cfRule>
    <cfRule type="expression" dxfId="2900" priority="58">
      <formula>IF($O14&lt;$Q14,TRUE)</formula>
    </cfRule>
  </conditionalFormatting>
  <conditionalFormatting sqref="S14:V14">
    <cfRule type="expression" dxfId="2899" priority="40">
      <formula>IF(AND(ISNUMBER($S14),$S14=$U14),TRUE)</formula>
    </cfRule>
    <cfRule type="expression" dxfId="2898" priority="61">
      <formula>IF($S14&gt;$U14,TRUE)</formula>
    </cfRule>
    <cfRule type="expression" dxfId="2897" priority="62">
      <formula>IF($S14&lt;$U14,TRUE)</formula>
    </cfRule>
  </conditionalFormatting>
  <conditionalFormatting sqref="C14 G14 K14 O14 S14">
    <cfRule type="expression" dxfId="2896" priority="33">
      <formula>AND(C14=0,E14=13)</formula>
    </cfRule>
  </conditionalFormatting>
  <conditionalFormatting sqref="E14 I14 M14 Q14 U14">
    <cfRule type="expression" dxfId="2895" priority="34">
      <formula>AND(E14=0,C14=13)</formula>
    </cfRule>
  </conditionalFormatting>
  <conditionalFormatting sqref="C15">
    <cfRule type="expression" dxfId="2894" priority="15">
      <formula>IF($C15&gt;$E15,TRUE)</formula>
    </cfRule>
  </conditionalFormatting>
  <conditionalFormatting sqref="E15">
    <cfRule type="expression" dxfId="2893" priority="16">
      <formula>IF($C15&lt;$E15,TRUE)</formula>
    </cfRule>
  </conditionalFormatting>
  <conditionalFormatting sqref="K15">
    <cfRule type="expression" dxfId="2892" priority="23">
      <formula>IF($K15&gt;$M15,TRUE)</formula>
    </cfRule>
  </conditionalFormatting>
  <conditionalFormatting sqref="M15">
    <cfRule type="expression" dxfId="2891" priority="24">
      <formula>IF($K15&lt;$M15,TRUE)</formula>
    </cfRule>
  </conditionalFormatting>
  <conditionalFormatting sqref="O15">
    <cfRule type="expression" dxfId="2890" priority="27">
      <formula>IF($O15&gt;$Q15,TRUE)</formula>
    </cfRule>
  </conditionalFormatting>
  <conditionalFormatting sqref="Q15">
    <cfRule type="expression" dxfId="2889" priority="28">
      <formula>IF($O15&lt;$Q15,TRUE)</formula>
    </cfRule>
  </conditionalFormatting>
  <conditionalFormatting sqref="S15">
    <cfRule type="expression" dxfId="2888" priority="31">
      <formula>IF($S15&gt;$U15,TRUE)</formula>
    </cfRule>
  </conditionalFormatting>
  <conditionalFormatting sqref="U15">
    <cfRule type="expression" dxfId="2887" priority="32">
      <formula>IF($S15&lt;$U15,TRUE)</formula>
    </cfRule>
  </conditionalFormatting>
  <conditionalFormatting sqref="G15">
    <cfRule type="expression" dxfId="2886" priority="19">
      <formula>IF($G15&gt;$I15,TRUE)</formula>
    </cfRule>
  </conditionalFormatting>
  <conditionalFormatting sqref="I15">
    <cfRule type="expression" dxfId="2885" priority="20">
      <formula>IF($G15&lt;$I15,TRUE)</formula>
    </cfRule>
  </conditionalFormatting>
  <conditionalFormatting sqref="F15">
    <cfRule type="containsText" dxfId="2884" priority="6" operator="containsText" text="vaba voor">
      <formula>NOT(ISERROR(SEARCH("vaba voor",F15)))</formula>
    </cfRule>
  </conditionalFormatting>
  <conditionalFormatting sqref="N15">
    <cfRule type="containsText" dxfId="2883" priority="4" operator="containsText" text="vaba voor">
      <formula>NOT(ISERROR(SEARCH("vaba voor",N15)))</formula>
    </cfRule>
  </conditionalFormatting>
  <conditionalFormatting sqref="R15">
    <cfRule type="containsText" dxfId="2882" priority="7" operator="containsText" text="vaba voor">
      <formula>NOT(ISERROR(SEARCH("vaba voor",R15)))</formula>
    </cfRule>
  </conditionalFormatting>
  <conditionalFormatting sqref="V15">
    <cfRule type="containsText" dxfId="2881" priority="3" operator="containsText" text="vaba voor">
      <formula>NOT(ISERROR(SEARCH("vaba voor",V15)))</formula>
    </cfRule>
  </conditionalFormatting>
  <conditionalFormatting sqref="J15">
    <cfRule type="containsText" dxfId="2880" priority="5" operator="containsText" text="vaba voor">
      <formula>NOT(ISERROR(SEARCH("vaba voor",J15)))</formula>
    </cfRule>
  </conditionalFormatting>
  <conditionalFormatting sqref="C15:F15">
    <cfRule type="expression" dxfId="2879" priority="11">
      <formula>IF(AND(ISNUMBER($C15),$C15=$E15),TRUE)</formula>
    </cfRule>
    <cfRule type="expression" dxfId="2878" priority="13">
      <formula>IF($C15&gt;$E15,TRUE)</formula>
    </cfRule>
    <cfRule type="expression" dxfId="2877" priority="14">
      <formula>IF($C15&lt;$E15,TRUE)</formula>
    </cfRule>
  </conditionalFormatting>
  <conditionalFormatting sqref="G15:J15">
    <cfRule type="expression" dxfId="2876" priority="12">
      <formula>IF(AND(ISNUMBER($G15),$G15=$I15),TRUE)</formula>
    </cfRule>
    <cfRule type="expression" dxfId="2875" priority="17">
      <formula>IF($G15&gt;$I15,TRUE)</formula>
    </cfRule>
    <cfRule type="expression" dxfId="2874" priority="18">
      <formula>IF($G15&lt;$I15,TRUE)</formula>
    </cfRule>
  </conditionalFormatting>
  <conditionalFormatting sqref="K15:N15">
    <cfRule type="expression" dxfId="2873" priority="10">
      <formula>IF(AND(ISNUMBER($K15),$K15=$M15),TRUE)</formula>
    </cfRule>
    <cfRule type="expression" dxfId="2872" priority="21">
      <formula>IF($K15&gt;$M15,TRUE)</formula>
    </cfRule>
    <cfRule type="expression" dxfId="2871" priority="22">
      <formula>IF($K15&lt;$M15,TRUE)</formula>
    </cfRule>
  </conditionalFormatting>
  <conditionalFormatting sqref="O15:R15">
    <cfRule type="expression" dxfId="2870" priority="9">
      <formula>IF(AND(ISNUMBER($O15),$O15=$Q15),TRUE)</formula>
    </cfRule>
    <cfRule type="expression" dxfId="2869" priority="25">
      <formula>IF($O15&gt;$Q15,TRUE)</formula>
    </cfRule>
    <cfRule type="expression" dxfId="2868" priority="26">
      <formula>IF($O15&lt;$Q15,TRUE)</formula>
    </cfRule>
  </conditionalFormatting>
  <conditionalFormatting sqref="S15:V15">
    <cfRule type="expression" dxfId="2867" priority="8">
      <formula>IF(AND(ISNUMBER($S15),$S15=$U15),TRUE)</formula>
    </cfRule>
    <cfRule type="expression" dxfId="2866" priority="29">
      <formula>IF($S15&gt;$U15,TRUE)</formula>
    </cfRule>
    <cfRule type="expression" dxfId="2865" priority="30">
      <formula>IF($S15&lt;$U15,TRUE)</formula>
    </cfRule>
  </conditionalFormatting>
  <conditionalFormatting sqref="C15 G15 K15 O15 S15">
    <cfRule type="expression" dxfId="2864" priority="1">
      <formula>AND(C15=0,E15=13)</formula>
    </cfRule>
  </conditionalFormatting>
  <conditionalFormatting sqref="E15 I15 M15 Q15 U15">
    <cfRule type="expression" dxfId="2863" priority="2">
      <formula>AND(E15=0,C15=13)</formula>
    </cfRule>
  </conditionalFormatting>
  <conditionalFormatting sqref="AJ8:AJ20 AN8:AN20 AP8:AP20">
    <cfRule type="expression" dxfId="2862" priority="276">
      <formula>AND(AI8="",COUNTIF(AJ8,"*,*")=0)</formula>
    </cfRule>
  </conditionalFormatting>
  <conditionalFormatting sqref="AL8:AL20">
    <cfRule type="expression" dxfId="2861" priority="277">
      <formula>AND(AK8="",FIND(",",AL8))</formula>
    </cfRule>
    <cfRule type="expression" dxfId="2860" priority="278">
      <formula>AND(AK8="",COUNTIF(AL8,"*,*")=0)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Q311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7.4257812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7.7109375" style="1" hidden="1" customWidth="1"/>
    <col min="35" max="35" width="6" style="1" hidden="1" customWidth="1"/>
    <col min="36" max="36" width="16.5703125" style="1" hidden="1" customWidth="1"/>
    <col min="37" max="37" width="6" style="1" hidden="1" customWidth="1"/>
    <col min="38" max="38" width="22.140625" style="1" hidden="1" customWidth="1"/>
    <col min="39" max="39" width="5" style="1" hidden="1" customWidth="1"/>
    <col min="40" max="40" width="17.28515625" style="1" hidden="1" customWidth="1"/>
    <col min="41" max="41" width="4" style="1" hidden="1" customWidth="1"/>
    <col min="42" max="42" width="13.85546875" style="1" hidden="1" customWidth="1"/>
    <col min="43" max="16384" width="9.140625" style="1"/>
  </cols>
  <sheetData>
    <row r="1" spans="1:43" x14ac:dyDescent="0.2">
      <c r="A1" s="753" t="str">
        <f>UPPER((Kalend!E16)&amp;" - "&amp;(Kalend!C16)&amp;" - "&amp;(Kalend!D16))</f>
        <v>V7 - VOKA 2. SISE-KV 7.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760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</row>
    <row r="2" spans="1:43" x14ac:dyDescent="0.2">
      <c r="A2" s="757" t="str">
        <f>"Toimumisaeg: "&amp;(Kalend!A16)&amp;" kell "&amp;(Kalend!B16)</f>
        <v>Toimumisaeg: L, 08.12.2018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</row>
    <row r="3" spans="1:43" x14ac:dyDescent="0.2">
      <c r="A3" s="757" t="str">
        <f>"Toimumiskoht: "&amp;(Kalend!F16)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</row>
    <row r="4" spans="1:43" x14ac:dyDescent="0.2">
      <c r="A4" s="757" t="str">
        <f>"Korraldaja: "&amp;(Kalend!G16)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</row>
    <row r="5" spans="1:43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</row>
    <row r="6" spans="1:43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</row>
    <row r="7" spans="1:43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</row>
    <row r="8" spans="1:43" x14ac:dyDescent="0.2">
      <c r="A8" s="897">
        <v>1</v>
      </c>
      <c r="B8" s="775" t="s">
        <v>466</v>
      </c>
      <c r="C8" s="900">
        <v>13</v>
      </c>
      <c r="D8" s="901" t="s">
        <v>450</v>
      </c>
      <c r="E8" s="902">
        <v>2</v>
      </c>
      <c r="F8" s="903" t="str">
        <f>B15</f>
        <v>Johannes Neiland, Klavdia Piik, Meelis Luud</v>
      </c>
      <c r="G8" s="900">
        <v>13</v>
      </c>
      <c r="H8" s="901" t="s">
        <v>450</v>
      </c>
      <c r="I8" s="902">
        <v>11</v>
      </c>
      <c r="J8" s="903" t="str">
        <f>B9</f>
        <v>Argo Sepp, Jaan Sepp</v>
      </c>
      <c r="K8" s="900">
        <v>13</v>
      </c>
      <c r="L8" s="901" t="s">
        <v>450</v>
      </c>
      <c r="M8" s="902">
        <v>1</v>
      </c>
      <c r="N8" s="903" t="str">
        <f>B11</f>
        <v>Elmo Lageda, Tõnu Piik</v>
      </c>
      <c r="O8" s="900">
        <v>13</v>
      </c>
      <c r="P8" s="901" t="s">
        <v>450</v>
      </c>
      <c r="Q8" s="902">
        <v>1</v>
      </c>
      <c r="R8" s="903" t="str">
        <f>B14</f>
        <v>Enn Tokman, Tarmo Bombe</v>
      </c>
      <c r="S8" s="900">
        <v>13</v>
      </c>
      <c r="T8" s="901" t="s">
        <v>450</v>
      </c>
      <c r="U8" s="902">
        <v>2</v>
      </c>
      <c r="V8" s="903" t="str">
        <f>B13</f>
        <v>Karla Purgats, Ülo Piik</v>
      </c>
      <c r="W8" s="900"/>
      <c r="X8" s="901" t="s">
        <v>450</v>
      </c>
      <c r="Y8" s="902"/>
      <c r="Z8" s="903"/>
      <c r="AA8" s="904">
        <f t="shared" ref="AA8:AA17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5</v>
      </c>
      <c r="AB8" s="905"/>
      <c r="AC8" s="900">
        <f t="shared" ref="AC8:AC17" si="1">C8+G8+K8+O8+S8+W8</f>
        <v>65</v>
      </c>
      <c r="AD8" s="901" t="s">
        <v>450</v>
      </c>
      <c r="AE8" s="906">
        <f t="shared" ref="AE8:AE17" si="2">E8+I8+M8+Q8+U8+Y8</f>
        <v>17</v>
      </c>
      <c r="AF8" s="907">
        <f t="shared" ref="AF8:AF17" si="3">AC8-AE8</f>
        <v>48</v>
      </c>
      <c r="AG8" s="908"/>
      <c r="AH8" s="764">
        <f t="shared" ref="AH8:AH20" si="4">SUM(AI8:AP8)</f>
        <v>230</v>
      </c>
      <c r="AI8" s="784">
        <f>IFERROR(INDEX(V!$R:$R,MATCH(AJ8,V!$L:$L,0)),"")</f>
        <v>120</v>
      </c>
      <c r="AJ8" s="783" t="str">
        <f t="shared" ref="AJ8:AJ20" si="5">IFERROR(LEFT($B8,(FIND(",",$B8,1)-1)),"")</f>
        <v>Ivar Viljaste</v>
      </c>
      <c r="AK8" s="784">
        <f>IFERROR(INDEX(V!$R:$R,MATCH(AL8,V!$L:$L,0)),"")</f>
        <v>110</v>
      </c>
      <c r="AL8" s="783" t="str">
        <f t="shared" ref="AL8:AL20" si="6">IFERROR(MID($B8,FIND(", ",$B8)+2,256),"")</f>
        <v>Matti Vinni</v>
      </c>
      <c r="AM8" s="784" t="str">
        <f>IFERROR(INDEX(V!$R:$R,MATCH(AN8,V!$L:$L,0)),"")</f>
        <v/>
      </c>
      <c r="AN8" s="785" t="str">
        <f t="shared" ref="AN8:AN20" si="7">IFERROR(MID($B8,FIND("^",SUBSTITUTE($B8,", ","^",1))+2,FIND("^",SUBSTITUTE($B8,", ","^",2))-FIND("^",SUBSTITUTE($B8,", ","^",1))-2),"")</f>
        <v/>
      </c>
      <c r="AO8" s="784" t="str">
        <f>IFERROR(INDEX(V!$R:$R,MATCH(AP8,V!$L:$L,0)),"")</f>
        <v/>
      </c>
      <c r="AP8" s="785" t="str">
        <f t="shared" ref="AP8:AP20" si="8">IFERROR(MID($B8,FIND(", ",$B8,FIND(", ",$B8,FIND(", ",$B8))+1)+2,700),"")</f>
        <v/>
      </c>
      <c r="AQ8" s="760"/>
    </row>
    <row r="9" spans="1:43" x14ac:dyDescent="0.2">
      <c r="A9" s="897">
        <v>2</v>
      </c>
      <c r="B9" s="775" t="s">
        <v>467</v>
      </c>
      <c r="C9" s="900">
        <v>13</v>
      </c>
      <c r="D9" s="901" t="s">
        <v>450</v>
      </c>
      <c r="E9" s="902">
        <v>7</v>
      </c>
      <c r="F9" s="903" t="str">
        <f>B14</f>
        <v>Enn Tokman, Tarmo Bombe</v>
      </c>
      <c r="G9" s="900">
        <v>11</v>
      </c>
      <c r="H9" s="901" t="s">
        <v>450</v>
      </c>
      <c r="I9" s="902">
        <v>13</v>
      </c>
      <c r="J9" s="903" t="str">
        <f>B8</f>
        <v>Ivar Viljaste, Matti Vinni</v>
      </c>
      <c r="K9" s="900">
        <v>13</v>
      </c>
      <c r="L9" s="901" t="s">
        <v>450</v>
      </c>
      <c r="M9" s="902">
        <v>9</v>
      </c>
      <c r="N9" s="903" t="str">
        <f>B10</f>
        <v>Tõnu Kapper, Vladimir Ogneštšikov</v>
      </c>
      <c r="O9" s="900">
        <v>13</v>
      </c>
      <c r="P9" s="901" t="s">
        <v>450</v>
      </c>
      <c r="Q9" s="902">
        <v>12</v>
      </c>
      <c r="R9" s="903" t="str">
        <f>B12</f>
        <v>Kenneth Muusikus, Oleg Rõndenkov</v>
      </c>
      <c r="S9" s="900">
        <v>13</v>
      </c>
      <c r="T9" s="901" t="s">
        <v>450</v>
      </c>
      <c r="U9" s="902">
        <v>3</v>
      </c>
      <c r="V9" s="903" t="str">
        <f>B11</f>
        <v>Elmo Lageda, Tõnu Piik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63</v>
      </c>
      <c r="AD9" s="901" t="s">
        <v>450</v>
      </c>
      <c r="AE9" s="906">
        <f t="shared" si="2"/>
        <v>44</v>
      </c>
      <c r="AF9" s="907">
        <f t="shared" si="3"/>
        <v>19</v>
      </c>
      <c r="AG9" s="908"/>
      <c r="AH9" s="764">
        <f t="shared" si="4"/>
        <v>187</v>
      </c>
      <c r="AI9" s="784">
        <f>IFERROR(INDEX(V!$R:$R,MATCH(AJ9,V!$L:$L,0)),"")</f>
        <v>28</v>
      </c>
      <c r="AJ9" s="783" t="str">
        <f t="shared" si="5"/>
        <v>Argo Sepp</v>
      </c>
      <c r="AK9" s="784">
        <f>IFERROR(INDEX(V!$R:$R,MATCH(AL9,V!$L:$L,0)),"")</f>
        <v>159</v>
      </c>
      <c r="AL9" s="783" t="str">
        <f t="shared" si="6"/>
        <v>Jaan Sepp</v>
      </c>
      <c r="AM9" s="784" t="str">
        <f>IFERROR(INDEX(V!$R:$R,MATCH(AN9,V!$L:$L,0)),"")</f>
        <v/>
      </c>
      <c r="AN9" s="785" t="str">
        <f t="shared" si="7"/>
        <v/>
      </c>
      <c r="AO9" s="784" t="str">
        <f>IFERROR(INDEX(V!$R:$R,MATCH(AP9,V!$L:$L,0)),"")</f>
        <v/>
      </c>
      <c r="AP9" s="785" t="str">
        <f t="shared" si="8"/>
        <v/>
      </c>
      <c r="AQ9" s="760"/>
    </row>
    <row r="10" spans="1:43" x14ac:dyDescent="0.2">
      <c r="A10" s="897">
        <v>3</v>
      </c>
      <c r="B10" s="909" t="s">
        <v>396</v>
      </c>
      <c r="C10" s="900">
        <v>13</v>
      </c>
      <c r="D10" s="901" t="s">
        <v>450</v>
      </c>
      <c r="E10" s="902">
        <v>12</v>
      </c>
      <c r="F10" s="903" t="str">
        <f>B12</f>
        <v>Kenneth Muusikus, Oleg Rõndenkov</v>
      </c>
      <c r="G10" s="900">
        <v>13</v>
      </c>
      <c r="H10" s="901" t="s">
        <v>450</v>
      </c>
      <c r="I10" s="902">
        <v>10</v>
      </c>
      <c r="J10" s="903" t="str">
        <f>B17</f>
        <v>Illar Tõnurist, Jaan Saar</v>
      </c>
      <c r="K10" s="900">
        <v>9</v>
      </c>
      <c r="L10" s="901" t="s">
        <v>450</v>
      </c>
      <c r="M10" s="902">
        <v>13</v>
      </c>
      <c r="N10" s="903" t="str">
        <f>B9</f>
        <v>Argo Sepp, Jaan Sepp</v>
      </c>
      <c r="O10" s="900">
        <v>12</v>
      </c>
      <c r="P10" s="901" t="s">
        <v>450</v>
      </c>
      <c r="Q10" s="902">
        <v>13</v>
      </c>
      <c r="R10" s="903" t="str">
        <f>B11</f>
        <v>Elmo Lageda, Tõnu Piik</v>
      </c>
      <c r="S10" s="900">
        <v>13</v>
      </c>
      <c r="T10" s="901" t="s">
        <v>450</v>
      </c>
      <c r="U10" s="902">
        <v>3</v>
      </c>
      <c r="V10" s="903" t="str">
        <f>B16</f>
        <v>Henri Mitt, Melika Lehtla</v>
      </c>
      <c r="W10" s="900"/>
      <c r="X10" s="901" t="s">
        <v>450</v>
      </c>
      <c r="Y10" s="902"/>
      <c r="Z10" s="903"/>
      <c r="AA10" s="910">
        <f t="shared" si="0"/>
        <v>3</v>
      </c>
      <c r="AB10" s="905"/>
      <c r="AC10" s="900">
        <f t="shared" si="1"/>
        <v>60</v>
      </c>
      <c r="AD10" s="901" t="s">
        <v>450</v>
      </c>
      <c r="AE10" s="906">
        <f t="shared" si="2"/>
        <v>51</v>
      </c>
      <c r="AF10" s="907">
        <f t="shared" si="3"/>
        <v>9</v>
      </c>
      <c r="AG10" s="908"/>
      <c r="AH10" s="764">
        <f t="shared" si="4"/>
        <v>164.5</v>
      </c>
      <c r="AI10" s="784">
        <f>IFERROR(INDEX(V!$R:$R,MATCH(AJ10,V!$L:$L,0)),"")</f>
        <v>57</v>
      </c>
      <c r="AJ10" s="783" t="str">
        <f t="shared" si="5"/>
        <v>Tõnu Kapper</v>
      </c>
      <c r="AK10" s="784">
        <f>IFERROR(INDEX(V!$R:$R,MATCH(AL10,V!$L:$L,0)),"")</f>
        <v>107.5</v>
      </c>
      <c r="AL10" s="783" t="str">
        <f t="shared" si="6"/>
        <v>Vladimir Ogneštšikov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</row>
    <row r="11" spans="1:43" x14ac:dyDescent="0.2">
      <c r="A11" s="897">
        <v>4</v>
      </c>
      <c r="B11" s="909" t="s">
        <v>370</v>
      </c>
      <c r="C11" s="900">
        <v>13</v>
      </c>
      <c r="D11" s="901" t="s">
        <v>450</v>
      </c>
      <c r="E11" s="902">
        <v>9</v>
      </c>
      <c r="F11" s="903" t="str">
        <f>B16</f>
        <v>Henri Mitt, Melika Lehtla</v>
      </c>
      <c r="G11" s="900">
        <v>13</v>
      </c>
      <c r="H11" s="901" t="s">
        <v>450</v>
      </c>
      <c r="I11" s="902">
        <v>11</v>
      </c>
      <c r="J11" s="903" t="str">
        <f>B13</f>
        <v>Karla Purgats, Ülo Piik</v>
      </c>
      <c r="K11" s="900">
        <v>1</v>
      </c>
      <c r="L11" s="901" t="s">
        <v>450</v>
      </c>
      <c r="M11" s="902">
        <v>13</v>
      </c>
      <c r="N11" s="903" t="str">
        <f>B8</f>
        <v>Ivar Viljaste, Matti Vinni</v>
      </c>
      <c r="O11" s="900">
        <v>13</v>
      </c>
      <c r="P11" s="901" t="s">
        <v>450</v>
      </c>
      <c r="Q11" s="902">
        <v>12</v>
      </c>
      <c r="R11" s="903" t="str">
        <f>B10</f>
        <v>Tõnu Kapper, Vladimir Ogneštšikov</v>
      </c>
      <c r="S11" s="900">
        <v>3</v>
      </c>
      <c r="T11" s="901" t="s">
        <v>450</v>
      </c>
      <c r="U11" s="902">
        <v>13</v>
      </c>
      <c r="V11" s="903" t="str">
        <f>B9</f>
        <v>Argo Sepp, Jaan Sepp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00">
        <f t="shared" si="1"/>
        <v>43</v>
      </c>
      <c r="AD11" s="901" t="s">
        <v>450</v>
      </c>
      <c r="AE11" s="906">
        <f t="shared" si="2"/>
        <v>58</v>
      </c>
      <c r="AF11" s="907">
        <f t="shared" si="3"/>
        <v>-15</v>
      </c>
      <c r="AG11" s="908"/>
      <c r="AH11" s="764">
        <f t="shared" si="4"/>
        <v>240</v>
      </c>
      <c r="AI11" s="784">
        <f>IFERROR(INDEX(V!$R:$R,MATCH(AJ11,V!$L:$L,0)),"")</f>
        <v>117</v>
      </c>
      <c r="AJ11" s="783" t="str">
        <f t="shared" si="5"/>
        <v>Elmo Lageda</v>
      </c>
      <c r="AK11" s="784">
        <f>IFERROR(INDEX(V!$R:$R,MATCH(AL11,V!$L:$L,0)),"")</f>
        <v>123</v>
      </c>
      <c r="AL11" s="783" t="str">
        <f t="shared" si="6"/>
        <v>Tõnu Piik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</row>
    <row r="12" spans="1:43" x14ac:dyDescent="0.2">
      <c r="A12" s="897">
        <v>5</v>
      </c>
      <c r="B12" s="909" t="s">
        <v>468</v>
      </c>
      <c r="C12" s="900">
        <v>12</v>
      </c>
      <c r="D12" s="901" t="s">
        <v>450</v>
      </c>
      <c r="E12" s="902">
        <v>13</v>
      </c>
      <c r="F12" s="903" t="str">
        <f>B10</f>
        <v>Tõnu Kapper, Vladimir Ogneštšikov</v>
      </c>
      <c r="G12" s="900">
        <v>13</v>
      </c>
      <c r="H12" s="901" t="s">
        <v>450</v>
      </c>
      <c r="I12" s="902">
        <v>11</v>
      </c>
      <c r="J12" s="903" t="str">
        <f>B16</f>
        <v>Henri Mitt, Melika Lehtla</v>
      </c>
      <c r="K12" s="900">
        <v>13</v>
      </c>
      <c r="L12" s="901" t="s">
        <v>450</v>
      </c>
      <c r="M12" s="902">
        <v>2</v>
      </c>
      <c r="N12" s="903" t="str">
        <f>B13</f>
        <v>Karla Purgats, Ülo Piik</v>
      </c>
      <c r="O12" s="900">
        <v>12</v>
      </c>
      <c r="P12" s="901" t="s">
        <v>450</v>
      </c>
      <c r="Q12" s="902">
        <v>13</v>
      </c>
      <c r="R12" s="903" t="str">
        <f>B9</f>
        <v>Argo Sepp, Jaan Sepp</v>
      </c>
      <c r="S12" s="900">
        <v>13</v>
      </c>
      <c r="T12" s="901" t="s">
        <v>450</v>
      </c>
      <c r="U12" s="902">
        <v>10</v>
      </c>
      <c r="V12" s="903" t="str">
        <f>B15</f>
        <v>Johannes Neiland, Klavdia Piik, Meelis Luud</v>
      </c>
      <c r="W12" s="900"/>
      <c r="X12" s="901" t="s">
        <v>450</v>
      </c>
      <c r="Y12" s="902"/>
      <c r="Z12" s="903"/>
      <c r="AA12" s="910">
        <f t="shared" si="0"/>
        <v>3</v>
      </c>
      <c r="AB12" s="905"/>
      <c r="AC12" s="900">
        <f t="shared" si="1"/>
        <v>63</v>
      </c>
      <c r="AD12" s="901" t="s">
        <v>450</v>
      </c>
      <c r="AE12" s="906">
        <f t="shared" si="2"/>
        <v>49</v>
      </c>
      <c r="AF12" s="907">
        <f t="shared" si="3"/>
        <v>14</v>
      </c>
      <c r="AG12" s="908"/>
      <c r="AH12" s="764">
        <f t="shared" si="4"/>
        <v>197.5</v>
      </c>
      <c r="AI12" s="784">
        <f>IFERROR(INDEX(V!$R:$R,MATCH(AJ12,V!$L:$L,0)),"")</f>
        <v>131</v>
      </c>
      <c r="AJ12" s="783" t="str">
        <f t="shared" si="5"/>
        <v>Kenneth Muusikus</v>
      </c>
      <c r="AK12" s="784">
        <f>IFERROR(INDEX(V!$R:$R,MATCH(AL12,V!$L:$L,0)),"")</f>
        <v>66.5</v>
      </c>
      <c r="AL12" s="783" t="str">
        <f t="shared" si="6"/>
        <v>Oleg Rõndenkov</v>
      </c>
      <c r="AM12" s="784" t="str">
        <f>IFERROR(INDEX(V!$R:$R,MATCH(AN12,V!$L:$L,0)),"")</f>
        <v/>
      </c>
      <c r="AN12" s="785" t="str">
        <f t="shared" si="7"/>
        <v/>
      </c>
      <c r="AO12" s="784" t="str">
        <f>IFERROR(INDEX(V!$R:$R,MATCH(AP12,V!$L:$L,0)),"")</f>
        <v/>
      </c>
      <c r="AP12" s="785" t="str">
        <f t="shared" si="8"/>
        <v/>
      </c>
      <c r="AQ12" s="760"/>
    </row>
    <row r="13" spans="1:43" x14ac:dyDescent="0.2">
      <c r="A13" s="897">
        <v>6</v>
      </c>
      <c r="B13" s="909" t="s">
        <v>469</v>
      </c>
      <c r="C13" s="900">
        <v>13</v>
      </c>
      <c r="D13" s="901" t="s">
        <v>450</v>
      </c>
      <c r="E13" s="902">
        <v>9</v>
      </c>
      <c r="F13" s="903" t="str">
        <f>B17</f>
        <v>Illar Tõnurist, Jaan Saar</v>
      </c>
      <c r="G13" s="900">
        <v>11</v>
      </c>
      <c r="H13" s="901" t="s">
        <v>450</v>
      </c>
      <c r="I13" s="902">
        <v>13</v>
      </c>
      <c r="J13" s="903" t="str">
        <f>B11</f>
        <v>Elmo Lageda, Tõnu Piik</v>
      </c>
      <c r="K13" s="900">
        <v>2</v>
      </c>
      <c r="L13" s="901" t="s">
        <v>450</v>
      </c>
      <c r="M13" s="902">
        <v>13</v>
      </c>
      <c r="N13" s="903" t="str">
        <f>B12</f>
        <v>Kenneth Muusikus, Oleg Rõndenkov</v>
      </c>
      <c r="O13" s="900">
        <v>13</v>
      </c>
      <c r="P13" s="901" t="s">
        <v>450</v>
      </c>
      <c r="Q13" s="902">
        <v>2</v>
      </c>
      <c r="R13" s="903" t="str">
        <f>B15</f>
        <v>Johannes Neiland, Klavdia Piik, Meelis Luud</v>
      </c>
      <c r="S13" s="900">
        <v>2</v>
      </c>
      <c r="T13" s="901" t="s">
        <v>450</v>
      </c>
      <c r="U13" s="902">
        <v>13</v>
      </c>
      <c r="V13" s="903" t="str">
        <f>B8</f>
        <v>Ivar Viljaste, Matti Vinni</v>
      </c>
      <c r="W13" s="900"/>
      <c r="X13" s="901" t="s">
        <v>450</v>
      </c>
      <c r="Y13" s="902"/>
      <c r="Z13" s="903"/>
      <c r="AA13" s="904">
        <f t="shared" si="0"/>
        <v>2</v>
      </c>
      <c r="AB13" s="905"/>
      <c r="AC13" s="900">
        <f t="shared" si="1"/>
        <v>41</v>
      </c>
      <c r="AD13" s="901" t="s">
        <v>450</v>
      </c>
      <c r="AE13" s="906">
        <f t="shared" si="2"/>
        <v>50</v>
      </c>
      <c r="AF13" s="907">
        <f t="shared" si="3"/>
        <v>-9</v>
      </c>
      <c r="AG13" s="908"/>
      <c r="AH13" s="764">
        <f t="shared" si="4"/>
        <v>230</v>
      </c>
      <c r="AI13" s="784">
        <f>IFERROR(INDEX(V!$R:$R,MATCH(AJ13,V!$L:$L,0)),"")</f>
        <v>123.5</v>
      </c>
      <c r="AJ13" s="783" t="str">
        <f t="shared" si="5"/>
        <v>Karla Purgats</v>
      </c>
      <c r="AK13" s="784">
        <f>IFERROR(INDEX(V!$R:$R,MATCH(AL13,V!$L:$L,0)),"")</f>
        <v>106.5</v>
      </c>
      <c r="AL13" s="783" t="str">
        <f t="shared" si="6"/>
        <v>Ülo Piik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</row>
    <row r="14" spans="1:43" x14ac:dyDescent="0.2">
      <c r="A14" s="897">
        <v>6</v>
      </c>
      <c r="B14" s="909" t="s">
        <v>369</v>
      </c>
      <c r="C14" s="900">
        <v>7</v>
      </c>
      <c r="D14" s="901" t="s">
        <v>450</v>
      </c>
      <c r="E14" s="902">
        <v>13</v>
      </c>
      <c r="F14" s="903" t="str">
        <f>B9</f>
        <v>Argo Sepp, Jaan Sepp</v>
      </c>
      <c r="G14" s="900">
        <v>13</v>
      </c>
      <c r="H14" s="901" t="s">
        <v>450</v>
      </c>
      <c r="I14" s="902">
        <v>8</v>
      </c>
      <c r="J14" s="903" t="str">
        <f>B15</f>
        <v>Johannes Neiland, Klavdia Piik, Meelis Luud</v>
      </c>
      <c r="K14" s="900">
        <v>13</v>
      </c>
      <c r="L14" s="901" t="s">
        <v>450</v>
      </c>
      <c r="M14" s="902">
        <v>5</v>
      </c>
      <c r="N14" s="903" t="str">
        <f>B16</f>
        <v>Henri Mitt, Melika Lehtla</v>
      </c>
      <c r="O14" s="900">
        <v>1</v>
      </c>
      <c r="P14" s="901" t="s">
        <v>450</v>
      </c>
      <c r="Q14" s="902">
        <v>13</v>
      </c>
      <c r="R14" s="903" t="str">
        <f>B8</f>
        <v>Ivar Viljaste, Matti Vinni</v>
      </c>
      <c r="S14" s="900">
        <v>8</v>
      </c>
      <c r="T14" s="901" t="s">
        <v>450</v>
      </c>
      <c r="U14" s="902">
        <v>13</v>
      </c>
      <c r="V14" s="903" t="str">
        <f>B17</f>
        <v>Illar Tõnurist, Jaan Saar</v>
      </c>
      <c r="W14" s="900"/>
      <c r="X14" s="901" t="s">
        <v>450</v>
      </c>
      <c r="Y14" s="902"/>
      <c r="Z14" s="903"/>
      <c r="AA14" s="904">
        <f t="shared" si="0"/>
        <v>2</v>
      </c>
      <c r="AB14" s="905"/>
      <c r="AC14" s="900">
        <f t="shared" si="1"/>
        <v>42</v>
      </c>
      <c r="AD14" s="901" t="s">
        <v>450</v>
      </c>
      <c r="AE14" s="906">
        <f t="shared" si="2"/>
        <v>52</v>
      </c>
      <c r="AF14" s="907">
        <f t="shared" si="3"/>
        <v>-10</v>
      </c>
      <c r="AG14" s="908"/>
      <c r="AH14" s="764">
        <f t="shared" si="4"/>
        <v>164</v>
      </c>
      <c r="AI14" s="784">
        <f>IFERROR(INDEX(V!$R:$R,MATCH(AJ14,V!$L:$L,0)),"")</f>
        <v>88</v>
      </c>
      <c r="AJ14" s="783" t="str">
        <f t="shared" si="5"/>
        <v>Enn Tokman</v>
      </c>
      <c r="AK14" s="784">
        <f>IFERROR(INDEX(V!$R:$R,MATCH(AL14,V!$L:$L,0)),"")</f>
        <v>76</v>
      </c>
      <c r="AL14" s="783" t="str">
        <f t="shared" si="6"/>
        <v>Tarmo Bombe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</row>
    <row r="15" spans="1:43" x14ac:dyDescent="0.2">
      <c r="A15" s="897">
        <v>8</v>
      </c>
      <c r="B15" s="909" t="s">
        <v>470</v>
      </c>
      <c r="C15" s="900">
        <v>2</v>
      </c>
      <c r="D15" s="901" t="s">
        <v>450</v>
      </c>
      <c r="E15" s="902">
        <v>13</v>
      </c>
      <c r="F15" s="903" t="str">
        <f>B8</f>
        <v>Ivar Viljaste, Matti Vinni</v>
      </c>
      <c r="G15" s="900">
        <v>8</v>
      </c>
      <c r="H15" s="901" t="s">
        <v>450</v>
      </c>
      <c r="I15" s="902">
        <v>13</v>
      </c>
      <c r="J15" s="903" t="str">
        <f>B14</f>
        <v>Enn Tokman, Tarmo Bombe</v>
      </c>
      <c r="K15" s="900">
        <v>13</v>
      </c>
      <c r="L15" s="901" t="s">
        <v>450</v>
      </c>
      <c r="M15" s="902">
        <v>7</v>
      </c>
      <c r="N15" s="903" t="str">
        <f>B17</f>
        <v>Illar Tõnurist, Jaan Saar</v>
      </c>
      <c r="O15" s="900">
        <v>2</v>
      </c>
      <c r="P15" s="901" t="s">
        <v>450</v>
      </c>
      <c r="Q15" s="902">
        <v>13</v>
      </c>
      <c r="R15" s="903" t="str">
        <f>B13</f>
        <v>Karla Purgats, Ülo Piik</v>
      </c>
      <c r="S15" s="900">
        <v>10</v>
      </c>
      <c r="T15" s="901" t="s">
        <v>450</v>
      </c>
      <c r="U15" s="902">
        <v>13</v>
      </c>
      <c r="V15" s="903" t="str">
        <f>B12</f>
        <v>Kenneth Muusikus, Oleg Rõndenkov</v>
      </c>
      <c r="W15" s="900"/>
      <c r="X15" s="901" t="s">
        <v>450</v>
      </c>
      <c r="Y15" s="902"/>
      <c r="Z15" s="903"/>
      <c r="AA15" s="910">
        <f t="shared" si="0"/>
        <v>1</v>
      </c>
      <c r="AB15" s="905"/>
      <c r="AC15" s="900">
        <f t="shared" si="1"/>
        <v>35</v>
      </c>
      <c r="AD15" s="901" t="s">
        <v>450</v>
      </c>
      <c r="AE15" s="906">
        <f t="shared" si="2"/>
        <v>59</v>
      </c>
      <c r="AF15" s="907">
        <f t="shared" si="3"/>
        <v>-24</v>
      </c>
      <c r="AG15" s="908"/>
      <c r="AH15" s="764">
        <f t="shared" si="4"/>
        <v>316.5</v>
      </c>
      <c r="AI15" s="784">
        <f>IFERROR(INDEX(V!$R:$R,MATCH(AJ15,V!$L:$L,0)),"")</f>
        <v>94</v>
      </c>
      <c r="AJ15" s="783" t="str">
        <f t="shared" si="5"/>
        <v>Johannes Neiland</v>
      </c>
      <c r="AK15" s="784" t="str">
        <f>IFERROR(INDEX(V!$R:$R,MATCH(AL15,V!$L:$L,0)),"")</f>
        <v/>
      </c>
      <c r="AL15" s="783" t="str">
        <f t="shared" si="6"/>
        <v>Klavdia Piik, Meelis Luud</v>
      </c>
      <c r="AM15" s="784">
        <f>IFERROR(INDEX(V!$R:$R,MATCH(AN15,V!$L:$L,0)),"")</f>
        <v>97.5</v>
      </c>
      <c r="AN15" s="785" t="str">
        <f t="shared" si="7"/>
        <v>Klavdia Piik</v>
      </c>
      <c r="AO15" s="784">
        <f>IFERROR(INDEX(V!$R:$R,MATCH(AP15,V!$L:$L,0)),"")</f>
        <v>125</v>
      </c>
      <c r="AP15" s="785" t="str">
        <f t="shared" si="8"/>
        <v>Meelis Luud</v>
      </c>
      <c r="AQ15" s="760"/>
    </row>
    <row r="16" spans="1:43" x14ac:dyDescent="0.2">
      <c r="A16" s="897">
        <v>9</v>
      </c>
      <c r="B16" s="909" t="s">
        <v>403</v>
      </c>
      <c r="C16" s="900">
        <v>9</v>
      </c>
      <c r="D16" s="901" t="s">
        <v>450</v>
      </c>
      <c r="E16" s="902">
        <v>13</v>
      </c>
      <c r="F16" s="903" t="str">
        <f>B11</f>
        <v>Elmo Lageda, Tõnu Piik</v>
      </c>
      <c r="G16" s="900">
        <v>11</v>
      </c>
      <c r="H16" s="901" t="s">
        <v>450</v>
      </c>
      <c r="I16" s="902">
        <v>13</v>
      </c>
      <c r="J16" s="903" t="str">
        <f>B12</f>
        <v>Kenneth Muusikus, Oleg Rõndenkov</v>
      </c>
      <c r="K16" s="900">
        <v>5</v>
      </c>
      <c r="L16" s="901" t="s">
        <v>450</v>
      </c>
      <c r="M16" s="902">
        <v>13</v>
      </c>
      <c r="N16" s="903" t="str">
        <f>B14</f>
        <v>Enn Tokman, Tarmo Bombe</v>
      </c>
      <c r="O16" s="900">
        <v>13</v>
      </c>
      <c r="P16" s="901" t="s">
        <v>450</v>
      </c>
      <c r="Q16" s="902">
        <v>5</v>
      </c>
      <c r="R16" s="903" t="str">
        <f>B17</f>
        <v>Illar Tõnurist, Jaan Saar</v>
      </c>
      <c r="S16" s="900">
        <v>3</v>
      </c>
      <c r="T16" s="901" t="s">
        <v>450</v>
      </c>
      <c r="U16" s="902">
        <v>13</v>
      </c>
      <c r="V16" s="903" t="str">
        <f>B10</f>
        <v>Tõnu Kapper, Vladimir Ogneštšikov</v>
      </c>
      <c r="W16" s="900"/>
      <c r="X16" s="901" t="s">
        <v>450</v>
      </c>
      <c r="Y16" s="902"/>
      <c r="Z16" s="903"/>
      <c r="AA16" s="910">
        <f t="shared" si="0"/>
        <v>1</v>
      </c>
      <c r="AB16" s="905"/>
      <c r="AC16" s="900">
        <f t="shared" si="1"/>
        <v>41</v>
      </c>
      <c r="AD16" s="901" t="s">
        <v>450</v>
      </c>
      <c r="AE16" s="906">
        <f t="shared" si="2"/>
        <v>57</v>
      </c>
      <c r="AF16" s="907">
        <f t="shared" si="3"/>
        <v>-16</v>
      </c>
      <c r="AG16" s="908"/>
      <c r="AH16" s="764">
        <f t="shared" si="4"/>
        <v>83</v>
      </c>
      <c r="AI16" s="784">
        <f>IFERROR(INDEX(V!$R:$R,MATCH(AJ16,V!$L:$L,0)),"")</f>
        <v>61</v>
      </c>
      <c r="AJ16" s="783" t="str">
        <f t="shared" si="5"/>
        <v>Henri Mitt</v>
      </c>
      <c r="AK16" s="784">
        <f>IFERROR(INDEX(V!$R:$R,MATCH(AL16,V!$L:$L,0)),"")</f>
        <v>22</v>
      </c>
      <c r="AL16" s="783" t="str">
        <f t="shared" si="6"/>
        <v>Melika Lehtla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</row>
    <row r="17" spans="1:43" x14ac:dyDescent="0.2">
      <c r="A17" s="897">
        <v>10</v>
      </c>
      <c r="B17" s="909" t="s">
        <v>404</v>
      </c>
      <c r="C17" s="900">
        <v>9</v>
      </c>
      <c r="D17" s="901" t="s">
        <v>450</v>
      </c>
      <c r="E17" s="902">
        <v>13</v>
      </c>
      <c r="F17" s="903" t="str">
        <f>B13</f>
        <v>Karla Purgats, Ülo Piik</v>
      </c>
      <c r="G17" s="900">
        <v>10</v>
      </c>
      <c r="H17" s="901" t="s">
        <v>450</v>
      </c>
      <c r="I17" s="902">
        <v>13</v>
      </c>
      <c r="J17" s="903" t="str">
        <f>B10</f>
        <v>Tõnu Kapper, Vladimir Ogneštšikov</v>
      </c>
      <c r="K17" s="900">
        <v>7</v>
      </c>
      <c r="L17" s="901" t="s">
        <v>450</v>
      </c>
      <c r="M17" s="902">
        <v>13</v>
      </c>
      <c r="N17" s="903" t="str">
        <f>B15</f>
        <v>Johannes Neiland, Klavdia Piik, Meelis Luud</v>
      </c>
      <c r="O17" s="900">
        <v>5</v>
      </c>
      <c r="P17" s="901" t="s">
        <v>450</v>
      </c>
      <c r="Q17" s="902">
        <v>13</v>
      </c>
      <c r="R17" s="903" t="str">
        <f>B16</f>
        <v>Henri Mitt, Melika Lehtla</v>
      </c>
      <c r="S17" s="900">
        <v>13</v>
      </c>
      <c r="T17" s="901" t="s">
        <v>450</v>
      </c>
      <c r="U17" s="902">
        <v>8</v>
      </c>
      <c r="V17" s="903" t="str">
        <f>B14</f>
        <v>Enn Tokman, Tarmo Bombe</v>
      </c>
      <c r="W17" s="900"/>
      <c r="X17" s="901" t="s">
        <v>450</v>
      </c>
      <c r="Y17" s="902"/>
      <c r="Z17" s="903"/>
      <c r="AA17" s="910">
        <f t="shared" si="0"/>
        <v>1</v>
      </c>
      <c r="AB17" s="905"/>
      <c r="AC17" s="900">
        <f t="shared" si="1"/>
        <v>44</v>
      </c>
      <c r="AD17" s="901" t="s">
        <v>450</v>
      </c>
      <c r="AE17" s="906">
        <f t="shared" si="2"/>
        <v>60</v>
      </c>
      <c r="AF17" s="907">
        <f t="shared" si="3"/>
        <v>-16</v>
      </c>
      <c r="AG17" s="908"/>
      <c r="AH17" s="764">
        <f t="shared" si="4"/>
        <v>190.5</v>
      </c>
      <c r="AI17" s="784">
        <f>IFERROR(INDEX(V!$R:$R,MATCH(AJ17,V!$L:$L,0)),"")</f>
        <v>98.5</v>
      </c>
      <c r="AJ17" s="783" t="str">
        <f t="shared" si="5"/>
        <v>Illar Tõnurist</v>
      </c>
      <c r="AK17" s="784">
        <f>IFERROR(INDEX(V!$R:$R,MATCH(AL17,V!$L:$L,0)),"")</f>
        <v>92</v>
      </c>
      <c r="AL17" s="783" t="str">
        <f t="shared" si="6"/>
        <v>Jaan Saar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</row>
    <row r="18" spans="1:43" hidden="1" x14ac:dyDescent="0.2">
      <c r="A18" s="760"/>
      <c r="B18" s="760"/>
      <c r="C18" s="760"/>
      <c r="D18" s="760"/>
      <c r="E18" s="760"/>
      <c r="F18" s="760"/>
      <c r="G18" s="760"/>
      <c r="H18" s="760"/>
      <c r="I18" s="760"/>
      <c r="J18" s="760"/>
      <c r="K18" s="760"/>
      <c r="L18" s="760"/>
      <c r="M18" s="760"/>
      <c r="N18" s="760"/>
      <c r="O18" s="760"/>
      <c r="P18" s="760"/>
      <c r="Q18" s="760"/>
      <c r="R18" s="760"/>
      <c r="S18" s="760"/>
      <c r="T18" s="760"/>
      <c r="U18" s="760"/>
      <c r="V18" s="760"/>
      <c r="W18" s="760"/>
      <c r="X18" s="760"/>
      <c r="Y18" s="760"/>
      <c r="Z18" s="760"/>
      <c r="AA18" s="760"/>
      <c r="AB18" s="760"/>
      <c r="AC18" s="760"/>
      <c r="AD18" s="760"/>
      <c r="AE18" s="760"/>
      <c r="AF18" s="760"/>
      <c r="AG18" s="760"/>
      <c r="AH18" s="764">
        <f t="shared" si="4"/>
        <v>0</v>
      </c>
      <c r="AI18" s="784" t="str">
        <f>IFERROR(INDEX(V!$R:$R,MATCH(AJ18,V!$L:$L,0)),"")</f>
        <v/>
      </c>
      <c r="AJ18" s="783" t="str">
        <f t="shared" si="5"/>
        <v/>
      </c>
      <c r="AK18" s="784" t="str">
        <f>IFERROR(INDEX(V!$R:$R,MATCH(AL18,V!$L:$L,0)),"")</f>
        <v/>
      </c>
      <c r="AL18" s="783" t="str">
        <f t="shared" si="6"/>
        <v/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</row>
    <row r="19" spans="1:43" hidden="1" x14ac:dyDescent="0.2">
      <c r="A19" s="760"/>
      <c r="B19" s="760"/>
      <c r="C19" s="760"/>
      <c r="D19" s="760"/>
      <c r="E19" s="760"/>
      <c r="F19" s="760"/>
      <c r="G19" s="760"/>
      <c r="H19" s="760"/>
      <c r="I19" s="760"/>
      <c r="J19" s="760"/>
      <c r="K19" s="760"/>
      <c r="L19" s="760"/>
      <c r="M19" s="760"/>
      <c r="N19" s="760"/>
      <c r="O19" s="760"/>
      <c r="P19" s="760"/>
      <c r="Q19" s="760"/>
      <c r="R19" s="760"/>
      <c r="S19" s="760"/>
      <c r="T19" s="760"/>
      <c r="U19" s="760"/>
      <c r="V19" s="760"/>
      <c r="W19" s="760"/>
      <c r="X19" s="760"/>
      <c r="Y19" s="760"/>
      <c r="Z19" s="760"/>
      <c r="AA19" s="760"/>
      <c r="AB19" s="760"/>
      <c r="AC19" s="760"/>
      <c r="AD19" s="760"/>
      <c r="AE19" s="760"/>
      <c r="AF19" s="760"/>
      <c r="AG19" s="760"/>
      <c r="AH19" s="764">
        <f t="shared" si="4"/>
        <v>0</v>
      </c>
      <c r="AI19" s="784" t="str">
        <f>IFERROR(INDEX(V!$R:$R,MATCH(AJ19,V!$L:$L,0)),"")</f>
        <v/>
      </c>
      <c r="AJ19" s="783" t="str">
        <f t="shared" si="5"/>
        <v/>
      </c>
      <c r="AK19" s="784" t="str">
        <f>IFERROR(INDEX(V!$R:$R,MATCH(AL19,V!$L:$L,0)),"")</f>
        <v/>
      </c>
      <c r="AL19" s="783" t="str">
        <f t="shared" si="6"/>
        <v/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</row>
    <row r="20" spans="1:43" hidden="1" x14ac:dyDescent="0.2">
      <c r="A20" s="760"/>
      <c r="B20" s="760"/>
      <c r="C20" s="760"/>
      <c r="D20" s="760"/>
      <c r="E20" s="760"/>
      <c r="F20" s="760"/>
      <c r="G20" s="760"/>
      <c r="H20" s="760"/>
      <c r="I20" s="760"/>
      <c r="J20" s="760"/>
      <c r="K20" s="760"/>
      <c r="L20" s="880"/>
      <c r="M20" s="880"/>
      <c r="N20" s="880"/>
      <c r="O20" s="760"/>
      <c r="P20" s="760"/>
      <c r="Q20" s="760"/>
      <c r="R20" s="760"/>
      <c r="S20" s="760"/>
      <c r="T20" s="880"/>
      <c r="U20" s="880"/>
      <c r="V20" s="880"/>
      <c r="W20" s="880"/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4">
        <f t="shared" si="4"/>
        <v>0</v>
      </c>
      <c r="AI20" s="784" t="str">
        <f>IFERROR(INDEX(V!$R:$R,MATCH(AJ20,V!$L:$L,0)),"")</f>
        <v/>
      </c>
      <c r="AJ20" s="783" t="str">
        <f t="shared" si="5"/>
        <v/>
      </c>
      <c r="AK20" s="784" t="str">
        <f>IFERROR(INDEX(V!$R:$R,MATCH(AL20,V!$L:$L,0)),"")</f>
        <v/>
      </c>
      <c r="AL20" s="783" t="str">
        <f t="shared" si="6"/>
        <v/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</row>
    <row r="21" spans="1:43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</row>
    <row r="22" spans="1:43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</row>
    <row r="23" spans="1:43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</row>
    <row r="24" spans="1:43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</row>
    <row r="25" spans="1:43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</row>
    <row r="26" spans="1:43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</row>
    <row r="27" spans="1:43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</row>
    <row r="28" spans="1:43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</row>
    <row r="29" spans="1:43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</row>
    <row r="30" spans="1:43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</row>
    <row r="31" spans="1:43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</row>
    <row r="32" spans="1:43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</row>
    <row r="33" spans="1:43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</row>
    <row r="34" spans="1:43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</row>
    <row r="35" spans="1:43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</row>
    <row r="36" spans="1:43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</row>
    <row r="37" spans="1:43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</row>
    <row r="38" spans="1:43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</row>
    <row r="39" spans="1:43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</row>
    <row r="40" spans="1:43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</row>
    <row r="41" spans="1:43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</row>
    <row r="42" spans="1:43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</row>
    <row r="43" spans="1:43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</row>
    <row r="44" spans="1:43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</row>
    <row r="45" spans="1:43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</row>
    <row r="46" spans="1:43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</row>
    <row r="47" spans="1:43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</row>
    <row r="48" spans="1:43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</row>
    <row r="49" spans="1:43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</row>
    <row r="50" spans="1:43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</row>
    <row r="51" spans="1:43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</row>
    <row r="52" spans="1:43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</row>
    <row r="53" spans="1:43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</row>
    <row r="54" spans="1:43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</row>
    <row r="55" spans="1:43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</row>
    <row r="56" spans="1:43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</row>
    <row r="57" spans="1:43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</row>
    <row r="58" spans="1:43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</row>
    <row r="59" spans="1:43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</row>
    <row r="60" spans="1:43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</row>
    <row r="61" spans="1:43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</row>
    <row r="62" spans="1:43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</row>
    <row r="63" spans="1:43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</row>
    <row r="64" spans="1:43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</row>
    <row r="65" spans="1:43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</row>
    <row r="66" spans="1:43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</row>
    <row r="67" spans="1:43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</row>
    <row r="68" spans="1:43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</row>
    <row r="69" spans="1:43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</row>
    <row r="70" spans="1:43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</row>
    <row r="71" spans="1:43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</row>
    <row r="72" spans="1:43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</row>
    <row r="73" spans="1:43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</row>
    <row r="74" spans="1:43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</row>
    <row r="75" spans="1:43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</row>
    <row r="76" spans="1:43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</row>
    <row r="77" spans="1:43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</row>
    <row r="78" spans="1:43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</row>
    <row r="79" spans="1:43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</row>
    <row r="80" spans="1:43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</row>
    <row r="81" spans="1:43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</row>
    <row r="82" spans="1:43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</row>
    <row r="83" spans="1:43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</row>
    <row r="84" spans="1:43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</row>
    <row r="85" spans="1:43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</row>
    <row r="86" spans="1:43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</row>
    <row r="87" spans="1:43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</row>
    <row r="88" spans="1:43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</row>
    <row r="89" spans="1:43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</row>
    <row r="90" spans="1:43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</row>
    <row r="91" spans="1:43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</row>
    <row r="92" spans="1:43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</row>
    <row r="93" spans="1:43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</row>
    <row r="94" spans="1:43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</row>
    <row r="95" spans="1:43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</row>
    <row r="96" spans="1:43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</row>
    <row r="97" spans="1:43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</row>
    <row r="98" spans="1:43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</row>
    <row r="99" spans="1:43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</row>
    <row r="100" spans="1:43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</row>
    <row r="101" spans="1:43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</row>
    <row r="102" spans="1:43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</row>
    <row r="103" spans="1:43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</row>
    <row r="104" spans="1:43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</row>
    <row r="105" spans="1:43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</row>
    <row r="106" spans="1:43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</row>
    <row r="107" spans="1:43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</row>
    <row r="108" spans="1:43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</row>
    <row r="109" spans="1:43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</row>
    <row r="110" spans="1:43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</row>
    <row r="111" spans="1:43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</row>
    <row r="112" spans="1:43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</row>
    <row r="113" spans="1:43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</row>
    <row r="114" spans="1:43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</row>
    <row r="115" spans="1:43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</row>
    <row r="116" spans="1:43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</row>
    <row r="117" spans="1:43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</row>
    <row r="118" spans="1:43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</row>
    <row r="119" spans="1:43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</row>
    <row r="120" spans="1:43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</row>
    <row r="121" spans="1:43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</row>
    <row r="122" spans="1:43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</row>
    <row r="123" spans="1:43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</row>
    <row r="124" spans="1:43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</row>
    <row r="125" spans="1:43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</row>
    <row r="126" spans="1:43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</row>
    <row r="127" spans="1:43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</row>
    <row r="128" spans="1:43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</row>
    <row r="129" spans="1:43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</row>
    <row r="130" spans="1:43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</row>
    <row r="131" spans="1:43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</row>
    <row r="132" spans="1:43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</row>
    <row r="133" spans="1:43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</row>
    <row r="134" spans="1:43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</row>
    <row r="135" spans="1:43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</row>
    <row r="136" spans="1:43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</row>
    <row r="137" spans="1:43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</row>
    <row r="138" spans="1:43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</row>
    <row r="139" spans="1:43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</row>
    <row r="140" spans="1:43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</row>
    <row r="141" spans="1:43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</row>
    <row r="142" spans="1:43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</row>
    <row r="143" spans="1:43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</row>
    <row r="144" spans="1:43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</row>
    <row r="145" spans="1:43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</row>
    <row r="146" spans="1:43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</row>
    <row r="147" spans="1:43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</row>
    <row r="148" spans="1:43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</row>
    <row r="149" spans="1:43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</row>
    <row r="150" spans="1:43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</row>
    <row r="151" spans="1:43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</row>
    <row r="152" spans="1:43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</row>
    <row r="153" spans="1:43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</row>
    <row r="154" spans="1:43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</row>
    <row r="155" spans="1:43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</row>
    <row r="156" spans="1:43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</row>
    <row r="157" spans="1:43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</row>
    <row r="158" spans="1:43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</row>
    <row r="159" spans="1:43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</row>
    <row r="160" spans="1:43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</row>
    <row r="161" spans="1:43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</row>
    <row r="162" spans="1:43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</row>
    <row r="163" spans="1:43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</row>
    <row r="164" spans="1:43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</row>
    <row r="165" spans="1:43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</row>
    <row r="166" spans="1:43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</row>
    <row r="167" spans="1:43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</row>
    <row r="168" spans="1:43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</row>
    <row r="169" spans="1:43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</row>
    <row r="170" spans="1:43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</row>
    <row r="171" spans="1:43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</row>
    <row r="172" spans="1:43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</row>
    <row r="173" spans="1:43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</row>
    <row r="174" spans="1:43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</row>
    <row r="175" spans="1:43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</row>
    <row r="176" spans="1:43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</row>
    <row r="177" spans="1:43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</row>
    <row r="178" spans="1:43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</row>
    <row r="179" spans="1:43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</row>
    <row r="180" spans="1:43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</row>
    <row r="181" spans="1:43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</row>
    <row r="182" spans="1:43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</row>
    <row r="183" spans="1:43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</row>
    <row r="184" spans="1:43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</row>
    <row r="185" spans="1:43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</row>
    <row r="186" spans="1:43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</row>
    <row r="187" spans="1:43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</row>
    <row r="188" spans="1:43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</row>
    <row r="189" spans="1:43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</row>
    <row r="190" spans="1:43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</row>
    <row r="191" spans="1:43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</row>
    <row r="192" spans="1:43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</row>
    <row r="193" spans="1:43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</row>
    <row r="194" spans="1:43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</row>
    <row r="195" spans="1:43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</row>
    <row r="196" spans="1:43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</row>
    <row r="197" spans="1:43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</row>
    <row r="198" spans="1:43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</row>
    <row r="199" spans="1:43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</row>
    <row r="200" spans="1:43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</row>
    <row r="201" spans="1:43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</row>
    <row r="202" spans="1:43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</row>
    <row r="203" spans="1:43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</row>
    <row r="204" spans="1:43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</row>
    <row r="205" spans="1:43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</row>
    <row r="206" spans="1:43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</row>
    <row r="207" spans="1:43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</row>
    <row r="208" spans="1:43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</row>
    <row r="209" spans="1:43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</row>
    <row r="210" spans="1:43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</row>
    <row r="211" spans="1:43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</row>
    <row r="212" spans="1:43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</row>
    <row r="213" spans="1:43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</row>
    <row r="214" spans="1:43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</row>
    <row r="215" spans="1:43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</row>
    <row r="216" spans="1:43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</row>
    <row r="217" spans="1:43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</row>
    <row r="218" spans="1:43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</row>
    <row r="219" spans="1:43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</row>
    <row r="220" spans="1:43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</row>
    <row r="221" spans="1:43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</row>
    <row r="222" spans="1:43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</row>
    <row r="223" spans="1:43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</row>
    <row r="224" spans="1:43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</row>
    <row r="225" spans="1:43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</row>
    <row r="226" spans="1:43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</row>
    <row r="227" spans="1:43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</row>
    <row r="228" spans="1:43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</row>
    <row r="229" spans="1:43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</row>
    <row r="230" spans="1:43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</row>
    <row r="231" spans="1:43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</row>
    <row r="232" spans="1:43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</row>
    <row r="233" spans="1:43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</row>
    <row r="234" spans="1:43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</row>
    <row r="235" spans="1:43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</row>
    <row r="236" spans="1:43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</row>
    <row r="237" spans="1:43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</row>
    <row r="238" spans="1:43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</row>
    <row r="239" spans="1:43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</row>
    <row r="240" spans="1:43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</row>
    <row r="241" spans="1:43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</row>
    <row r="242" spans="1:43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</row>
    <row r="243" spans="1:43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</row>
    <row r="244" spans="1:43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</row>
    <row r="245" spans="1:43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</row>
    <row r="246" spans="1:43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</row>
    <row r="247" spans="1:43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</row>
    <row r="248" spans="1:43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</row>
    <row r="249" spans="1:43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</row>
    <row r="250" spans="1:43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</row>
    <row r="251" spans="1:43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</row>
    <row r="252" spans="1:43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</row>
    <row r="253" spans="1:43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</row>
    <row r="254" spans="1:43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</row>
    <row r="255" spans="1:43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</row>
    <row r="256" spans="1:43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</row>
    <row r="257" spans="1:43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</row>
    <row r="258" spans="1:43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</row>
    <row r="259" spans="1:43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</row>
    <row r="260" spans="1:43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</row>
    <row r="261" spans="1:43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</row>
    <row r="262" spans="1:43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</row>
    <row r="263" spans="1:43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</row>
    <row r="264" spans="1:43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</row>
    <row r="265" spans="1:43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</row>
    <row r="266" spans="1:43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</row>
    <row r="267" spans="1:43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</row>
    <row r="268" spans="1:43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</row>
    <row r="269" spans="1:43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</row>
    <row r="270" spans="1:43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</row>
    <row r="271" spans="1:43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</row>
    <row r="272" spans="1:43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</row>
    <row r="273" spans="1:43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</row>
    <row r="274" spans="1:43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</row>
    <row r="275" spans="1:43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</row>
    <row r="276" spans="1:43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</row>
    <row r="277" spans="1:43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</row>
    <row r="278" spans="1:43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</row>
    <row r="279" spans="1:43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</row>
    <row r="280" spans="1:43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</row>
    <row r="281" spans="1:43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</row>
    <row r="282" spans="1:43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</row>
    <row r="283" spans="1:43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</row>
    <row r="284" spans="1:43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</row>
    <row r="285" spans="1:43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</row>
    <row r="286" spans="1:43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</row>
    <row r="287" spans="1:43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</row>
    <row r="288" spans="1:43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</row>
    <row r="289" spans="1:43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</row>
    <row r="290" spans="1:43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</row>
    <row r="291" spans="1:43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</row>
    <row r="292" spans="1:43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</row>
    <row r="293" spans="1:43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</row>
    <row r="294" spans="1:43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</row>
    <row r="295" spans="1:43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</row>
    <row r="296" spans="1:43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</row>
    <row r="297" spans="1:43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</row>
    <row r="298" spans="1:43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</row>
    <row r="299" spans="1:43" x14ac:dyDescent="0.2">
      <c r="A299" s="760"/>
      <c r="B299" s="760"/>
      <c r="C299" s="912" t="s">
        <v>232</v>
      </c>
      <c r="D299" s="814"/>
      <c r="E299" s="814"/>
      <c r="F299" s="919"/>
      <c r="G299" s="760"/>
      <c r="H299" s="760"/>
      <c r="I299" s="760"/>
      <c r="J299" s="760"/>
      <c r="K299" s="760"/>
      <c r="L299" s="880"/>
      <c r="M299" s="880"/>
      <c r="N299" s="880"/>
      <c r="O299" s="760"/>
      <c r="P299" s="760"/>
      <c r="Q299" s="760"/>
      <c r="R299" s="760"/>
      <c r="S299" s="760"/>
      <c r="T299" s="880"/>
      <c r="U299" s="880"/>
      <c r="V299" s="88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</row>
    <row r="300" spans="1:43" x14ac:dyDescent="0.2">
      <c r="A300" s="815">
        <v>1</v>
      </c>
      <c r="B300" s="816" t="str">
        <f>IFERROR(INDEX(B$1:B$100,MATCH(A300,A$1:A$100,0)),"")</f>
        <v>Ivar Viljaste, Matti Vinni</v>
      </c>
      <c r="C300" s="755">
        <f>IF(16-A300&gt;0,16-A300,1)</f>
        <v>15</v>
      </c>
      <c r="D300" s="755"/>
      <c r="E300" s="755"/>
      <c r="F300" s="920"/>
      <c r="G300" s="760"/>
      <c r="H300" s="760"/>
      <c r="I300" s="760"/>
      <c r="J300" s="921"/>
      <c r="K300" s="880"/>
      <c r="L300" s="880"/>
      <c r="M300" s="880"/>
      <c r="N300" s="880"/>
      <c r="O300" s="880"/>
      <c r="P300" s="880"/>
      <c r="Q300" s="880"/>
      <c r="R300" s="880"/>
      <c r="S300" s="880"/>
      <c r="T300" s="880"/>
      <c r="U300" s="880"/>
      <c r="V300" s="88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</row>
    <row r="301" spans="1:43" x14ac:dyDescent="0.2">
      <c r="A301" s="815">
        <v>2</v>
      </c>
      <c r="B301" s="816" t="str">
        <f t="shared" ref="B301:B307" si="9">IFERROR(INDEX(B$1:B$100,MATCH(A301,A$1:A$100,0)),"")</f>
        <v>Argo Sepp, Jaan Sepp</v>
      </c>
      <c r="C301" s="755">
        <f t="shared" ref="C301:C307" si="10">IF(16-A301&gt;0,16-A301,1)</f>
        <v>14</v>
      </c>
      <c r="D301" s="817"/>
      <c r="E301" s="817"/>
      <c r="F301" s="920"/>
      <c r="G301" s="760"/>
      <c r="H301" s="760"/>
      <c r="I301" s="760"/>
      <c r="J301" s="921"/>
      <c r="K301" s="880"/>
      <c r="L301" s="880"/>
      <c r="M301" s="921"/>
      <c r="N301" s="880"/>
      <c r="O301" s="880"/>
      <c r="P301" s="880"/>
      <c r="Q301" s="880"/>
      <c r="R301" s="880"/>
      <c r="S301" s="880"/>
      <c r="T301" s="880"/>
      <c r="U301" s="880"/>
      <c r="V301" s="880"/>
      <c r="W301" s="88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</row>
    <row r="302" spans="1:43" x14ac:dyDescent="0.2">
      <c r="A302" s="815">
        <v>3</v>
      </c>
      <c r="B302" s="816" t="str">
        <f t="shared" si="9"/>
        <v>Tõnu Kapper, Vladimir Ogneštšikov</v>
      </c>
      <c r="C302" s="755">
        <f t="shared" si="10"/>
        <v>13</v>
      </c>
      <c r="D302" s="817"/>
      <c r="E302" s="817"/>
      <c r="F302" s="920"/>
      <c r="G302" s="760"/>
      <c r="H302" s="760"/>
      <c r="I302" s="760"/>
      <c r="J302" s="921"/>
      <c r="K302" s="880"/>
      <c r="L302" s="880"/>
      <c r="M302" s="880"/>
      <c r="N302" s="921"/>
      <c r="O302" s="880"/>
      <c r="P302" s="880"/>
      <c r="Q302" s="880"/>
      <c r="R302" s="880"/>
      <c r="S302" s="880"/>
      <c r="T302" s="880"/>
      <c r="U302" s="880"/>
      <c r="V302" s="88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</row>
    <row r="303" spans="1:43" x14ac:dyDescent="0.2">
      <c r="A303" s="815">
        <v>4</v>
      </c>
      <c r="B303" s="816" t="str">
        <f t="shared" si="9"/>
        <v>Elmo Lageda, Tõnu Piik</v>
      </c>
      <c r="C303" s="755">
        <f t="shared" si="10"/>
        <v>12</v>
      </c>
      <c r="D303" s="817"/>
      <c r="E303" s="817"/>
      <c r="F303" s="920"/>
      <c r="G303" s="760"/>
      <c r="H303" s="760"/>
      <c r="I303" s="760"/>
      <c r="J303" s="921"/>
      <c r="K303" s="880"/>
      <c r="L303" s="880"/>
      <c r="M303" s="880"/>
      <c r="N303" s="921"/>
      <c r="O303" s="880"/>
      <c r="P303" s="880"/>
      <c r="Q303" s="880"/>
      <c r="R303" s="880"/>
      <c r="S303" s="880"/>
      <c r="T303" s="880"/>
      <c r="U303" s="880"/>
      <c r="V303" s="88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</row>
    <row r="304" spans="1:43" x14ac:dyDescent="0.2">
      <c r="A304" s="815">
        <v>5</v>
      </c>
      <c r="B304" s="816" t="str">
        <f t="shared" si="9"/>
        <v>Kenneth Muusikus, Oleg Rõndenkov</v>
      </c>
      <c r="C304" s="755">
        <f t="shared" si="10"/>
        <v>11</v>
      </c>
      <c r="D304" s="817"/>
      <c r="E304" s="817"/>
      <c r="F304" s="920"/>
      <c r="G304" s="760"/>
      <c r="H304" s="760"/>
      <c r="I304" s="760"/>
      <c r="J304" s="921"/>
      <c r="K304" s="880"/>
      <c r="L304" s="880"/>
      <c r="M304" s="880"/>
      <c r="N304" s="880"/>
      <c r="O304" s="880"/>
      <c r="P304" s="880"/>
      <c r="Q304" s="880"/>
      <c r="R304" s="880"/>
      <c r="S304" s="880"/>
      <c r="T304" s="880"/>
      <c r="U304" s="880"/>
      <c r="V304" s="88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</row>
    <row r="305" spans="1:43" x14ac:dyDescent="0.2">
      <c r="A305" s="815">
        <v>6</v>
      </c>
      <c r="B305" s="816" t="str">
        <f t="shared" si="9"/>
        <v>Karla Purgats, Ülo Piik</v>
      </c>
      <c r="C305" s="755">
        <v>9.5</v>
      </c>
      <c r="D305" s="817"/>
      <c r="E305" s="817"/>
      <c r="F305" s="920"/>
      <c r="G305" s="760"/>
      <c r="H305" s="760"/>
      <c r="I305" s="760"/>
      <c r="J305" s="921"/>
      <c r="K305" s="880"/>
      <c r="L305" s="880"/>
      <c r="M305" s="921"/>
      <c r="N305" s="880"/>
      <c r="O305" s="880"/>
      <c r="P305" s="880"/>
      <c r="Q305" s="880"/>
      <c r="R305" s="880"/>
      <c r="S305" s="880"/>
      <c r="T305" s="880"/>
      <c r="U305" s="880"/>
      <c r="V305" s="88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</row>
    <row r="306" spans="1:43" x14ac:dyDescent="0.2">
      <c r="A306" s="815">
        <v>6</v>
      </c>
      <c r="B306" s="816" t="str">
        <f>B14</f>
        <v>Enn Tokman, Tarmo Bombe</v>
      </c>
      <c r="C306" s="755">
        <v>9.5</v>
      </c>
      <c r="D306" s="817"/>
      <c r="E306" s="817"/>
      <c r="F306" s="920"/>
      <c r="G306" s="760"/>
      <c r="H306" s="760"/>
      <c r="I306" s="760"/>
      <c r="J306" s="921"/>
      <c r="K306" s="880"/>
      <c r="L306" s="880"/>
      <c r="M306" s="880"/>
      <c r="N306" s="921"/>
      <c r="O306" s="880"/>
      <c r="P306" s="880"/>
      <c r="Q306" s="880"/>
      <c r="R306" s="880"/>
      <c r="S306" s="880"/>
      <c r="T306" s="880"/>
      <c r="U306" s="880"/>
      <c r="V306" s="880"/>
      <c r="W306" s="88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</row>
    <row r="307" spans="1:43" x14ac:dyDescent="0.2">
      <c r="A307" s="815">
        <v>8</v>
      </c>
      <c r="B307" s="816" t="str">
        <f t="shared" si="9"/>
        <v>Johannes Neiland, Klavdia Piik, Meelis Luud</v>
      </c>
      <c r="C307" s="755">
        <f t="shared" si="10"/>
        <v>8</v>
      </c>
      <c r="D307" s="817"/>
      <c r="E307" s="817"/>
      <c r="F307" s="920"/>
      <c r="G307" s="760"/>
      <c r="H307" s="760"/>
      <c r="I307" s="760"/>
      <c r="J307" s="921"/>
      <c r="K307" s="880"/>
      <c r="L307" s="880"/>
      <c r="M307" s="880"/>
      <c r="N307" s="921"/>
      <c r="O307" s="880"/>
      <c r="P307" s="880"/>
      <c r="Q307" s="880"/>
      <c r="R307" s="880"/>
      <c r="S307" s="880"/>
      <c r="T307" s="880"/>
      <c r="U307" s="880"/>
      <c r="V307" s="88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</row>
    <row r="308" spans="1:43" x14ac:dyDescent="0.2">
      <c r="A308" s="815">
        <v>9</v>
      </c>
      <c r="B308" s="816" t="str">
        <f>IFERROR(INDEX(B$1:B$100,MATCH(A308,A$1:A$100,0)),"")</f>
        <v>Henri Mitt, Melika Lehtla</v>
      </c>
      <c r="C308" s="755">
        <f>IF(16-A308&gt;0,16-A308,1)</f>
        <v>7</v>
      </c>
      <c r="D308" s="817"/>
      <c r="E308" s="817"/>
      <c r="F308" s="920"/>
      <c r="G308" s="760"/>
      <c r="H308" s="760"/>
      <c r="I308" s="760"/>
      <c r="J308" s="921"/>
      <c r="K308" s="880"/>
      <c r="L308" s="880"/>
      <c r="M308" s="880"/>
      <c r="N308" s="880"/>
      <c r="O308" s="880"/>
      <c r="P308" s="880"/>
      <c r="Q308" s="880"/>
      <c r="R308" s="880"/>
      <c r="S308" s="880"/>
      <c r="T308" s="880"/>
      <c r="U308" s="880"/>
      <c r="V308" s="88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</row>
    <row r="309" spans="1:43" x14ac:dyDescent="0.2">
      <c r="A309" s="815">
        <v>10</v>
      </c>
      <c r="B309" s="816" t="str">
        <f t="shared" ref="B309" si="11">IFERROR(INDEX(B$1:B$100,MATCH(A309,A$1:A$100,0)),"")</f>
        <v>Illar Tõnurist, Jaan Saar</v>
      </c>
      <c r="C309" s="755">
        <f t="shared" ref="C309" si="12">IF(16-A309&gt;0,16-A309,1)</f>
        <v>6</v>
      </c>
      <c r="D309" s="817"/>
      <c r="E309" s="817"/>
      <c r="F309" s="920"/>
      <c r="G309" s="760"/>
      <c r="H309" s="760"/>
      <c r="I309" s="760"/>
      <c r="J309" s="921"/>
      <c r="K309" s="880"/>
      <c r="L309" s="880"/>
      <c r="M309" s="880"/>
      <c r="N309" s="880"/>
      <c r="O309" s="880"/>
      <c r="P309" s="880"/>
      <c r="Q309" s="880"/>
      <c r="R309" s="880"/>
      <c r="S309" s="880"/>
      <c r="T309" s="880"/>
      <c r="U309" s="880"/>
      <c r="V309" s="88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</row>
    <row r="310" spans="1:43" x14ac:dyDescent="0.2">
      <c r="A310" s="760"/>
      <c r="B310" s="760"/>
      <c r="C310" s="760"/>
      <c r="D310" s="760"/>
      <c r="E310" s="760"/>
      <c r="F310" s="760"/>
      <c r="G310" s="760"/>
      <c r="H310" s="760"/>
      <c r="I310" s="760"/>
      <c r="J310" s="921"/>
      <c r="K310" s="880"/>
      <c r="L310" s="880"/>
      <c r="M310" s="880"/>
      <c r="N310" s="880"/>
      <c r="O310" s="880"/>
      <c r="P310" s="880"/>
      <c r="Q310" s="880"/>
      <c r="R310" s="880"/>
      <c r="S310" s="880"/>
      <c r="T310" s="880"/>
      <c r="U310" s="880"/>
      <c r="V310" s="88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</row>
    <row r="311" spans="1:43" x14ac:dyDescent="0.2">
      <c r="A311" s="760"/>
      <c r="B311" s="760"/>
      <c r="C311" s="760"/>
      <c r="D311" s="760"/>
      <c r="E311" s="760"/>
      <c r="F311" s="760"/>
      <c r="G311" s="760"/>
      <c r="H311" s="760"/>
      <c r="I311" s="760"/>
      <c r="J311" s="921"/>
      <c r="K311" s="760"/>
      <c r="L311" s="880"/>
      <c r="M311" s="880"/>
      <c r="N311" s="880"/>
      <c r="O311" s="760"/>
      <c r="P311" s="760"/>
      <c r="Q311" s="760"/>
      <c r="R311" s="760"/>
      <c r="S311" s="760"/>
      <c r="T311" s="880"/>
      <c r="U311" s="880"/>
      <c r="V311" s="880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</row>
  </sheetData>
  <conditionalFormatting sqref="A300:A309">
    <cfRule type="duplicateValues" dxfId="2859" priority="48"/>
  </conditionalFormatting>
  <conditionalFormatting sqref="B300:B309">
    <cfRule type="expression" dxfId="2858" priority="40">
      <formula>A300=3</formula>
    </cfRule>
    <cfRule type="expression" dxfId="2857" priority="41">
      <formula>A300=2</formula>
    </cfRule>
    <cfRule type="expression" dxfId="2856" priority="42">
      <formula>A300=1</formula>
    </cfRule>
    <cfRule type="containsBlanks" dxfId="2855" priority="43">
      <formula>LEN(TRIM(B300))=0</formula>
    </cfRule>
    <cfRule type="duplicateValues" dxfId="2854" priority="44"/>
  </conditionalFormatting>
  <conditionalFormatting sqref="A8:A17">
    <cfRule type="duplicateValues" dxfId="2853" priority="39"/>
  </conditionalFormatting>
  <conditionalFormatting sqref="C8:C17">
    <cfRule type="expression" dxfId="2852" priority="21">
      <formula>IF($C8&gt;$E8,TRUE)</formula>
    </cfRule>
  </conditionalFormatting>
  <conditionalFormatting sqref="E8:E17">
    <cfRule type="expression" dxfId="2851" priority="22">
      <formula>IF($C8&lt;$E8,TRUE)</formula>
    </cfRule>
  </conditionalFormatting>
  <conditionalFormatting sqref="K8:K17">
    <cfRule type="expression" dxfId="2850" priority="29">
      <formula>IF($K8&gt;$M8,TRUE)</formula>
    </cfRule>
  </conditionalFormatting>
  <conditionalFormatting sqref="M8:M17">
    <cfRule type="expression" dxfId="2849" priority="30">
      <formula>IF($K8&lt;$M8,TRUE)</formula>
    </cfRule>
  </conditionalFormatting>
  <conditionalFormatting sqref="O8:O17">
    <cfRule type="expression" dxfId="2848" priority="33">
      <formula>IF($O8&gt;$Q8,TRUE)</formula>
    </cfRule>
  </conditionalFormatting>
  <conditionalFormatting sqref="Q8:Q17">
    <cfRule type="expression" dxfId="2847" priority="34">
      <formula>IF($O8&lt;$Q8,TRUE)</formula>
    </cfRule>
  </conditionalFormatting>
  <conditionalFormatting sqref="S8:S17">
    <cfRule type="expression" dxfId="2846" priority="37">
      <formula>IF($S8&gt;$U8,TRUE)</formula>
    </cfRule>
  </conditionalFormatting>
  <conditionalFormatting sqref="U8:U17">
    <cfRule type="expression" dxfId="2845" priority="38">
      <formula>IF($S8&lt;$U8,TRUE)</formula>
    </cfRule>
  </conditionalFormatting>
  <conditionalFormatting sqref="G8:G17">
    <cfRule type="expression" dxfId="2844" priority="25">
      <formula>IF($G8&gt;$I8,TRUE)</formula>
    </cfRule>
  </conditionalFormatting>
  <conditionalFormatting sqref="I8:I17">
    <cfRule type="expression" dxfId="2843" priority="26">
      <formula>IF($G8&lt;$I8,TRUE)</formula>
    </cfRule>
  </conditionalFormatting>
  <conditionalFormatting sqref="F8:F17">
    <cfRule type="containsText" dxfId="2842" priority="7" operator="containsText" text="vaba voor">
      <formula>NOT(ISERROR(SEARCH("vaba voor",F8)))</formula>
    </cfRule>
  </conditionalFormatting>
  <conditionalFormatting sqref="N8:N17">
    <cfRule type="containsText" dxfId="2841" priority="5" operator="containsText" text="vaba voor">
      <formula>NOT(ISERROR(SEARCH("vaba voor",N8)))</formula>
    </cfRule>
  </conditionalFormatting>
  <conditionalFormatting sqref="R8:R17">
    <cfRule type="containsText" dxfId="2840" priority="8" operator="containsText" text="vaba voor">
      <formula>NOT(ISERROR(SEARCH("vaba voor",R8)))</formula>
    </cfRule>
  </conditionalFormatting>
  <conditionalFormatting sqref="V8:V17">
    <cfRule type="containsText" dxfId="2839" priority="4" operator="containsText" text="vaba voor">
      <formula>NOT(ISERROR(SEARCH("vaba voor",V8)))</formula>
    </cfRule>
  </conditionalFormatting>
  <conditionalFormatting sqref="Z8:Z17">
    <cfRule type="containsText" dxfId="2838" priority="3" operator="containsText" text="vaba voor">
      <formula>NOT(ISERROR(SEARCH("vaba voor",Z8)))</formula>
    </cfRule>
  </conditionalFormatting>
  <conditionalFormatting sqref="W8:W17">
    <cfRule type="expression" dxfId="2837" priority="12">
      <formula>IF($W8&gt;$Y8,TRUE)</formula>
    </cfRule>
  </conditionalFormatting>
  <conditionalFormatting sqref="Y8:Y17">
    <cfRule type="expression" dxfId="2836" priority="13">
      <formula>IF($W8&lt;$Y8,TRUE)</formula>
    </cfRule>
  </conditionalFormatting>
  <conditionalFormatting sqref="J8:J17">
    <cfRule type="containsText" dxfId="2835" priority="6" operator="containsText" text="vaba voor">
      <formula>NOT(ISERROR(SEARCH("vaba voor",J8)))</formula>
    </cfRule>
  </conditionalFormatting>
  <conditionalFormatting sqref="C8:F17">
    <cfRule type="expression" dxfId="2834" priority="17">
      <formula>IF(AND(ISNUMBER($C8),$C8=$E8),TRUE)</formula>
    </cfRule>
    <cfRule type="expression" dxfId="2833" priority="19">
      <formula>IF($C8&gt;$E8,TRUE)</formula>
    </cfRule>
    <cfRule type="expression" dxfId="2832" priority="20">
      <formula>IF($C8&lt;$E8,TRUE)</formula>
    </cfRule>
  </conditionalFormatting>
  <conditionalFormatting sqref="G8:J17">
    <cfRule type="expression" dxfId="2831" priority="18">
      <formula>IF(AND(ISNUMBER($G8),$G8=$I8),TRUE)</formula>
    </cfRule>
    <cfRule type="expression" dxfId="2830" priority="23">
      <formula>IF($G8&gt;$I8,TRUE)</formula>
    </cfRule>
    <cfRule type="expression" dxfId="2829" priority="24">
      <formula>IF($G8&lt;$I8,TRUE)</formula>
    </cfRule>
  </conditionalFormatting>
  <conditionalFormatting sqref="K8:N17">
    <cfRule type="expression" dxfId="2828" priority="16">
      <formula>IF(AND(ISNUMBER($K8),$K8=$M8),TRUE)</formula>
    </cfRule>
    <cfRule type="expression" dxfId="2827" priority="27">
      <formula>IF($K8&gt;$M8,TRUE)</formula>
    </cfRule>
    <cfRule type="expression" dxfId="2826" priority="28">
      <formula>IF($K8&lt;$M8,TRUE)</formula>
    </cfRule>
  </conditionalFormatting>
  <conditionalFormatting sqref="O8:R17">
    <cfRule type="expression" dxfId="2825" priority="15">
      <formula>IF(AND(ISNUMBER($O8),$O8=$Q8),TRUE)</formula>
    </cfRule>
    <cfRule type="expression" dxfId="2824" priority="31">
      <formula>IF($O8&gt;$Q8,TRUE)</formula>
    </cfRule>
    <cfRule type="expression" dxfId="2823" priority="32">
      <formula>IF($O8&lt;$Q8,TRUE)</formula>
    </cfRule>
  </conditionalFormatting>
  <conditionalFormatting sqref="S8:V17">
    <cfRule type="expression" dxfId="2822" priority="14">
      <formula>IF(AND(ISNUMBER($S8),$S8=$U8),TRUE)</formula>
    </cfRule>
    <cfRule type="expression" dxfId="2821" priority="35">
      <formula>IF($S8&gt;$U8,TRUE)</formula>
    </cfRule>
    <cfRule type="expression" dxfId="2820" priority="36">
      <formula>IF($S8&lt;$U8,TRUE)</formula>
    </cfRule>
  </conditionalFormatting>
  <conditionalFormatting sqref="W8:Z17">
    <cfRule type="expression" dxfId="2819" priority="9">
      <formula>IF(AND(ISNUMBER($W8),$W8=$Y8),TRUE)</formula>
    </cfRule>
    <cfRule type="expression" dxfId="2818" priority="10">
      <formula>IF($W8&gt;$Y8,TRUE)</formula>
    </cfRule>
    <cfRule type="expression" dxfId="2817" priority="11">
      <formula>IF($W8&lt;$Y8,TRUE)</formula>
    </cfRule>
  </conditionalFormatting>
  <conditionalFormatting sqref="C8:C17 G8:G17 K8:K17 O8:O17 S8:S17 W8:W17">
    <cfRule type="expression" dxfId="2816" priority="1">
      <formula>AND(C8=0,E8=13)</formula>
    </cfRule>
  </conditionalFormatting>
  <conditionalFormatting sqref="E8:E17 I8:I17 M8:M17 Q8:Q17 U8:U17 Y8:Y17">
    <cfRule type="expression" dxfId="2815" priority="2">
      <formula>AND(E8=0,C8=13)</formula>
    </cfRule>
  </conditionalFormatting>
  <conditionalFormatting sqref="AJ8:AJ20 AN8:AN20 AP8:AP20">
    <cfRule type="expression" dxfId="2814" priority="279">
      <formula>AND(AI8="",COUNTIF(AJ8,"*,*")=0)</formula>
    </cfRule>
  </conditionalFormatting>
  <conditionalFormatting sqref="AL8:AL20">
    <cfRule type="expression" dxfId="2813" priority="280">
      <formula>AND(AK8="",FIND(",",AL8))</formula>
    </cfRule>
    <cfRule type="expression" dxfId="2812" priority="281">
      <formula>AND(AK8="",COUNTIF(AL8,"*,*")=0)</formula>
    </cfRule>
  </conditionalFormatting>
  <pageMargins left="0.59055118110236227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311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16384" width="9.140625" style="1"/>
  </cols>
  <sheetData>
    <row r="1" spans="1:34" x14ac:dyDescent="0.2">
      <c r="A1" s="753" t="str">
        <f>UPPER((Kalend!E20)&amp;" - "&amp;(Kalend!C20)&amp;" - "&amp;(Kalend!D20))</f>
        <v>V-JH - "JÕULUHANE" TURNIIR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817"/>
      <c r="AG1" s="760"/>
      <c r="AH1" s="760"/>
    </row>
    <row r="2" spans="1:34" x14ac:dyDescent="0.2">
      <c r="A2" s="757" t="str">
        <f>"Toimumisaeg: "&amp;(Kalend!A20)&amp;" kell "&amp;(Kalend!B20)</f>
        <v>Toimumisaeg: L, 22.12.2018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G2" s="760"/>
      <c r="AH2" s="760"/>
    </row>
    <row r="3" spans="1:34" x14ac:dyDescent="0.2">
      <c r="A3" s="757" t="str">
        <f>"Toimumiskoht: "&amp;(Kalend!F20)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G3" s="760"/>
      <c r="AH3" s="760"/>
    </row>
    <row r="4" spans="1:34" x14ac:dyDescent="0.2">
      <c r="A4" s="757" t="str">
        <f>"Korraldaja: "&amp;(Kalend!G20)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G4" s="760"/>
      <c r="AH4" s="760"/>
    </row>
    <row r="5" spans="1:34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0"/>
    </row>
    <row r="6" spans="1:34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0"/>
    </row>
    <row r="7" spans="1:34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G7" s="760"/>
      <c r="AH7" s="760"/>
    </row>
    <row r="8" spans="1:34" x14ac:dyDescent="0.2">
      <c r="A8" s="897">
        <v>1</v>
      </c>
      <c r="B8" s="775" t="s">
        <v>471</v>
      </c>
      <c r="C8" s="900">
        <v>13</v>
      </c>
      <c r="D8" s="901" t="s">
        <v>450</v>
      </c>
      <c r="E8" s="902">
        <v>12</v>
      </c>
      <c r="F8" s="903" t="str">
        <f>B14</f>
        <v>Andres Veski, Svetlana Veski</v>
      </c>
      <c r="G8" s="900">
        <v>13</v>
      </c>
      <c r="H8" s="901" t="s">
        <v>450</v>
      </c>
      <c r="I8" s="902">
        <v>6</v>
      </c>
      <c r="J8" s="903" t="str">
        <f>B9</f>
        <v>Illar Tõnurist, Jaan Saar</v>
      </c>
      <c r="K8" s="900">
        <v>2</v>
      </c>
      <c r="L8" s="901" t="s">
        <v>450</v>
      </c>
      <c r="M8" s="902">
        <v>13</v>
      </c>
      <c r="N8" s="903" t="str">
        <f>B17</f>
        <v>Jaan Sepp, Oskar Sepp</v>
      </c>
      <c r="O8" s="900">
        <v>13</v>
      </c>
      <c r="P8" s="901" t="s">
        <v>450</v>
      </c>
      <c r="Q8" s="902">
        <v>12</v>
      </c>
      <c r="R8" s="903" t="str">
        <f>B18</f>
        <v>Enn Tokman, Tarmo Bombe</v>
      </c>
      <c r="S8" s="900">
        <v>13</v>
      </c>
      <c r="T8" s="901" t="s">
        <v>450</v>
      </c>
      <c r="U8" s="902">
        <v>11</v>
      </c>
      <c r="V8" s="903" t="str">
        <f>B11</f>
        <v>Elmo Lageda, Tõnu Piik</v>
      </c>
      <c r="W8" s="900"/>
      <c r="X8" s="901" t="s">
        <v>450</v>
      </c>
      <c r="Y8" s="902"/>
      <c r="Z8" s="903"/>
      <c r="AA8" s="904">
        <f t="shared" ref="AA8:AA18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4</v>
      </c>
      <c r="AB8" s="905"/>
      <c r="AC8" s="900">
        <f t="shared" ref="AC8:AC18" si="1">C8+G8+K8+O8+S8+W8</f>
        <v>54</v>
      </c>
      <c r="AD8" s="901" t="s">
        <v>450</v>
      </c>
      <c r="AE8" s="906">
        <f t="shared" ref="AE8:AE18" si="2">E8+I8+M8+Q8+U8+Y8</f>
        <v>54</v>
      </c>
      <c r="AF8" s="907">
        <f t="shared" ref="AF8:AF18" si="3">AC8-AE8</f>
        <v>0</v>
      </c>
      <c r="AG8" s="908"/>
      <c r="AH8" s="760"/>
    </row>
    <row r="9" spans="1:34" x14ac:dyDescent="0.2">
      <c r="A9" s="897">
        <v>2</v>
      </c>
      <c r="B9" s="775" t="s">
        <v>404</v>
      </c>
      <c r="C9" s="900">
        <v>13</v>
      </c>
      <c r="D9" s="901" t="s">
        <v>450</v>
      </c>
      <c r="E9" s="902">
        <v>7</v>
      </c>
      <c r="F9" s="903" t="s">
        <v>472</v>
      </c>
      <c r="G9" s="900">
        <v>6</v>
      </c>
      <c r="H9" s="901" t="s">
        <v>450</v>
      </c>
      <c r="I9" s="902">
        <v>13</v>
      </c>
      <c r="J9" s="903" t="str">
        <f>B8</f>
        <v>Einar Juhkam, Kenneth Muusikus</v>
      </c>
      <c r="K9" s="900">
        <v>13</v>
      </c>
      <c r="L9" s="901" t="s">
        <v>450</v>
      </c>
      <c r="M9" s="902">
        <v>7</v>
      </c>
      <c r="N9" s="903" t="str">
        <f>B15</f>
        <v>Janek Tarto, Klavdia Piik</v>
      </c>
      <c r="O9" s="900">
        <v>13</v>
      </c>
      <c r="P9" s="901" t="s">
        <v>450</v>
      </c>
      <c r="Q9" s="902">
        <v>6</v>
      </c>
      <c r="R9" s="903" t="str">
        <f>B12</f>
        <v>Aigi Orro, Kalle Orro</v>
      </c>
      <c r="S9" s="900">
        <v>13</v>
      </c>
      <c r="T9" s="901" t="s">
        <v>450</v>
      </c>
      <c r="U9" s="902">
        <v>12</v>
      </c>
      <c r="V9" s="903" t="str">
        <f>B10</f>
        <v>Alari Keedus, Ülo Piik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58</v>
      </c>
      <c r="AD9" s="901" t="s">
        <v>450</v>
      </c>
      <c r="AE9" s="906">
        <f t="shared" si="2"/>
        <v>45</v>
      </c>
      <c r="AF9" s="907">
        <f t="shared" si="3"/>
        <v>13</v>
      </c>
      <c r="AG9" s="908"/>
      <c r="AH9" s="760"/>
    </row>
    <row r="10" spans="1:34" x14ac:dyDescent="0.2">
      <c r="A10" s="897">
        <v>3</v>
      </c>
      <c r="B10" s="909" t="s">
        <v>473</v>
      </c>
      <c r="C10" s="900">
        <v>13</v>
      </c>
      <c r="D10" s="901" t="s">
        <v>450</v>
      </c>
      <c r="E10" s="902">
        <v>4</v>
      </c>
      <c r="F10" s="903" t="str">
        <f>B13</f>
        <v>Johannes Neiland, Karla Purgats</v>
      </c>
      <c r="G10" s="900">
        <v>13</v>
      </c>
      <c r="H10" s="901" t="s">
        <v>450</v>
      </c>
      <c r="I10" s="902">
        <v>4</v>
      </c>
      <c r="J10" s="903" t="str">
        <f>B15</f>
        <v>Janek Tarto, Klavdia Piik</v>
      </c>
      <c r="K10" s="900">
        <v>13</v>
      </c>
      <c r="L10" s="901" t="s">
        <v>450</v>
      </c>
      <c r="M10" s="902">
        <v>7</v>
      </c>
      <c r="N10" s="903" t="str">
        <f>B11</f>
        <v>Elmo Lageda, Tõnu Piik</v>
      </c>
      <c r="O10" s="900">
        <v>13</v>
      </c>
      <c r="P10" s="901" t="s">
        <v>450</v>
      </c>
      <c r="Q10" s="902">
        <v>7</v>
      </c>
      <c r="R10" s="903" t="str">
        <f>B17</f>
        <v>Jaan Sepp, Oskar Sepp</v>
      </c>
      <c r="S10" s="900">
        <v>12</v>
      </c>
      <c r="T10" s="901" t="s">
        <v>450</v>
      </c>
      <c r="U10" s="902">
        <v>13</v>
      </c>
      <c r="V10" s="903" t="str">
        <f>B9</f>
        <v>Illar Tõnurist, Jaan Saar</v>
      </c>
      <c r="W10" s="900"/>
      <c r="X10" s="901" t="s">
        <v>450</v>
      </c>
      <c r="Y10" s="902"/>
      <c r="Z10" s="903"/>
      <c r="AA10" s="904">
        <f t="shared" si="0"/>
        <v>4</v>
      </c>
      <c r="AB10" s="905"/>
      <c r="AC10" s="900">
        <f t="shared" si="1"/>
        <v>64</v>
      </c>
      <c r="AD10" s="901" t="s">
        <v>450</v>
      </c>
      <c r="AE10" s="906">
        <f t="shared" si="2"/>
        <v>35</v>
      </c>
      <c r="AF10" s="907">
        <f t="shared" si="3"/>
        <v>29</v>
      </c>
      <c r="AG10" s="908"/>
      <c r="AH10" s="760"/>
    </row>
    <row r="11" spans="1:34" x14ac:dyDescent="0.2">
      <c r="A11" s="897">
        <v>4</v>
      </c>
      <c r="B11" s="909" t="s">
        <v>370</v>
      </c>
      <c r="C11" s="900">
        <v>13</v>
      </c>
      <c r="D11" s="901" t="s">
        <v>450</v>
      </c>
      <c r="E11" s="902">
        <v>4</v>
      </c>
      <c r="F11" s="903" t="str">
        <f>B12</f>
        <v>Aigi Orro, Kalle Orro</v>
      </c>
      <c r="G11" s="900">
        <v>13</v>
      </c>
      <c r="H11" s="901" t="s">
        <v>450</v>
      </c>
      <c r="I11" s="902">
        <v>8</v>
      </c>
      <c r="J11" s="903" t="str">
        <f>B17</f>
        <v>Jaan Sepp, Oskar Sepp</v>
      </c>
      <c r="K11" s="900">
        <v>7</v>
      </c>
      <c r="L11" s="901" t="s">
        <v>450</v>
      </c>
      <c r="M11" s="902">
        <v>13</v>
      </c>
      <c r="N11" s="903" t="str">
        <f>B10</f>
        <v>Alari Keedus, Ülo Piik</v>
      </c>
      <c r="O11" s="900">
        <v>13</v>
      </c>
      <c r="P11" s="901" t="s">
        <v>450</v>
      </c>
      <c r="Q11" s="902">
        <v>12</v>
      </c>
      <c r="R11" s="903" t="str">
        <f>B13</f>
        <v>Johannes Neiland, Karla Purgats</v>
      </c>
      <c r="S11" s="900">
        <v>11</v>
      </c>
      <c r="T11" s="901" t="s">
        <v>450</v>
      </c>
      <c r="U11" s="902">
        <v>13</v>
      </c>
      <c r="V11" s="903" t="str">
        <f>B8</f>
        <v>Einar Juhkam, Kenneth Muusikus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00">
        <f t="shared" si="1"/>
        <v>57</v>
      </c>
      <c r="AD11" s="901" t="s">
        <v>450</v>
      </c>
      <c r="AE11" s="906">
        <f t="shared" si="2"/>
        <v>50</v>
      </c>
      <c r="AF11" s="907">
        <f t="shared" si="3"/>
        <v>7</v>
      </c>
      <c r="AG11" s="908"/>
      <c r="AH11" s="760"/>
    </row>
    <row r="12" spans="1:34" x14ac:dyDescent="0.2">
      <c r="A12" s="897">
        <v>5</v>
      </c>
      <c r="B12" s="909" t="s">
        <v>474</v>
      </c>
      <c r="C12" s="900">
        <v>4</v>
      </c>
      <c r="D12" s="901" t="s">
        <v>450</v>
      </c>
      <c r="E12" s="902">
        <v>13</v>
      </c>
      <c r="F12" s="903" t="str">
        <f>B11</f>
        <v>Elmo Lageda, Tõnu Piik</v>
      </c>
      <c r="G12" s="900">
        <v>13</v>
      </c>
      <c r="H12" s="901" t="s">
        <v>450</v>
      </c>
      <c r="I12" s="902">
        <v>7</v>
      </c>
      <c r="J12" s="903" t="str">
        <f>B14</f>
        <v>Andres Veski, Svetlana Veski</v>
      </c>
      <c r="K12" s="900">
        <v>13</v>
      </c>
      <c r="L12" s="901" t="s">
        <v>450</v>
      </c>
      <c r="M12" s="902">
        <v>2</v>
      </c>
      <c r="N12" s="903" t="str">
        <f>B16</f>
        <v>Henri Mitt, Melika Lehtla</v>
      </c>
      <c r="O12" s="900">
        <v>6</v>
      </c>
      <c r="P12" s="901" t="s">
        <v>450</v>
      </c>
      <c r="Q12" s="902">
        <v>13</v>
      </c>
      <c r="R12" s="903" t="str">
        <f>B9</f>
        <v>Illar Tõnurist, Jaan Saar</v>
      </c>
      <c r="S12" s="900">
        <v>13</v>
      </c>
      <c r="T12" s="901" t="s">
        <v>450</v>
      </c>
      <c r="U12" s="902">
        <v>6</v>
      </c>
      <c r="V12" s="903" t="str">
        <f>B13</f>
        <v>Johannes Neiland, Karla Purgats</v>
      </c>
      <c r="W12" s="900"/>
      <c r="X12" s="901" t="s">
        <v>450</v>
      </c>
      <c r="Y12" s="902"/>
      <c r="Z12" s="903"/>
      <c r="AA12" s="910">
        <f t="shared" si="0"/>
        <v>3</v>
      </c>
      <c r="AB12" s="905"/>
      <c r="AC12" s="900">
        <f t="shared" si="1"/>
        <v>49</v>
      </c>
      <c r="AD12" s="901" t="s">
        <v>450</v>
      </c>
      <c r="AE12" s="906">
        <f t="shared" si="2"/>
        <v>41</v>
      </c>
      <c r="AF12" s="907">
        <f t="shared" si="3"/>
        <v>8</v>
      </c>
      <c r="AG12" s="908"/>
      <c r="AH12" s="760"/>
    </row>
    <row r="13" spans="1:34" x14ac:dyDescent="0.2">
      <c r="A13" s="897">
        <v>6</v>
      </c>
      <c r="B13" s="909" t="s">
        <v>475</v>
      </c>
      <c r="C13" s="900">
        <v>4</v>
      </c>
      <c r="D13" s="901" t="s">
        <v>450</v>
      </c>
      <c r="E13" s="902">
        <v>13</v>
      </c>
      <c r="F13" s="903" t="str">
        <f>B10</f>
        <v>Alari Keedus, Ülo Piik</v>
      </c>
      <c r="G13" s="900">
        <v>13</v>
      </c>
      <c r="H13" s="901" t="s">
        <v>450</v>
      </c>
      <c r="I13" s="902">
        <v>10</v>
      </c>
      <c r="J13" s="903" t="str">
        <f>B18</f>
        <v>Enn Tokman, Tarmo Bombe</v>
      </c>
      <c r="K13" s="900">
        <v>13</v>
      </c>
      <c r="L13" s="901" t="s">
        <v>450</v>
      </c>
      <c r="M13" s="902">
        <v>8</v>
      </c>
      <c r="N13" s="903" t="str">
        <f>B14</f>
        <v>Andres Veski, Svetlana Veski</v>
      </c>
      <c r="O13" s="900">
        <v>12</v>
      </c>
      <c r="P13" s="901" t="s">
        <v>450</v>
      </c>
      <c r="Q13" s="902">
        <v>13</v>
      </c>
      <c r="R13" s="903" t="str">
        <f>B11</f>
        <v>Elmo Lageda, Tõnu Piik</v>
      </c>
      <c r="S13" s="900">
        <v>6</v>
      </c>
      <c r="T13" s="901" t="s">
        <v>450</v>
      </c>
      <c r="U13" s="902">
        <v>13</v>
      </c>
      <c r="V13" s="903" t="str">
        <f>B12</f>
        <v>Aigi Orro, Kalle Orro</v>
      </c>
      <c r="W13" s="900"/>
      <c r="X13" s="901" t="s">
        <v>450</v>
      </c>
      <c r="Y13" s="902"/>
      <c r="Z13" s="903"/>
      <c r="AA13" s="904">
        <f t="shared" si="0"/>
        <v>2</v>
      </c>
      <c r="AB13" s="905"/>
      <c r="AC13" s="900">
        <f t="shared" si="1"/>
        <v>48</v>
      </c>
      <c r="AD13" s="901" t="s">
        <v>450</v>
      </c>
      <c r="AE13" s="906">
        <f t="shared" si="2"/>
        <v>57</v>
      </c>
      <c r="AF13" s="907">
        <f t="shared" si="3"/>
        <v>-9</v>
      </c>
      <c r="AG13" s="908"/>
      <c r="AH13" s="760"/>
    </row>
    <row r="14" spans="1:34" x14ac:dyDescent="0.2">
      <c r="A14" s="897">
        <v>7</v>
      </c>
      <c r="B14" s="909" t="s">
        <v>402</v>
      </c>
      <c r="C14" s="900">
        <v>12</v>
      </c>
      <c r="D14" s="901" t="s">
        <v>450</v>
      </c>
      <c r="E14" s="902">
        <v>13</v>
      </c>
      <c r="F14" s="903" t="str">
        <f>B8</f>
        <v>Einar Juhkam, Kenneth Muusikus</v>
      </c>
      <c r="G14" s="900">
        <v>7</v>
      </c>
      <c r="H14" s="901" t="s">
        <v>450</v>
      </c>
      <c r="I14" s="902">
        <v>13</v>
      </c>
      <c r="J14" s="903" t="str">
        <f>B12</f>
        <v>Aigi Orro, Kalle Orro</v>
      </c>
      <c r="K14" s="900">
        <v>8</v>
      </c>
      <c r="L14" s="901" t="s">
        <v>450</v>
      </c>
      <c r="M14" s="902">
        <v>13</v>
      </c>
      <c r="N14" s="903" t="str">
        <f>B13</f>
        <v>Johannes Neiland, Karla Purgats</v>
      </c>
      <c r="O14" s="900">
        <v>13</v>
      </c>
      <c r="P14" s="901" t="s">
        <v>450</v>
      </c>
      <c r="Q14" s="902">
        <v>7</v>
      </c>
      <c r="R14" s="903" t="s">
        <v>472</v>
      </c>
      <c r="S14" s="900">
        <v>13</v>
      </c>
      <c r="T14" s="901" t="s">
        <v>450</v>
      </c>
      <c r="U14" s="902">
        <v>4</v>
      </c>
      <c r="V14" s="903" t="str">
        <f>B15</f>
        <v>Janek Tarto, Klavdia Piik</v>
      </c>
      <c r="W14" s="900"/>
      <c r="X14" s="901" t="s">
        <v>450</v>
      </c>
      <c r="Y14" s="902"/>
      <c r="Z14" s="903"/>
      <c r="AA14" s="904">
        <f t="shared" si="0"/>
        <v>2</v>
      </c>
      <c r="AB14" s="905"/>
      <c r="AC14" s="900">
        <f t="shared" si="1"/>
        <v>53</v>
      </c>
      <c r="AD14" s="901" t="s">
        <v>450</v>
      </c>
      <c r="AE14" s="906">
        <f t="shared" si="2"/>
        <v>50</v>
      </c>
      <c r="AF14" s="907">
        <f t="shared" si="3"/>
        <v>3</v>
      </c>
      <c r="AG14" s="908"/>
      <c r="AH14" s="760"/>
    </row>
    <row r="15" spans="1:34" x14ac:dyDescent="0.2">
      <c r="A15" s="897">
        <v>8</v>
      </c>
      <c r="B15" s="909" t="s">
        <v>476</v>
      </c>
      <c r="C15" s="900">
        <v>13</v>
      </c>
      <c r="D15" s="901" t="s">
        <v>450</v>
      </c>
      <c r="E15" s="902">
        <v>4</v>
      </c>
      <c r="F15" s="903" t="str">
        <f>B18</f>
        <v>Enn Tokman, Tarmo Bombe</v>
      </c>
      <c r="G15" s="900">
        <v>4</v>
      </c>
      <c r="H15" s="901" t="s">
        <v>450</v>
      </c>
      <c r="I15" s="902">
        <v>13</v>
      </c>
      <c r="J15" s="903" t="str">
        <f>B10</f>
        <v>Alari Keedus, Ülo Piik</v>
      </c>
      <c r="K15" s="900">
        <v>7</v>
      </c>
      <c r="L15" s="901" t="s">
        <v>450</v>
      </c>
      <c r="M15" s="902">
        <v>13</v>
      </c>
      <c r="N15" s="903" t="str">
        <f>B9</f>
        <v>Illar Tõnurist, Jaan Saar</v>
      </c>
      <c r="O15" s="900">
        <v>13</v>
      </c>
      <c r="P15" s="901" t="s">
        <v>450</v>
      </c>
      <c r="Q15" s="902">
        <v>12</v>
      </c>
      <c r="R15" s="903" t="str">
        <f>B16</f>
        <v>Henri Mitt, Melika Lehtla</v>
      </c>
      <c r="S15" s="900">
        <v>4</v>
      </c>
      <c r="T15" s="901" t="s">
        <v>450</v>
      </c>
      <c r="U15" s="902">
        <v>13</v>
      </c>
      <c r="V15" s="903" t="str">
        <f>B14</f>
        <v>Andres Veski, Svetlana Veski</v>
      </c>
      <c r="W15" s="900"/>
      <c r="X15" s="901" t="s">
        <v>450</v>
      </c>
      <c r="Y15" s="902"/>
      <c r="Z15" s="903"/>
      <c r="AA15" s="904">
        <f t="shared" si="0"/>
        <v>2</v>
      </c>
      <c r="AB15" s="905"/>
      <c r="AC15" s="900">
        <f t="shared" si="1"/>
        <v>41</v>
      </c>
      <c r="AD15" s="901" t="s">
        <v>450</v>
      </c>
      <c r="AE15" s="906">
        <f t="shared" si="2"/>
        <v>55</v>
      </c>
      <c r="AF15" s="907">
        <f t="shared" si="3"/>
        <v>-14</v>
      </c>
      <c r="AG15" s="908"/>
      <c r="AH15" s="760"/>
    </row>
    <row r="16" spans="1:34" x14ac:dyDescent="0.2">
      <c r="A16" s="897">
        <v>9</v>
      </c>
      <c r="B16" s="909" t="s">
        <v>403</v>
      </c>
      <c r="C16" s="900">
        <v>1</v>
      </c>
      <c r="D16" s="901" t="s">
        <v>450</v>
      </c>
      <c r="E16" s="902">
        <v>13</v>
      </c>
      <c r="F16" s="903" t="str">
        <f>B17</f>
        <v>Jaan Sepp, Oskar Sepp</v>
      </c>
      <c r="G16" s="900">
        <v>13</v>
      </c>
      <c r="H16" s="901" t="s">
        <v>450</v>
      </c>
      <c r="I16" s="902">
        <v>7</v>
      </c>
      <c r="J16" s="903" t="s">
        <v>472</v>
      </c>
      <c r="K16" s="900">
        <v>2</v>
      </c>
      <c r="L16" s="901" t="s">
        <v>450</v>
      </c>
      <c r="M16" s="902">
        <v>13</v>
      </c>
      <c r="N16" s="903" t="str">
        <f>B12</f>
        <v>Aigi Orro, Kalle Orro</v>
      </c>
      <c r="O16" s="900">
        <v>12</v>
      </c>
      <c r="P16" s="901" t="s">
        <v>450</v>
      </c>
      <c r="Q16" s="902">
        <v>13</v>
      </c>
      <c r="R16" s="903" t="str">
        <f>B15</f>
        <v>Janek Tarto, Klavdia Piik</v>
      </c>
      <c r="S16" s="900">
        <v>13</v>
      </c>
      <c r="T16" s="901" t="s">
        <v>450</v>
      </c>
      <c r="U16" s="902">
        <v>10</v>
      </c>
      <c r="V16" s="903" t="str">
        <f>B18</f>
        <v>Enn Tokman, Tarmo Bombe</v>
      </c>
      <c r="W16" s="900"/>
      <c r="X16" s="901" t="s">
        <v>450</v>
      </c>
      <c r="Y16" s="902"/>
      <c r="Z16" s="903"/>
      <c r="AA16" s="904">
        <f t="shared" si="0"/>
        <v>2</v>
      </c>
      <c r="AB16" s="905"/>
      <c r="AC16" s="900">
        <f t="shared" si="1"/>
        <v>41</v>
      </c>
      <c r="AD16" s="901" t="s">
        <v>450</v>
      </c>
      <c r="AE16" s="906">
        <f t="shared" si="2"/>
        <v>56</v>
      </c>
      <c r="AF16" s="907">
        <f t="shared" si="3"/>
        <v>-15</v>
      </c>
      <c r="AG16" s="908"/>
      <c r="AH16" s="760"/>
    </row>
    <row r="17" spans="1:34" x14ac:dyDescent="0.2">
      <c r="A17" s="897">
        <v>10</v>
      </c>
      <c r="B17" s="775" t="s">
        <v>368</v>
      </c>
      <c r="C17" s="900">
        <v>13</v>
      </c>
      <c r="D17" s="901" t="s">
        <v>450</v>
      </c>
      <c r="E17" s="902">
        <v>1</v>
      </c>
      <c r="F17" s="903" t="str">
        <f>B16</f>
        <v>Henri Mitt, Melika Lehtla</v>
      </c>
      <c r="G17" s="900">
        <v>8</v>
      </c>
      <c r="H17" s="901" t="s">
        <v>450</v>
      </c>
      <c r="I17" s="902">
        <v>13</v>
      </c>
      <c r="J17" s="903" t="str">
        <f>B11</f>
        <v>Elmo Lageda, Tõnu Piik</v>
      </c>
      <c r="K17" s="900">
        <v>13</v>
      </c>
      <c r="L17" s="901" t="s">
        <v>450</v>
      </c>
      <c r="M17" s="902">
        <v>2</v>
      </c>
      <c r="N17" s="903" t="str">
        <f>B8</f>
        <v>Einar Juhkam, Kenneth Muusikus</v>
      </c>
      <c r="O17" s="900">
        <v>7</v>
      </c>
      <c r="P17" s="901" t="s">
        <v>450</v>
      </c>
      <c r="Q17" s="902">
        <v>13</v>
      </c>
      <c r="R17" s="903" t="str">
        <f>B10</f>
        <v>Alari Keedus, Ülo Piik</v>
      </c>
      <c r="S17" s="900">
        <v>1</v>
      </c>
      <c r="T17" s="901" t="s">
        <v>450</v>
      </c>
      <c r="U17" s="902">
        <v>13</v>
      </c>
      <c r="V17" s="923" t="s">
        <v>477</v>
      </c>
      <c r="W17" s="900"/>
      <c r="X17" s="901" t="s">
        <v>450</v>
      </c>
      <c r="Y17" s="902"/>
      <c r="Z17" s="903"/>
      <c r="AA17" s="904">
        <f t="shared" si="0"/>
        <v>2</v>
      </c>
      <c r="AB17" s="905"/>
      <c r="AC17" s="900">
        <f t="shared" si="1"/>
        <v>42</v>
      </c>
      <c r="AD17" s="901" t="s">
        <v>450</v>
      </c>
      <c r="AE17" s="906">
        <f t="shared" si="2"/>
        <v>42</v>
      </c>
      <c r="AF17" s="907">
        <f t="shared" si="3"/>
        <v>0</v>
      </c>
      <c r="AG17" s="908"/>
      <c r="AH17" s="760"/>
    </row>
    <row r="18" spans="1:34" x14ac:dyDescent="0.2">
      <c r="A18" s="897">
        <v>11</v>
      </c>
      <c r="B18" s="909" t="s">
        <v>369</v>
      </c>
      <c r="C18" s="900">
        <v>4</v>
      </c>
      <c r="D18" s="901" t="s">
        <v>450</v>
      </c>
      <c r="E18" s="902">
        <v>13</v>
      </c>
      <c r="F18" s="903" t="str">
        <f>B15</f>
        <v>Janek Tarto, Klavdia Piik</v>
      </c>
      <c r="G18" s="900">
        <v>10</v>
      </c>
      <c r="H18" s="901" t="s">
        <v>450</v>
      </c>
      <c r="I18" s="902">
        <v>13</v>
      </c>
      <c r="J18" s="903" t="str">
        <f>B13</f>
        <v>Johannes Neiland, Karla Purgats</v>
      </c>
      <c r="K18" s="900">
        <v>13</v>
      </c>
      <c r="L18" s="901" t="s">
        <v>450</v>
      </c>
      <c r="M18" s="902">
        <v>7</v>
      </c>
      <c r="N18" s="903" t="s">
        <v>472</v>
      </c>
      <c r="O18" s="900">
        <v>12</v>
      </c>
      <c r="P18" s="901" t="s">
        <v>450</v>
      </c>
      <c r="Q18" s="902">
        <v>13</v>
      </c>
      <c r="R18" s="903" t="str">
        <f>B8</f>
        <v>Einar Juhkam, Kenneth Muusikus</v>
      </c>
      <c r="S18" s="900">
        <v>10</v>
      </c>
      <c r="T18" s="901" t="s">
        <v>450</v>
      </c>
      <c r="U18" s="902">
        <v>13</v>
      </c>
      <c r="V18" s="903" t="str">
        <f>B16</f>
        <v>Henri Mitt, Melika Lehtla</v>
      </c>
      <c r="W18" s="900"/>
      <c r="X18" s="901" t="s">
        <v>450</v>
      </c>
      <c r="Y18" s="902"/>
      <c r="Z18" s="903"/>
      <c r="AA18" s="910">
        <f t="shared" si="0"/>
        <v>1</v>
      </c>
      <c r="AB18" s="905"/>
      <c r="AC18" s="900">
        <f t="shared" si="1"/>
        <v>49</v>
      </c>
      <c r="AD18" s="901" t="s">
        <v>450</v>
      </c>
      <c r="AE18" s="906">
        <f t="shared" si="2"/>
        <v>59</v>
      </c>
      <c r="AF18" s="907">
        <f t="shared" si="3"/>
        <v>-10</v>
      </c>
      <c r="AG18" s="908"/>
      <c r="AH18" s="760"/>
    </row>
    <row r="19" spans="1:34" hidden="1" x14ac:dyDescent="0.2">
      <c r="A19" s="760"/>
      <c r="B19" s="760"/>
      <c r="C19" s="760"/>
      <c r="D19" s="760"/>
      <c r="E19" s="760"/>
      <c r="F19" s="760"/>
      <c r="G19" s="760"/>
      <c r="H19" s="760"/>
      <c r="I19" s="760"/>
      <c r="J19" s="760"/>
      <c r="K19" s="760"/>
      <c r="L19" s="760"/>
      <c r="M19" s="760"/>
      <c r="N19" s="760"/>
      <c r="O19" s="760"/>
      <c r="P19" s="760"/>
      <c r="Q19" s="760"/>
      <c r="R19" s="760"/>
      <c r="S19" s="760"/>
      <c r="T19" s="760"/>
      <c r="U19" s="760"/>
      <c r="V19" s="760"/>
      <c r="W19" s="760"/>
      <c r="X19" s="760"/>
      <c r="Y19" s="760"/>
      <c r="Z19" s="760"/>
      <c r="AA19" s="760"/>
      <c r="AB19" s="760"/>
      <c r="AC19" s="760"/>
      <c r="AD19" s="760"/>
      <c r="AE19" s="760"/>
      <c r="AF19" s="907"/>
      <c r="AG19" s="760"/>
      <c r="AH19" s="760"/>
    </row>
    <row r="20" spans="1:34" hidden="1" x14ac:dyDescent="0.2">
      <c r="A20" s="760"/>
      <c r="B20" s="760"/>
      <c r="C20" s="760"/>
      <c r="D20" s="760"/>
      <c r="E20" s="760"/>
      <c r="F20" s="760"/>
      <c r="G20" s="760"/>
      <c r="H20" s="760"/>
      <c r="I20" s="760"/>
      <c r="J20" s="760"/>
      <c r="K20" s="760"/>
      <c r="L20" s="880"/>
      <c r="M20" s="880"/>
      <c r="N20" s="880"/>
      <c r="O20" s="760"/>
      <c r="P20" s="760"/>
      <c r="Q20" s="760"/>
      <c r="R20" s="760"/>
      <c r="S20" s="760"/>
      <c r="T20" s="880"/>
      <c r="U20" s="880"/>
      <c r="V20" s="880"/>
      <c r="W20" s="880"/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0"/>
    </row>
    <row r="21" spans="1:34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</row>
    <row r="22" spans="1:34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</row>
    <row r="23" spans="1:34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</row>
    <row r="24" spans="1:34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</row>
    <row r="25" spans="1:34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</row>
    <row r="26" spans="1:34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</row>
    <row r="27" spans="1:34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</row>
    <row r="28" spans="1:34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</row>
    <row r="29" spans="1:34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</row>
    <row r="30" spans="1:34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</row>
    <row r="31" spans="1:34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</row>
    <row r="32" spans="1:34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</row>
    <row r="33" spans="1:34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</row>
    <row r="34" spans="1:34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</row>
    <row r="35" spans="1:34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</row>
    <row r="36" spans="1:34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</row>
    <row r="37" spans="1:34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</row>
    <row r="38" spans="1:34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</row>
    <row r="39" spans="1:34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</row>
    <row r="40" spans="1:34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</row>
    <row r="41" spans="1:34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</row>
    <row r="42" spans="1:34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</row>
    <row r="43" spans="1:34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</row>
    <row r="44" spans="1:34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</row>
    <row r="45" spans="1:34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</row>
    <row r="46" spans="1:34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</row>
    <row r="47" spans="1:34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</row>
    <row r="48" spans="1:34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</row>
    <row r="49" spans="1:34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</row>
    <row r="50" spans="1:34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</row>
    <row r="51" spans="1:34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</row>
    <row r="52" spans="1:34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</row>
    <row r="53" spans="1:34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</row>
    <row r="54" spans="1:34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</row>
    <row r="55" spans="1:34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</row>
    <row r="56" spans="1:34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</row>
    <row r="57" spans="1:34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</row>
    <row r="58" spans="1:34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</row>
    <row r="59" spans="1:34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</row>
    <row r="60" spans="1:34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</row>
    <row r="61" spans="1:34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</row>
    <row r="62" spans="1:34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</row>
    <row r="63" spans="1:34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</row>
    <row r="64" spans="1:34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</row>
    <row r="65" spans="1:34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</row>
    <row r="66" spans="1:34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</row>
    <row r="67" spans="1:34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</row>
    <row r="68" spans="1:34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</row>
    <row r="69" spans="1:34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</row>
    <row r="70" spans="1:34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</row>
    <row r="71" spans="1:34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</row>
    <row r="72" spans="1:34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</row>
    <row r="73" spans="1:34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</row>
    <row r="74" spans="1:34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</row>
    <row r="75" spans="1:34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</row>
    <row r="76" spans="1:34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</row>
    <row r="77" spans="1:34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</row>
    <row r="78" spans="1:34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</row>
    <row r="79" spans="1:34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</row>
    <row r="80" spans="1:34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</row>
    <row r="81" spans="1:34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</row>
    <row r="82" spans="1:34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</row>
    <row r="83" spans="1:34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</row>
    <row r="84" spans="1:34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</row>
    <row r="85" spans="1:34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</row>
    <row r="86" spans="1:34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</row>
    <row r="87" spans="1:34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</row>
    <row r="88" spans="1:34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</row>
    <row r="89" spans="1:34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</row>
    <row r="90" spans="1:34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</row>
    <row r="91" spans="1:34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</row>
    <row r="92" spans="1:34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</row>
    <row r="93" spans="1:34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</row>
    <row r="94" spans="1:34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</row>
    <row r="95" spans="1:34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</row>
    <row r="96" spans="1:34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</row>
    <row r="97" spans="1:34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</row>
    <row r="98" spans="1:34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</row>
    <row r="99" spans="1:34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</row>
    <row r="100" spans="1:34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</row>
    <row r="101" spans="1:34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</row>
    <row r="102" spans="1:34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</row>
    <row r="103" spans="1:34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</row>
    <row r="104" spans="1:34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</row>
    <row r="105" spans="1:34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</row>
    <row r="106" spans="1:34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</row>
    <row r="107" spans="1:34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</row>
    <row r="108" spans="1:34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</row>
    <row r="109" spans="1:34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</row>
    <row r="110" spans="1:34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</row>
    <row r="111" spans="1:34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</row>
    <row r="112" spans="1:34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</row>
    <row r="113" spans="1:34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</row>
    <row r="114" spans="1:34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</row>
    <row r="115" spans="1:34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</row>
    <row r="116" spans="1:34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</row>
    <row r="117" spans="1:34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</row>
    <row r="118" spans="1:34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</row>
    <row r="119" spans="1:34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</row>
    <row r="120" spans="1:34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</row>
    <row r="121" spans="1:34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</row>
    <row r="122" spans="1:34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</row>
    <row r="123" spans="1:34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</row>
    <row r="124" spans="1:34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</row>
    <row r="125" spans="1:34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</row>
    <row r="126" spans="1:34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</row>
    <row r="127" spans="1:34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</row>
    <row r="128" spans="1:34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</row>
    <row r="129" spans="1:34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</row>
    <row r="130" spans="1:34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</row>
    <row r="131" spans="1:34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</row>
    <row r="132" spans="1:34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</row>
    <row r="133" spans="1:34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</row>
    <row r="134" spans="1:34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</row>
    <row r="135" spans="1:34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</row>
    <row r="136" spans="1:34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</row>
    <row r="137" spans="1:34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</row>
    <row r="138" spans="1:34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</row>
    <row r="139" spans="1:34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</row>
    <row r="140" spans="1:34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</row>
    <row r="141" spans="1:34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</row>
    <row r="142" spans="1:34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</row>
    <row r="143" spans="1:34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</row>
    <row r="144" spans="1:34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</row>
    <row r="145" spans="1:34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</row>
    <row r="146" spans="1:34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</row>
    <row r="147" spans="1:34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</row>
    <row r="148" spans="1:34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</row>
    <row r="149" spans="1:34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</row>
    <row r="150" spans="1:34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</row>
    <row r="151" spans="1:34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</row>
    <row r="152" spans="1:34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</row>
    <row r="153" spans="1:34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</row>
    <row r="154" spans="1:34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</row>
    <row r="155" spans="1:34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</row>
    <row r="156" spans="1:34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</row>
    <row r="157" spans="1:34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</row>
    <row r="158" spans="1:34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</row>
    <row r="159" spans="1:34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</row>
    <row r="160" spans="1:34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</row>
    <row r="161" spans="1:34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</row>
    <row r="162" spans="1:34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</row>
    <row r="163" spans="1:34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</row>
    <row r="164" spans="1:34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</row>
    <row r="165" spans="1:34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</row>
    <row r="166" spans="1:34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</row>
    <row r="167" spans="1:34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</row>
    <row r="168" spans="1:34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</row>
    <row r="169" spans="1:34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</row>
    <row r="170" spans="1:34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</row>
    <row r="171" spans="1:34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</row>
    <row r="172" spans="1:34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</row>
    <row r="173" spans="1:34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</row>
    <row r="174" spans="1:34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</row>
    <row r="175" spans="1:34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</row>
    <row r="176" spans="1:34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</row>
    <row r="177" spans="1:34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</row>
    <row r="178" spans="1:34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</row>
    <row r="179" spans="1:34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</row>
    <row r="180" spans="1:34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</row>
    <row r="181" spans="1:34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</row>
    <row r="182" spans="1:34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</row>
    <row r="183" spans="1:34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</row>
    <row r="184" spans="1:34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</row>
    <row r="185" spans="1:34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</row>
    <row r="186" spans="1:34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</row>
    <row r="187" spans="1:34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</row>
    <row r="188" spans="1:34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</row>
    <row r="189" spans="1:34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</row>
    <row r="190" spans="1:34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</row>
    <row r="191" spans="1:34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</row>
    <row r="192" spans="1:34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</row>
    <row r="193" spans="1:34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</row>
    <row r="194" spans="1:34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</row>
    <row r="195" spans="1:34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</row>
    <row r="196" spans="1:34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</row>
    <row r="197" spans="1:34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</row>
    <row r="198" spans="1:34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</row>
    <row r="199" spans="1:34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</row>
    <row r="200" spans="1:34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</row>
    <row r="201" spans="1:34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</row>
    <row r="202" spans="1:34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</row>
    <row r="203" spans="1:34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</row>
    <row r="204" spans="1:34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</row>
    <row r="205" spans="1:34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</row>
    <row r="206" spans="1:34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</row>
    <row r="207" spans="1:34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</row>
    <row r="208" spans="1:34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</row>
    <row r="209" spans="1:34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</row>
    <row r="210" spans="1:34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</row>
    <row r="211" spans="1:34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</row>
    <row r="212" spans="1:34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</row>
    <row r="213" spans="1:34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</row>
    <row r="214" spans="1:34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</row>
    <row r="215" spans="1:34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</row>
    <row r="216" spans="1:34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</row>
    <row r="217" spans="1:34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</row>
    <row r="218" spans="1:34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</row>
    <row r="219" spans="1:34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</row>
    <row r="220" spans="1:34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</row>
    <row r="221" spans="1:34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</row>
    <row r="222" spans="1:34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</row>
    <row r="223" spans="1:34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</row>
    <row r="224" spans="1:34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</row>
    <row r="225" spans="1:34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</row>
    <row r="226" spans="1:34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</row>
    <row r="227" spans="1:34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</row>
    <row r="228" spans="1:34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</row>
    <row r="229" spans="1:34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</row>
    <row r="230" spans="1:34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</row>
    <row r="231" spans="1:34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</row>
    <row r="232" spans="1:34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</row>
    <row r="233" spans="1:34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</row>
    <row r="234" spans="1:34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</row>
    <row r="235" spans="1:34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</row>
    <row r="236" spans="1:34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</row>
    <row r="237" spans="1:34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</row>
    <row r="238" spans="1:34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</row>
    <row r="239" spans="1:34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</row>
    <row r="240" spans="1:34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</row>
    <row r="241" spans="1:34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</row>
    <row r="242" spans="1:34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</row>
    <row r="243" spans="1:34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</row>
    <row r="244" spans="1:34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</row>
    <row r="245" spans="1:34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</row>
    <row r="246" spans="1:34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</row>
    <row r="247" spans="1:34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</row>
    <row r="248" spans="1:34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</row>
    <row r="249" spans="1:34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</row>
    <row r="250" spans="1:34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</row>
    <row r="251" spans="1:34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</row>
    <row r="252" spans="1:34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</row>
    <row r="253" spans="1:34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</row>
    <row r="254" spans="1:34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</row>
    <row r="255" spans="1:34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</row>
    <row r="256" spans="1:34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</row>
    <row r="257" spans="1:34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</row>
    <row r="258" spans="1:34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</row>
    <row r="259" spans="1:34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</row>
    <row r="260" spans="1:34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</row>
    <row r="261" spans="1:34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</row>
    <row r="262" spans="1:34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</row>
    <row r="263" spans="1:34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</row>
    <row r="264" spans="1:34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</row>
    <row r="265" spans="1:34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</row>
    <row r="266" spans="1:34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</row>
    <row r="267" spans="1:34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</row>
    <row r="268" spans="1:34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</row>
    <row r="269" spans="1:34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</row>
    <row r="270" spans="1:34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</row>
    <row r="271" spans="1:34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</row>
    <row r="272" spans="1:34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</row>
    <row r="273" spans="1:34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</row>
    <row r="274" spans="1:34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</row>
    <row r="275" spans="1:34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</row>
    <row r="276" spans="1:34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</row>
    <row r="277" spans="1:34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</row>
    <row r="278" spans="1:34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</row>
    <row r="279" spans="1:34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</row>
    <row r="280" spans="1:34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</row>
    <row r="281" spans="1:34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</row>
    <row r="282" spans="1:34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</row>
    <row r="283" spans="1:34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</row>
    <row r="284" spans="1:34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</row>
    <row r="285" spans="1:34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</row>
    <row r="286" spans="1:34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</row>
    <row r="287" spans="1:34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</row>
    <row r="288" spans="1:34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</row>
    <row r="289" spans="1:34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</row>
    <row r="290" spans="1:34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</row>
    <row r="291" spans="1:34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</row>
    <row r="292" spans="1:34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</row>
    <row r="293" spans="1:34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</row>
    <row r="294" spans="1:34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</row>
    <row r="295" spans="1:34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</row>
    <row r="296" spans="1:34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</row>
    <row r="297" spans="1:34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</row>
    <row r="298" spans="1:34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</row>
    <row r="299" spans="1:34" x14ac:dyDescent="0.2">
      <c r="A299" s="760"/>
      <c r="B299" s="760"/>
      <c r="C299" s="912"/>
      <c r="D299" s="814"/>
      <c r="E299" s="814"/>
      <c r="F299" s="919"/>
      <c r="G299" s="760"/>
      <c r="H299" s="760"/>
      <c r="I299" s="760"/>
      <c r="J299" s="760"/>
      <c r="K299" s="760"/>
      <c r="L299" s="880"/>
      <c r="M299" s="880"/>
      <c r="N299" s="880"/>
      <c r="O299" s="760"/>
      <c r="P299" s="760"/>
      <c r="Q299" s="760"/>
      <c r="R299" s="760"/>
      <c r="S299" s="760"/>
      <c r="T299" s="880"/>
      <c r="U299" s="880"/>
      <c r="V299" s="88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</row>
    <row r="300" spans="1:34" x14ac:dyDescent="0.2">
      <c r="A300" s="815">
        <v>1</v>
      </c>
      <c r="B300" s="816" t="str">
        <f>IFERROR(INDEX(B$1:B$100,MATCH(A300,A$1:A$100,0)),"")</f>
        <v>Einar Juhkam, Kenneth Muusikus</v>
      </c>
      <c r="C300" s="755"/>
      <c r="D300" s="755"/>
      <c r="E300" s="755"/>
      <c r="F300" s="920"/>
      <c r="G300" s="760"/>
      <c r="H300" s="760"/>
      <c r="I300" s="760"/>
      <c r="J300" s="760"/>
      <c r="K300" s="880"/>
      <c r="L300" s="880"/>
      <c r="M300" s="880"/>
      <c r="N300" s="880"/>
      <c r="O300" s="880"/>
      <c r="P300" s="880"/>
      <c r="Q300" s="880"/>
      <c r="R300" s="880"/>
      <c r="S300" s="880"/>
      <c r="T300" s="880"/>
      <c r="U300" s="880"/>
      <c r="V300" s="88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</row>
    <row r="301" spans="1:34" x14ac:dyDescent="0.2">
      <c r="A301" s="815">
        <v>2</v>
      </c>
      <c r="B301" s="816" t="str">
        <f t="shared" ref="B301:B307" si="4">IFERROR(INDEX(B$1:B$100,MATCH(A301,A$1:A$100,0)),"")</f>
        <v>Illar Tõnurist, Jaan Saar</v>
      </c>
      <c r="C301" s="755"/>
      <c r="D301" s="817"/>
      <c r="E301" s="817"/>
      <c r="F301" s="920"/>
      <c r="G301" s="760"/>
      <c r="H301" s="760"/>
      <c r="I301" s="760"/>
      <c r="J301" s="760"/>
      <c r="K301" s="880"/>
      <c r="L301" s="880"/>
      <c r="M301" s="880"/>
      <c r="N301" s="880"/>
      <c r="O301" s="880"/>
      <c r="P301" s="880"/>
      <c r="Q301" s="880"/>
      <c r="R301" s="880"/>
      <c r="S301" s="880"/>
      <c r="T301" s="880"/>
      <c r="U301" s="880"/>
      <c r="V301" s="880"/>
      <c r="W301" s="88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</row>
    <row r="302" spans="1:34" x14ac:dyDescent="0.2">
      <c r="A302" s="815">
        <v>3</v>
      </c>
      <c r="B302" s="816" t="str">
        <f t="shared" si="4"/>
        <v>Alari Keedus, Ülo Piik</v>
      </c>
      <c r="C302" s="755"/>
      <c r="D302" s="817"/>
      <c r="E302" s="817"/>
      <c r="F302" s="920"/>
      <c r="G302" s="760"/>
      <c r="H302" s="760"/>
      <c r="I302" s="760"/>
      <c r="J302" s="760"/>
      <c r="K302" s="880"/>
      <c r="L302" s="880"/>
      <c r="M302" s="880"/>
      <c r="N302" s="880"/>
      <c r="O302" s="880"/>
      <c r="P302" s="880"/>
      <c r="Q302" s="880"/>
      <c r="R302" s="880"/>
      <c r="S302" s="880"/>
      <c r="T302" s="880"/>
      <c r="U302" s="880"/>
      <c r="V302" s="88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</row>
    <row r="303" spans="1:34" x14ac:dyDescent="0.2">
      <c r="A303" s="815">
        <v>4</v>
      </c>
      <c r="B303" s="816" t="str">
        <f t="shared" si="4"/>
        <v>Elmo Lageda, Tõnu Piik</v>
      </c>
      <c r="C303" s="755"/>
      <c r="D303" s="817"/>
      <c r="E303" s="817"/>
      <c r="F303" s="920"/>
      <c r="G303" s="760"/>
      <c r="H303" s="760"/>
      <c r="I303" s="760"/>
      <c r="J303" s="760"/>
      <c r="K303" s="880"/>
      <c r="L303" s="880"/>
      <c r="M303" s="880"/>
      <c r="N303" s="880"/>
      <c r="O303" s="880"/>
      <c r="P303" s="880"/>
      <c r="Q303" s="880"/>
      <c r="R303" s="880"/>
      <c r="S303" s="880"/>
      <c r="T303" s="880"/>
      <c r="U303" s="880"/>
      <c r="V303" s="88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</row>
    <row r="304" spans="1:34" x14ac:dyDescent="0.2">
      <c r="A304" s="815">
        <v>5</v>
      </c>
      <c r="B304" s="816" t="str">
        <f t="shared" si="4"/>
        <v>Aigi Orro, Kalle Orro</v>
      </c>
      <c r="C304" s="755"/>
      <c r="D304" s="817"/>
      <c r="E304" s="817"/>
      <c r="F304" s="920"/>
      <c r="G304" s="760"/>
      <c r="H304" s="760"/>
      <c r="I304" s="760"/>
      <c r="J304" s="760"/>
      <c r="K304" s="880"/>
      <c r="L304" s="880"/>
      <c r="M304" s="880"/>
      <c r="N304" s="880"/>
      <c r="O304" s="880"/>
      <c r="P304" s="880"/>
      <c r="Q304" s="880"/>
      <c r="R304" s="880"/>
      <c r="S304" s="880"/>
      <c r="T304" s="880"/>
      <c r="U304" s="880"/>
      <c r="V304" s="88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</row>
    <row r="305" spans="1:34" x14ac:dyDescent="0.2">
      <c r="A305" s="815">
        <v>6</v>
      </c>
      <c r="B305" s="816" t="str">
        <f t="shared" si="4"/>
        <v>Johannes Neiland, Karla Purgats</v>
      </c>
      <c r="C305" s="755"/>
      <c r="D305" s="817"/>
      <c r="E305" s="817"/>
      <c r="F305" s="920"/>
      <c r="G305" s="760"/>
      <c r="H305" s="760"/>
      <c r="I305" s="760"/>
      <c r="J305" s="760"/>
      <c r="K305" s="880"/>
      <c r="L305" s="880"/>
      <c r="M305" s="880"/>
      <c r="N305" s="880"/>
      <c r="O305" s="880"/>
      <c r="P305" s="880"/>
      <c r="Q305" s="880"/>
      <c r="R305" s="880"/>
      <c r="S305" s="880"/>
      <c r="T305" s="880"/>
      <c r="U305" s="880"/>
      <c r="V305" s="88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</row>
    <row r="306" spans="1:34" x14ac:dyDescent="0.2">
      <c r="A306" s="815">
        <v>7</v>
      </c>
      <c r="B306" s="816" t="str">
        <f t="shared" si="4"/>
        <v>Andres Veski, Svetlana Veski</v>
      </c>
      <c r="C306" s="755"/>
      <c r="D306" s="817"/>
      <c r="E306" s="817"/>
      <c r="F306" s="920"/>
      <c r="G306" s="760"/>
      <c r="H306" s="760"/>
      <c r="I306" s="760"/>
      <c r="J306" s="760"/>
      <c r="K306" s="880"/>
      <c r="L306" s="880"/>
      <c r="M306" s="880"/>
      <c r="N306" s="880"/>
      <c r="O306" s="880"/>
      <c r="P306" s="880"/>
      <c r="Q306" s="880"/>
      <c r="R306" s="880"/>
      <c r="S306" s="880"/>
      <c r="T306" s="880"/>
      <c r="U306" s="880"/>
      <c r="V306" s="880"/>
      <c r="W306" s="88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</row>
    <row r="307" spans="1:34" x14ac:dyDescent="0.2">
      <c r="A307" s="815">
        <v>8</v>
      </c>
      <c r="B307" s="816" t="str">
        <f t="shared" si="4"/>
        <v>Janek Tarto, Klavdia Piik</v>
      </c>
      <c r="C307" s="755"/>
      <c r="D307" s="817"/>
      <c r="E307" s="817"/>
      <c r="F307" s="920"/>
      <c r="G307" s="760"/>
      <c r="H307" s="760"/>
      <c r="I307" s="760"/>
      <c r="J307" s="760"/>
      <c r="K307" s="880"/>
      <c r="L307" s="880"/>
      <c r="M307" s="880"/>
      <c r="N307" s="880"/>
      <c r="O307" s="880"/>
      <c r="P307" s="880"/>
      <c r="Q307" s="880"/>
      <c r="R307" s="880"/>
      <c r="S307" s="880"/>
      <c r="T307" s="880"/>
      <c r="U307" s="880"/>
      <c r="V307" s="88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</row>
    <row r="308" spans="1:34" x14ac:dyDescent="0.2">
      <c r="A308" s="815">
        <v>9</v>
      </c>
      <c r="B308" s="816" t="str">
        <f>IFERROR(INDEX(B$1:B$100,MATCH(A308,A$1:A$100,0)),"")</f>
        <v>Henri Mitt, Melika Lehtla</v>
      </c>
      <c r="C308" s="755"/>
      <c r="D308" s="817"/>
      <c r="E308" s="817"/>
      <c r="F308" s="920"/>
      <c r="G308" s="760"/>
      <c r="H308" s="760"/>
      <c r="I308" s="760"/>
      <c r="J308" s="760"/>
      <c r="K308" s="880"/>
      <c r="L308" s="880"/>
      <c r="M308" s="880"/>
      <c r="N308" s="880"/>
      <c r="O308" s="880"/>
      <c r="P308" s="880"/>
      <c r="Q308" s="880"/>
      <c r="R308" s="880"/>
      <c r="S308" s="880"/>
      <c r="T308" s="880"/>
      <c r="U308" s="880"/>
      <c r="V308" s="88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</row>
    <row r="309" spans="1:34" x14ac:dyDescent="0.2">
      <c r="A309" s="815">
        <v>10</v>
      </c>
      <c r="B309" s="816" t="str">
        <f t="shared" ref="B309:B310" si="5">IFERROR(INDEX(B$1:B$100,MATCH(A309,A$1:A$100,0)),"")</f>
        <v>Jaan Sepp, Oskar Sepp</v>
      </c>
      <c r="C309" s="755"/>
      <c r="D309" s="817"/>
      <c r="E309" s="817"/>
      <c r="F309" s="920"/>
      <c r="G309" s="760"/>
      <c r="H309" s="760"/>
      <c r="I309" s="760"/>
      <c r="J309" s="760"/>
      <c r="K309" s="880"/>
      <c r="L309" s="880"/>
      <c r="M309" s="880"/>
      <c r="N309" s="880"/>
      <c r="O309" s="880"/>
      <c r="P309" s="880"/>
      <c r="Q309" s="880"/>
      <c r="R309" s="880"/>
      <c r="S309" s="880"/>
      <c r="T309" s="880"/>
      <c r="U309" s="880"/>
      <c r="V309" s="88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</row>
    <row r="310" spans="1:34" x14ac:dyDescent="0.2">
      <c r="A310" s="815">
        <v>11</v>
      </c>
      <c r="B310" s="816" t="str">
        <f t="shared" si="5"/>
        <v>Enn Tokman, Tarmo Bombe</v>
      </c>
      <c r="C310" s="755"/>
      <c r="D310" s="760"/>
      <c r="E310" s="760"/>
      <c r="F310" s="920"/>
      <c r="G310" s="760"/>
      <c r="H310" s="760"/>
      <c r="I310" s="760"/>
      <c r="J310" s="760"/>
      <c r="K310" s="880"/>
      <c r="L310" s="880"/>
      <c r="M310" s="880"/>
      <c r="N310" s="880"/>
      <c r="O310" s="880"/>
      <c r="P310" s="880"/>
      <c r="Q310" s="880"/>
      <c r="R310" s="880"/>
      <c r="S310" s="880"/>
      <c r="T310" s="880"/>
      <c r="U310" s="880"/>
      <c r="V310" s="88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</row>
    <row r="311" spans="1:34" x14ac:dyDescent="0.2">
      <c r="A311" s="880"/>
      <c r="B311" s="880"/>
      <c r="C311" s="880"/>
      <c r="D311" s="880"/>
      <c r="E311" s="880"/>
      <c r="F311" s="880"/>
      <c r="G311" s="760"/>
      <c r="H311" s="760"/>
      <c r="I311" s="760"/>
      <c r="J311" s="760"/>
      <c r="K311" s="760"/>
      <c r="L311" s="880"/>
      <c r="M311" s="880"/>
      <c r="N311" s="880"/>
      <c r="O311" s="760"/>
      <c r="P311" s="760"/>
      <c r="Q311" s="760"/>
      <c r="R311" s="760"/>
      <c r="S311" s="760"/>
      <c r="T311" s="880"/>
      <c r="U311" s="880"/>
      <c r="V311" s="880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</row>
  </sheetData>
  <conditionalFormatting sqref="A300:A310">
    <cfRule type="duplicateValues" dxfId="2811" priority="45"/>
  </conditionalFormatting>
  <conditionalFormatting sqref="B300:B310">
    <cfRule type="expression" dxfId="2810" priority="40">
      <formula>A300=3</formula>
    </cfRule>
    <cfRule type="expression" dxfId="2809" priority="41">
      <formula>A300=2</formula>
    </cfRule>
    <cfRule type="expression" dxfId="2808" priority="42">
      <formula>A300=1</formula>
    </cfRule>
    <cfRule type="containsBlanks" dxfId="2807" priority="43">
      <formula>LEN(TRIM(B300))=0</formula>
    </cfRule>
    <cfRule type="duplicateValues" dxfId="2806" priority="44"/>
  </conditionalFormatting>
  <conditionalFormatting sqref="A8:A18">
    <cfRule type="duplicateValues" dxfId="2805" priority="39"/>
  </conditionalFormatting>
  <conditionalFormatting sqref="C8:C18">
    <cfRule type="expression" dxfId="2804" priority="21">
      <formula>IF($C8&gt;$E8,TRUE)</formula>
    </cfRule>
  </conditionalFormatting>
  <conditionalFormatting sqref="E8:E18">
    <cfRule type="expression" dxfId="2803" priority="22">
      <formula>IF($C8&lt;$E8,TRUE)</formula>
    </cfRule>
  </conditionalFormatting>
  <conditionalFormatting sqref="K8:K18">
    <cfRule type="expression" dxfId="2802" priority="29">
      <formula>IF($K8&gt;$M8,TRUE)</formula>
    </cfRule>
  </conditionalFormatting>
  <conditionalFormatting sqref="M8:M18">
    <cfRule type="expression" dxfId="2801" priority="30">
      <formula>IF($K8&lt;$M8,TRUE)</formula>
    </cfRule>
  </conditionalFormatting>
  <conditionalFormatting sqref="O8:O18">
    <cfRule type="expression" dxfId="2800" priority="33">
      <formula>IF($O8&gt;$Q8,TRUE)</formula>
    </cfRule>
  </conditionalFormatting>
  <conditionalFormatting sqref="Q8:Q18">
    <cfRule type="expression" dxfId="2799" priority="34">
      <formula>IF($O8&lt;$Q8,TRUE)</formula>
    </cfRule>
  </conditionalFormatting>
  <conditionalFormatting sqref="S8:S18">
    <cfRule type="expression" dxfId="2798" priority="37">
      <formula>IF($S8&gt;$U8,TRUE)</formula>
    </cfRule>
  </conditionalFormatting>
  <conditionalFormatting sqref="U8:U18">
    <cfRule type="expression" dxfId="2797" priority="38">
      <formula>IF($S8&lt;$U8,TRUE)</formula>
    </cfRule>
  </conditionalFormatting>
  <conditionalFormatting sqref="G8:G18">
    <cfRule type="expression" dxfId="2796" priority="25">
      <formula>IF($G8&gt;$I8,TRUE)</formula>
    </cfRule>
  </conditionalFormatting>
  <conditionalFormatting sqref="I8:I18">
    <cfRule type="expression" dxfId="2795" priority="26">
      <formula>IF($G8&lt;$I8,TRUE)</formula>
    </cfRule>
  </conditionalFormatting>
  <conditionalFormatting sqref="F8:F18">
    <cfRule type="containsText" dxfId="2794" priority="7" operator="containsText" text="vaba voor">
      <formula>NOT(ISERROR(SEARCH("vaba voor",F8)))</formula>
    </cfRule>
  </conditionalFormatting>
  <conditionalFormatting sqref="N8:N18">
    <cfRule type="containsText" dxfId="2793" priority="5" operator="containsText" text="vaba voor">
      <formula>NOT(ISERROR(SEARCH("vaba voor",N8)))</formula>
    </cfRule>
  </conditionalFormatting>
  <conditionalFormatting sqref="R8:R18">
    <cfRule type="containsText" dxfId="2792" priority="8" operator="containsText" text="vaba voor">
      <formula>NOT(ISERROR(SEARCH("vaba voor",R8)))</formula>
    </cfRule>
  </conditionalFormatting>
  <conditionalFormatting sqref="V8:V18">
    <cfRule type="containsText" dxfId="2791" priority="4" operator="containsText" text="vaba voor">
      <formula>NOT(ISERROR(SEARCH("vaba voor",V8)))</formula>
    </cfRule>
  </conditionalFormatting>
  <conditionalFormatting sqref="Z8:Z18">
    <cfRule type="containsText" dxfId="2790" priority="3" operator="containsText" text="vaba voor">
      <formula>NOT(ISERROR(SEARCH("vaba voor",Z8)))</formula>
    </cfRule>
  </conditionalFormatting>
  <conditionalFormatting sqref="W8:W18">
    <cfRule type="expression" dxfId="2789" priority="12">
      <formula>IF($W8&gt;$Y8,TRUE)</formula>
    </cfRule>
  </conditionalFormatting>
  <conditionalFormatting sqref="Y8:Y18">
    <cfRule type="expression" dxfId="2788" priority="13">
      <formula>IF($W8&lt;$Y8,TRUE)</formula>
    </cfRule>
  </conditionalFormatting>
  <conditionalFormatting sqref="J8:J18">
    <cfRule type="containsText" dxfId="2787" priority="6" operator="containsText" text="vaba voor">
      <formula>NOT(ISERROR(SEARCH("vaba voor",J8)))</formula>
    </cfRule>
  </conditionalFormatting>
  <conditionalFormatting sqref="C8:F18">
    <cfRule type="expression" dxfId="2786" priority="17">
      <formula>IF(AND(ISNUMBER($C8),$C8=$E8),TRUE)</formula>
    </cfRule>
    <cfRule type="expression" dxfId="2785" priority="19">
      <formula>IF($C8&gt;$E8,TRUE)</formula>
    </cfRule>
    <cfRule type="expression" dxfId="2784" priority="20">
      <formula>IF($C8&lt;$E8,TRUE)</formula>
    </cfRule>
  </conditionalFormatting>
  <conditionalFormatting sqref="G8:J18">
    <cfRule type="expression" dxfId="2783" priority="18">
      <formula>IF(AND(ISNUMBER($G8),$G8=$I8),TRUE)</formula>
    </cfRule>
    <cfRule type="expression" dxfId="2782" priority="23">
      <formula>IF($G8&gt;$I8,TRUE)</formula>
    </cfRule>
    <cfRule type="expression" dxfId="2781" priority="24">
      <formula>IF($G8&lt;$I8,TRUE)</formula>
    </cfRule>
  </conditionalFormatting>
  <conditionalFormatting sqref="K8:N18">
    <cfRule type="expression" dxfId="2780" priority="16">
      <formula>IF(AND(ISNUMBER($K8),$K8=$M8),TRUE)</formula>
    </cfRule>
    <cfRule type="expression" dxfId="2779" priority="27">
      <formula>IF($K8&gt;$M8,TRUE)</formula>
    </cfRule>
    <cfRule type="expression" dxfId="2778" priority="28">
      <formula>IF($K8&lt;$M8,TRUE)</formula>
    </cfRule>
  </conditionalFormatting>
  <conditionalFormatting sqref="O8:R18">
    <cfRule type="expression" dxfId="2777" priority="15">
      <formula>IF(AND(ISNUMBER($O8),$O8=$Q8),TRUE)</formula>
    </cfRule>
    <cfRule type="expression" dxfId="2776" priority="31">
      <formula>IF($O8&gt;$Q8,TRUE)</formula>
    </cfRule>
    <cfRule type="expression" dxfId="2775" priority="32">
      <formula>IF($O8&lt;$Q8,TRUE)</formula>
    </cfRule>
  </conditionalFormatting>
  <conditionalFormatting sqref="S8:V18">
    <cfRule type="expression" dxfId="2774" priority="14">
      <formula>IF(AND(ISNUMBER($S8),$S8=$U8),TRUE)</formula>
    </cfRule>
    <cfRule type="expression" dxfId="2773" priority="35">
      <formula>IF($S8&gt;$U8,TRUE)</formula>
    </cfRule>
    <cfRule type="expression" dxfId="2772" priority="36">
      <formula>IF($S8&lt;$U8,TRUE)</formula>
    </cfRule>
  </conditionalFormatting>
  <conditionalFormatting sqref="W8:Z18">
    <cfRule type="expression" dxfId="2771" priority="9">
      <formula>IF(AND(ISNUMBER($W8),$W8=$Y8),TRUE)</formula>
    </cfRule>
    <cfRule type="expression" dxfId="2770" priority="10">
      <formula>IF($W8&gt;$Y8,TRUE)</formula>
    </cfRule>
    <cfRule type="expression" dxfId="2769" priority="11">
      <formula>IF($W8&lt;$Y8,TRUE)</formula>
    </cfRule>
  </conditionalFormatting>
  <conditionalFormatting sqref="C8:C18 G8:G18 K8:K18 O8:O18 S8:S18 W8:W18">
    <cfRule type="expression" dxfId="2768" priority="1">
      <formula>AND(C8=0,E8=13)</formula>
    </cfRule>
  </conditionalFormatting>
  <conditionalFormatting sqref="E8:E18 I8:I18 M8:M18 Q8:Q18 U8:U18 Y8:Y18">
    <cfRule type="expression" dxfId="2767" priority="2">
      <formula>AND(E8=0,C8=13)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FF99"/>
    <pageSetUpPr fitToPage="1"/>
  </sheetPr>
  <dimension ref="A1:AB308"/>
  <sheetViews>
    <sheetView showGridLines="0" showRowColHeaders="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1.28515625" style="1" customWidth="1"/>
    <col min="3" max="10" width="5.42578125" style="1" customWidth="1"/>
    <col min="11" max="11" width="3.28515625" style="1" customWidth="1"/>
    <col min="12" max="12" width="3.28515625" style="1" hidden="1" customWidth="1"/>
    <col min="13" max="13" width="6.5703125" style="1" bestFit="1" customWidth="1"/>
    <col min="14" max="14" width="2" style="1" bestFit="1" customWidth="1"/>
    <col min="15" max="16" width="2" style="1" customWidth="1"/>
    <col min="17" max="17" width="9.140625" style="1"/>
    <col min="18" max="18" width="7.7109375" style="1" hidden="1" customWidth="1"/>
    <col min="19" max="19" width="5" style="1" hidden="1" customWidth="1"/>
    <col min="20" max="20" width="16.5703125" style="1" hidden="1" customWidth="1"/>
    <col min="21" max="21" width="4" style="1" hidden="1" customWidth="1"/>
    <col min="22" max="22" width="15.7109375" style="1" hidden="1" customWidth="1"/>
    <col min="23" max="23" width="0" style="1" hidden="1" customWidth="1"/>
    <col min="24" max="24" width="17.28515625" style="1" hidden="1" customWidth="1"/>
    <col min="25" max="25" width="0" style="1" hidden="1" customWidth="1"/>
    <col min="26" max="26" width="13.85546875" style="1" hidden="1" customWidth="1"/>
    <col min="27" max="16384" width="9.140625" style="1"/>
  </cols>
  <sheetData>
    <row r="1" spans="1:28" x14ac:dyDescent="0.2">
      <c r="A1" s="753" t="str">
        <f>UPPER((Kalend!E21)&amp;" - "&amp;(Kalend!C21)&amp;" - "&amp;(Kalend!D21))</f>
        <v>VI-D - VIRU SK 1. SISE-MV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K1" s="755"/>
      <c r="L1" s="755"/>
      <c r="M1" s="755"/>
      <c r="N1" s="755"/>
      <c r="O1" s="755"/>
      <c r="P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8" x14ac:dyDescent="0.2">
      <c r="A2" s="757" t="str">
        <f>"Toimumisaeg: "&amp;(Kalend!A21)&amp;" kell "&amp;(Kalend!B21)</f>
        <v>Toimumisaeg: P, 23.12.2018 kell 15:30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8" x14ac:dyDescent="0.2">
      <c r="A3" s="757" t="str">
        <f>"Toimumiskoht: "&amp;(Kalend!F21)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R3" s="889" t="s">
        <v>444</v>
      </c>
      <c r="S3" s="757"/>
      <c r="T3" s="757"/>
      <c r="U3" s="757"/>
      <c r="V3" s="757"/>
      <c r="W3" s="757"/>
      <c r="X3" s="757"/>
      <c r="Y3" s="757"/>
      <c r="Z3" s="757"/>
      <c r="AA3" s="757"/>
    </row>
    <row r="4" spans="1:28" x14ac:dyDescent="0.2">
      <c r="A4" s="757" t="str">
        <f>"Korraldaja: "&amp;(Kalend!G21)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9" t="s">
        <v>357</v>
      </c>
      <c r="K4" s="757"/>
      <c r="L4" s="757"/>
      <c r="M4" s="757"/>
      <c r="N4" s="757"/>
      <c r="O4" s="757"/>
      <c r="P4" s="757"/>
      <c r="Q4" s="757"/>
      <c r="R4" s="761" t="s">
        <v>49</v>
      </c>
      <c r="S4" s="757"/>
      <c r="T4" s="916"/>
      <c r="U4" s="757"/>
      <c r="V4" s="916"/>
      <c r="W4" s="757"/>
      <c r="X4" s="916"/>
      <c r="Y4" s="757"/>
      <c r="Z4" s="916"/>
      <c r="AA4" s="757"/>
    </row>
    <row r="5" spans="1:28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O5" s="760"/>
      <c r="P5" s="760"/>
      <c r="Q5" s="757"/>
      <c r="R5" s="761" t="s">
        <v>358</v>
      </c>
      <c r="S5" s="913"/>
      <c r="T5" s="762" t="s">
        <v>359</v>
      </c>
      <c r="U5" s="913"/>
      <c r="V5" s="763" t="s">
        <v>360</v>
      </c>
      <c r="W5" s="913"/>
      <c r="X5" s="762" t="s">
        <v>361</v>
      </c>
      <c r="Y5" s="915"/>
      <c r="Z5" s="762" t="s">
        <v>362</v>
      </c>
      <c r="AA5" s="760"/>
    </row>
    <row r="6" spans="1:28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>
        <v>6</v>
      </c>
      <c r="I6" s="767" t="s">
        <v>363</v>
      </c>
      <c r="J6" s="766" t="s">
        <v>364</v>
      </c>
      <c r="K6" s="768" t="s">
        <v>21</v>
      </c>
      <c r="L6" s="769" t="s">
        <v>365</v>
      </c>
      <c r="M6" s="924" t="s">
        <v>478</v>
      </c>
      <c r="N6" s="755"/>
      <c r="O6" s="755"/>
      <c r="P6" s="755"/>
      <c r="Q6" s="755"/>
      <c r="R6" s="761" t="s">
        <v>366</v>
      </c>
      <c r="S6" s="880"/>
      <c r="T6" s="772"/>
      <c r="U6" s="880"/>
      <c r="V6" s="772"/>
      <c r="W6" s="211"/>
      <c r="X6" s="774"/>
      <c r="Y6" s="211"/>
      <c r="Z6" s="774"/>
      <c r="AA6" s="212"/>
    </row>
    <row r="7" spans="1:28" x14ac:dyDescent="0.2">
      <c r="A7" s="765">
        <v>1</v>
      </c>
      <c r="B7" s="925" t="s">
        <v>479</v>
      </c>
      <c r="C7" s="776"/>
      <c r="D7" s="926">
        <v>13</v>
      </c>
      <c r="E7" s="778">
        <v>13</v>
      </c>
      <c r="F7" s="786">
        <v>2</v>
      </c>
      <c r="G7" s="786">
        <v>13</v>
      </c>
      <c r="H7" s="786">
        <v>9</v>
      </c>
      <c r="I7" s="780" t="str">
        <f>(IF(D7-C8&gt;0,1)+IF(E7-C9&gt;0,1)+IF(F7-C10&gt;0,1)+IF(G7-C11&gt;0,1)+IF(H7-C12&gt;0,1))&amp;"-"&amp;(IF(D7-C8&lt;0,1)+IF(E7-C9&lt;0,1)+IF(F7-C10&lt;0,1)+IF(G7-C11&lt;0,1)+IF(H7-C12&lt;0,1))</f>
        <v>3-2</v>
      </c>
      <c r="J7" s="766">
        <v>3</v>
      </c>
      <c r="K7" s="781">
        <v>3</v>
      </c>
      <c r="L7" s="927"/>
      <c r="M7" s="928">
        <v>1</v>
      </c>
      <c r="N7" s="929" t="s">
        <v>269</v>
      </c>
      <c r="O7" s="755"/>
      <c r="P7" s="755"/>
      <c r="Q7" s="755"/>
      <c r="R7" s="764">
        <f t="shared" ref="R7:R12" si="0">SUM(S7:AB7)</f>
        <v>148</v>
      </c>
      <c r="S7" s="914">
        <f>IFERROR(INDEX(V!$R:$R,MATCH(T7,V!$L:$L,0)),"")</f>
        <v>131</v>
      </c>
      <c r="T7" s="783" t="str">
        <f t="shared" ref="T7:T12" si="1">IFERROR(LEFT($B7,(FIND(",",$B7,1)-1)),"")</f>
        <v>Kenneth Muusikus</v>
      </c>
      <c r="U7" s="914">
        <f>IFERROR(INDEX(V!$R:$R,MATCH(V7,V!$L:$L,0)),"")</f>
        <v>17</v>
      </c>
      <c r="V7" s="783" t="str">
        <f t="shared" ref="V7:V12" si="2">IFERROR(MID($B7,FIND(", ",$B7)+2,256),"")</f>
        <v>Urmas Randlaine</v>
      </c>
      <c r="W7" s="914" t="str">
        <f>IFERROR(INDEX(V!$R:$R,MATCH(X7,V!$L:$L,0)),"")</f>
        <v/>
      </c>
      <c r="X7" s="785" t="str">
        <f t="shared" ref="X7:X12" si="3">IFERROR(MID($B7,FIND("^",SUBSTITUTE($B7,", ","^",1))+2,FIND("^",SUBSTITUTE($B7,", ","^",2))-FIND("^",SUBSTITUTE($B7,", ","^",1))-2),"")</f>
        <v/>
      </c>
      <c r="Y7" s="914" t="str">
        <f>IFERROR(INDEX(V!$R:$R,MATCH(Z7,V!$L:$L,0)),"")</f>
        <v/>
      </c>
      <c r="Z7" s="785" t="str">
        <f t="shared" ref="Z7:Z12" si="4">IFERROR(MID($B7,FIND(", ",$B7,FIND(", ",$B7,FIND(", ",$B7))+1)+2,30000),"")</f>
        <v/>
      </c>
      <c r="AA7" s="212"/>
    </row>
    <row r="8" spans="1:28" x14ac:dyDescent="0.2">
      <c r="A8" s="765">
        <v>2</v>
      </c>
      <c r="B8" s="775" t="s">
        <v>369</v>
      </c>
      <c r="C8" s="778">
        <v>6</v>
      </c>
      <c r="D8" s="776"/>
      <c r="E8" s="778">
        <v>11</v>
      </c>
      <c r="F8" s="778">
        <v>13</v>
      </c>
      <c r="G8" s="778">
        <v>1</v>
      </c>
      <c r="H8" s="778">
        <v>3</v>
      </c>
      <c r="I8" s="796" t="str">
        <f>(IF(C8-D7&gt;0,1)+IF(E8-D9&gt;0,1)+IF(F8-D10&gt;0,1)+IF(G8-D11&gt;0,1)+IF(H8-D12&gt;0,1))&amp;"-"&amp;(IF(C8-D7&lt;0,1)+IF(E8-D9&lt;0,1)+IF(F8-D10&lt;0,1)+IF(G8-D11&lt;0,1)+IF(H8-D12&lt;0,1))</f>
        <v>1-4</v>
      </c>
      <c r="J8" s="766">
        <v>6</v>
      </c>
      <c r="K8" s="843">
        <v>1</v>
      </c>
      <c r="L8" s="927"/>
      <c r="M8" s="930"/>
      <c r="N8" s="840"/>
      <c r="O8" s="755"/>
      <c r="P8" s="755"/>
      <c r="Q8" s="755"/>
      <c r="R8" s="764">
        <f t="shared" si="0"/>
        <v>164</v>
      </c>
      <c r="S8" s="914">
        <f>IFERROR(INDEX(V!$R:$R,MATCH(T8,V!$L:$L,0)),"")</f>
        <v>88</v>
      </c>
      <c r="T8" s="783" t="str">
        <f t="shared" si="1"/>
        <v>Enn Tokman</v>
      </c>
      <c r="U8" s="914">
        <f>IFERROR(INDEX(V!$R:$R,MATCH(V8,V!$L:$L,0)),"")</f>
        <v>76</v>
      </c>
      <c r="V8" s="783" t="str">
        <f t="shared" si="2"/>
        <v>Tarmo Bombe</v>
      </c>
      <c r="W8" s="914" t="str">
        <f>IFERROR(INDEX(V!$R:$R,MATCH(X8,V!$L:$L,0)),"")</f>
        <v/>
      </c>
      <c r="X8" s="785" t="str">
        <f t="shared" si="3"/>
        <v/>
      </c>
      <c r="Y8" s="914" t="str">
        <f>IFERROR(INDEX(V!$R:$R,MATCH(Z8,V!$L:$L,0)),"")</f>
        <v/>
      </c>
      <c r="Z8" s="785" t="str">
        <f t="shared" si="4"/>
        <v/>
      </c>
      <c r="AA8" s="212"/>
    </row>
    <row r="9" spans="1:28" x14ac:dyDescent="0.2">
      <c r="A9" s="765">
        <v>3</v>
      </c>
      <c r="B9" s="925" t="s">
        <v>404</v>
      </c>
      <c r="C9" s="778">
        <v>9</v>
      </c>
      <c r="D9" s="787">
        <v>13</v>
      </c>
      <c r="E9" s="776"/>
      <c r="F9" s="778">
        <v>3</v>
      </c>
      <c r="G9" s="778">
        <v>5</v>
      </c>
      <c r="H9" s="778">
        <v>13</v>
      </c>
      <c r="I9" s="796" t="str">
        <f>(IF(C9-E7&gt;0,1)+IF(D9-E8&gt;0,1)+IF(F9-E10&gt;0,1)+IF(G9-E11&gt;0,1)+IF(H9-E12&gt;0,1))&amp;"-"&amp;(IF(C9-E7&lt;0,1)+IF(D9-E8&lt;0,1)+IF(F9-E10&lt;0,1)+IF(G9-E11&lt;0,1)+IF(H9-E12&lt;0,1))</f>
        <v>2-3</v>
      </c>
      <c r="J9" s="766">
        <v>5</v>
      </c>
      <c r="K9" s="843">
        <v>2</v>
      </c>
      <c r="L9" s="927"/>
      <c r="M9" s="930"/>
      <c r="N9" s="840"/>
      <c r="O9" s="755"/>
      <c r="P9" s="755"/>
      <c r="Q9" s="755"/>
      <c r="R9" s="764">
        <f t="shared" si="0"/>
        <v>190.5</v>
      </c>
      <c r="S9" s="914">
        <f>IFERROR(INDEX(V!$R:$R,MATCH(T9,V!$L:$L,0)),"")</f>
        <v>98.5</v>
      </c>
      <c r="T9" s="783" t="str">
        <f t="shared" si="1"/>
        <v>Illar Tõnurist</v>
      </c>
      <c r="U9" s="914">
        <f>IFERROR(INDEX(V!$R:$R,MATCH(V9,V!$L:$L,0)),"")</f>
        <v>92</v>
      </c>
      <c r="V9" s="783" t="str">
        <f t="shared" si="2"/>
        <v>Jaan Saar</v>
      </c>
      <c r="W9" s="914" t="str">
        <f>IFERROR(INDEX(V!$R:$R,MATCH(X9,V!$L:$L,0)),"")</f>
        <v/>
      </c>
      <c r="X9" s="785" t="str">
        <f t="shared" si="3"/>
        <v/>
      </c>
      <c r="Y9" s="914" t="str">
        <f>IFERROR(INDEX(V!$R:$R,MATCH(Z9,V!$L:$L,0)),"")</f>
        <v/>
      </c>
      <c r="Z9" s="785" t="str">
        <f t="shared" si="4"/>
        <v/>
      </c>
      <c r="AA9" s="212"/>
    </row>
    <row r="10" spans="1:28" x14ac:dyDescent="0.2">
      <c r="A10" s="765">
        <v>4</v>
      </c>
      <c r="B10" s="925" t="s">
        <v>436</v>
      </c>
      <c r="C10" s="786">
        <v>13</v>
      </c>
      <c r="D10" s="787">
        <v>10</v>
      </c>
      <c r="E10" s="778">
        <v>13</v>
      </c>
      <c r="F10" s="776"/>
      <c r="G10" s="786">
        <v>13</v>
      </c>
      <c r="H10" s="786">
        <v>11</v>
      </c>
      <c r="I10" s="780" t="str">
        <f>(IF(C10-F7&gt;0,1)+IF(D10-F8&gt;0,1)+IF(E10-F9&gt;0,1)+IF(G10-F11&gt;0,1)+IF(H10-F12&gt;0,1))&amp;"-"&amp;(IF(C10-F7&lt;0,1)+IF(D10-F8&lt;0,1)+IF(E10-F9&lt;0,1)+IF(G10-F11&lt;0,1)+IF(H10-F12&lt;0,1))</f>
        <v>3-2</v>
      </c>
      <c r="J10" s="766">
        <v>2</v>
      </c>
      <c r="K10" s="781">
        <v>3</v>
      </c>
      <c r="L10" s="927"/>
      <c r="M10" s="931">
        <v>2</v>
      </c>
      <c r="N10" s="932" t="s">
        <v>268</v>
      </c>
      <c r="O10" s="755"/>
      <c r="P10" s="755"/>
      <c r="Q10" s="755"/>
      <c r="R10" s="764">
        <f t="shared" si="0"/>
        <v>86.5</v>
      </c>
      <c r="S10" s="914">
        <f>IFERROR(INDEX(V!$R:$R,MATCH(T10,V!$L:$L,0)),"")</f>
        <v>66.5</v>
      </c>
      <c r="T10" s="783" t="str">
        <f t="shared" si="1"/>
        <v>Oleg Rõndenkov</v>
      </c>
      <c r="U10" s="914">
        <f>IFERROR(INDEX(V!$R:$R,MATCH(V10,V!$L:$L,0)),"")</f>
        <v>20</v>
      </c>
      <c r="V10" s="783" t="str">
        <f t="shared" si="2"/>
        <v>Toomas Tedrekull</v>
      </c>
      <c r="W10" s="914" t="str">
        <f>IFERROR(INDEX(V!$R:$R,MATCH(X10,V!$L:$L,0)),"")</f>
        <v/>
      </c>
      <c r="X10" s="785" t="str">
        <f t="shared" si="3"/>
        <v/>
      </c>
      <c r="Y10" s="914" t="str">
        <f>IFERROR(INDEX(V!$R:$R,MATCH(Z10,V!$L:$L,0)),"")</f>
        <v/>
      </c>
      <c r="Z10" s="785" t="str">
        <f t="shared" si="4"/>
        <v/>
      </c>
      <c r="AA10" s="212"/>
    </row>
    <row r="11" spans="1:28" x14ac:dyDescent="0.2">
      <c r="A11" s="765">
        <v>5</v>
      </c>
      <c r="B11" s="933" t="s">
        <v>480</v>
      </c>
      <c r="C11" s="786">
        <v>8</v>
      </c>
      <c r="D11" s="778">
        <v>13</v>
      </c>
      <c r="E11" s="778">
        <v>13</v>
      </c>
      <c r="F11" s="786">
        <v>12</v>
      </c>
      <c r="G11" s="776"/>
      <c r="H11" s="786">
        <v>13</v>
      </c>
      <c r="I11" s="780" t="str">
        <f>(IF(C11-G7&gt;0,1)+IF(D11-G8&gt;0,1)+IF(E11-G9&gt;0,1)+IF(F11-G10&gt;0,1)+IF(H11-G12&gt;0,1))&amp;"-"&amp;(IF(C11-G7&lt;0,1)+IF(D11-G8&lt;0,1)+IF(E11-G9&lt;0,1)+IF(F11-G10&lt;0,1)+IF(H11-G12&lt;0,1))</f>
        <v>3-2</v>
      </c>
      <c r="J11" s="766">
        <v>4</v>
      </c>
      <c r="K11" s="781">
        <v>3</v>
      </c>
      <c r="L11" s="927"/>
      <c r="M11" s="928">
        <v>1</v>
      </c>
      <c r="N11" s="929" t="s">
        <v>268</v>
      </c>
      <c r="O11" s="755"/>
      <c r="P11" s="755"/>
      <c r="Q11" s="755"/>
      <c r="R11" s="764">
        <f t="shared" si="0"/>
        <v>22</v>
      </c>
      <c r="S11" s="914">
        <f>IFERROR(INDEX(V!$R:$R,MATCH(T11,V!$L:$L,0)),"")</f>
        <v>12</v>
      </c>
      <c r="T11" s="783" t="str">
        <f t="shared" si="1"/>
        <v>Andrei Grintšak</v>
      </c>
      <c r="U11" s="914">
        <f>IFERROR(INDEX(V!$R:$R,MATCH(V11,V!$L:$L,0)),"")</f>
        <v>10</v>
      </c>
      <c r="V11" s="783" t="str">
        <f t="shared" si="2"/>
        <v>Fredi Müür</v>
      </c>
      <c r="W11" s="914" t="str">
        <f>IFERROR(INDEX(V!$R:$R,MATCH(X11,V!$L:$L,0)),"")</f>
        <v/>
      </c>
      <c r="X11" s="785" t="str">
        <f t="shared" si="3"/>
        <v/>
      </c>
      <c r="Y11" s="914" t="str">
        <f>IFERROR(INDEX(V!$R:$R,MATCH(Z11,V!$L:$L,0)),"")</f>
        <v/>
      </c>
      <c r="Z11" s="785" t="str">
        <f t="shared" si="4"/>
        <v/>
      </c>
      <c r="AA11" s="212"/>
    </row>
    <row r="12" spans="1:28" x14ac:dyDescent="0.2">
      <c r="A12" s="765">
        <v>6</v>
      </c>
      <c r="B12" s="925" t="s">
        <v>481</v>
      </c>
      <c r="C12" s="934">
        <v>13</v>
      </c>
      <c r="D12" s="794">
        <v>13</v>
      </c>
      <c r="E12" s="794">
        <v>6</v>
      </c>
      <c r="F12" s="934">
        <v>13</v>
      </c>
      <c r="G12" s="934">
        <v>1</v>
      </c>
      <c r="H12" s="776"/>
      <c r="I12" s="780" t="str">
        <f>(IF(C12-H7&gt;0,1)+IF(D12-H8&gt;0,1)+IF(E12-H9&gt;0,1)+IF(F12-H10&gt;0,1)+IF(G12-H11&gt;0,1))&amp;"-"&amp;(IF(C12-H7&lt;0,1)+IF(D12-H8&lt;0,1)+IF(E12-H9&lt;0,1)+IF(F12-H10&lt;0,1)+IF(G12-H11&lt;0,1))</f>
        <v>3-2</v>
      </c>
      <c r="J12" s="766">
        <v>1</v>
      </c>
      <c r="K12" s="935">
        <v>3</v>
      </c>
      <c r="L12" s="936"/>
      <c r="M12" s="937">
        <v>2</v>
      </c>
      <c r="N12" s="932" t="s">
        <v>269</v>
      </c>
      <c r="O12" s="755"/>
      <c r="P12" s="755"/>
      <c r="Q12" s="755"/>
      <c r="R12" s="764">
        <f t="shared" si="0"/>
        <v>184</v>
      </c>
      <c r="S12" s="914">
        <f>IFERROR(INDEX(V!$R:$R,MATCH(T12,V!$L:$L,0)),"")</f>
        <v>61</v>
      </c>
      <c r="T12" s="783" t="str">
        <f t="shared" si="1"/>
        <v>Henri Mitt</v>
      </c>
      <c r="U12" s="914">
        <f>IFERROR(INDEX(V!$R:$R,MATCH(V12,V!$L:$L,0)),"")</f>
        <v>123</v>
      </c>
      <c r="V12" s="783" t="str">
        <f t="shared" si="2"/>
        <v>Tõnu Piik</v>
      </c>
      <c r="W12" s="914" t="str">
        <f>IFERROR(INDEX(V!$R:$R,MATCH(X12,V!$L:$L,0)),"")</f>
        <v/>
      </c>
      <c r="X12" s="785" t="str">
        <f t="shared" si="3"/>
        <v/>
      </c>
      <c r="Y12" s="914" t="str">
        <f>IFERROR(INDEX(V!$R:$R,MATCH(Z12,V!$L:$L,0)),"")</f>
        <v/>
      </c>
      <c r="Z12" s="785" t="str">
        <f t="shared" si="4"/>
        <v/>
      </c>
      <c r="AA12" s="757"/>
    </row>
    <row r="13" spans="1:28" x14ac:dyDescent="0.2">
      <c r="A13" s="770"/>
      <c r="B13" s="770"/>
      <c r="C13" s="770"/>
      <c r="D13" s="770"/>
      <c r="E13" s="770"/>
      <c r="F13" s="770"/>
      <c r="G13" s="770"/>
      <c r="H13" s="770"/>
      <c r="I13" s="770"/>
      <c r="J13" s="770"/>
      <c r="K13" s="770"/>
      <c r="L13" s="770"/>
      <c r="M13" s="770"/>
      <c r="N13" s="755"/>
      <c r="O13" s="755"/>
      <c r="P13" s="755"/>
      <c r="Q13" s="755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</row>
    <row r="14" spans="1:28" x14ac:dyDescent="0.2">
      <c r="A14" s="757"/>
      <c r="B14" s="799" t="s">
        <v>373</v>
      </c>
      <c r="C14" s="800" t="s">
        <v>374</v>
      </c>
      <c r="D14" s="800" t="s">
        <v>375</v>
      </c>
      <c r="E14" s="770"/>
      <c r="F14" s="770"/>
      <c r="G14" s="770"/>
      <c r="H14" s="770"/>
      <c r="I14" s="770"/>
      <c r="J14" s="770"/>
      <c r="K14" s="770"/>
      <c r="L14" s="770"/>
      <c r="M14" s="770"/>
      <c r="N14" s="755"/>
      <c r="O14" s="755"/>
      <c r="P14" s="755"/>
      <c r="Q14" s="755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</row>
    <row r="15" spans="1:28" x14ac:dyDescent="0.2">
      <c r="A15" s="757"/>
      <c r="B15" s="799" t="s">
        <v>376</v>
      </c>
      <c r="C15" s="800" t="s">
        <v>377</v>
      </c>
      <c r="D15" s="800" t="s">
        <v>378</v>
      </c>
      <c r="E15" s="770"/>
      <c r="F15" s="770"/>
      <c r="G15" s="770"/>
      <c r="H15" s="770"/>
      <c r="I15" s="770"/>
      <c r="J15" s="770"/>
      <c r="K15" s="770"/>
      <c r="L15" s="770"/>
      <c r="M15" s="770"/>
      <c r="N15" s="755"/>
      <c r="O15" s="755"/>
      <c r="P15" s="755"/>
      <c r="Q15" s="755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</row>
    <row r="16" spans="1:28" x14ac:dyDescent="0.2">
      <c r="A16" s="757"/>
      <c r="B16" s="799" t="s">
        <v>379</v>
      </c>
      <c r="C16" s="800" t="s">
        <v>380</v>
      </c>
      <c r="D16" s="800" t="s">
        <v>381</v>
      </c>
      <c r="E16" s="770"/>
      <c r="F16" s="770"/>
      <c r="G16" s="770"/>
      <c r="H16" s="770"/>
      <c r="I16" s="770"/>
      <c r="J16" s="770"/>
      <c r="K16" s="770"/>
      <c r="L16" s="770"/>
      <c r="M16" s="770"/>
      <c r="O16" s="771"/>
      <c r="P16" s="770"/>
      <c r="Q16" s="757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</row>
    <row r="17" spans="1:28" x14ac:dyDescent="0.2">
      <c r="A17" s="757"/>
      <c r="B17" s="799" t="s">
        <v>382</v>
      </c>
      <c r="C17" s="800" t="s">
        <v>383</v>
      </c>
      <c r="D17" s="800" t="s">
        <v>384</v>
      </c>
      <c r="E17" s="770"/>
      <c r="F17" s="770"/>
      <c r="G17" s="770"/>
      <c r="H17" s="770"/>
      <c r="I17" s="770"/>
      <c r="J17" s="770"/>
      <c r="K17" s="770"/>
      <c r="L17" s="770"/>
      <c r="M17" s="770"/>
      <c r="O17" s="770"/>
      <c r="P17" s="770"/>
      <c r="Q17" s="757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</row>
    <row r="18" spans="1:28" x14ac:dyDescent="0.2">
      <c r="A18" s="212"/>
      <c r="B18" s="799" t="s">
        <v>385</v>
      </c>
      <c r="C18" s="800" t="s">
        <v>386</v>
      </c>
      <c r="D18" s="800" t="s">
        <v>387</v>
      </c>
      <c r="E18" s="770"/>
      <c r="F18" s="770"/>
      <c r="G18" s="770"/>
      <c r="H18" s="770"/>
      <c r="I18" s="770"/>
      <c r="J18" s="770"/>
      <c r="K18" s="770"/>
      <c r="L18" s="770"/>
      <c r="M18" s="770"/>
      <c r="O18" s="770"/>
      <c r="P18" s="770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</row>
    <row r="19" spans="1:28" hidden="1" x14ac:dyDescent="0.2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O19" s="212"/>
      <c r="P19" s="770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</row>
    <row r="20" spans="1:28" hidden="1" x14ac:dyDescent="0.2">
      <c r="A20" s="770"/>
      <c r="B20" s="770"/>
      <c r="C20" s="770"/>
      <c r="D20" s="770"/>
      <c r="E20" s="770"/>
      <c r="F20" s="770"/>
      <c r="G20" s="770"/>
      <c r="H20" s="212"/>
      <c r="I20" s="212"/>
      <c r="J20" s="212"/>
      <c r="K20" s="770"/>
      <c r="L20" s="770"/>
      <c r="M20" s="770"/>
      <c r="N20" s="770"/>
      <c r="O20" s="770"/>
      <c r="P20" s="770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</row>
    <row r="21" spans="1:28" hidden="1" x14ac:dyDescent="0.2">
      <c r="A21" s="770"/>
      <c r="B21" s="770"/>
      <c r="C21" s="770"/>
      <c r="D21" s="770"/>
      <c r="E21" s="770"/>
      <c r="F21" s="770"/>
      <c r="G21" s="770"/>
      <c r="H21" s="212"/>
      <c r="I21" s="212"/>
      <c r="J21" s="212"/>
      <c r="K21" s="770"/>
      <c r="L21" s="770"/>
      <c r="M21" s="770"/>
      <c r="O21" s="770"/>
      <c r="P21" s="770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</row>
    <row r="22" spans="1:28" hidden="1" x14ac:dyDescent="0.2">
      <c r="A22" s="770"/>
      <c r="B22" s="770"/>
      <c r="C22" s="770"/>
      <c r="D22" s="770"/>
      <c r="E22" s="770"/>
      <c r="F22" s="770"/>
      <c r="G22" s="770"/>
      <c r="H22" s="212"/>
      <c r="I22" s="212"/>
      <c r="J22" s="212"/>
      <c r="K22" s="770"/>
      <c r="L22" s="770"/>
      <c r="M22" s="770"/>
      <c r="N22" s="770"/>
      <c r="O22" s="770"/>
      <c r="P22" s="770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</row>
    <row r="23" spans="1:28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770"/>
      <c r="L23" s="770"/>
      <c r="M23" s="770"/>
      <c r="N23" s="771"/>
      <c r="O23" s="770"/>
      <c r="P23" s="770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</row>
    <row r="24" spans="1:28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770"/>
      <c r="L24" s="770"/>
      <c r="M24" s="770"/>
      <c r="O24" s="770"/>
      <c r="P24" s="770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</row>
    <row r="25" spans="1:28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770"/>
      <c r="L25" s="770"/>
      <c r="M25" s="770"/>
      <c r="N25" s="770"/>
      <c r="O25" s="770"/>
      <c r="P25" s="770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</row>
    <row r="26" spans="1:28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770"/>
      <c r="L26" s="770"/>
      <c r="M26" s="770"/>
      <c r="N26" s="801"/>
      <c r="O26" s="770"/>
      <c r="P26" s="770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</row>
    <row r="27" spans="1:28" hidden="1" x14ac:dyDescent="0.2">
      <c r="A27" s="770"/>
      <c r="B27" s="770"/>
      <c r="C27" s="770"/>
      <c r="D27" s="770"/>
      <c r="E27" s="770"/>
      <c r="F27" s="770"/>
      <c r="G27" s="770"/>
      <c r="H27" s="212"/>
      <c r="I27" s="212"/>
      <c r="J27" s="212"/>
      <c r="K27" s="770"/>
      <c r="L27" s="770"/>
      <c r="M27" s="770"/>
      <c r="O27" s="770"/>
      <c r="P27" s="770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</row>
    <row r="28" spans="1:28" hidden="1" x14ac:dyDescent="0.2">
      <c r="A28" s="770"/>
      <c r="B28" s="770"/>
      <c r="C28" s="770"/>
      <c r="D28" s="770"/>
      <c r="E28" s="770"/>
      <c r="F28" s="770"/>
      <c r="G28" s="770"/>
      <c r="H28" s="802"/>
      <c r="I28" s="802"/>
      <c r="J28" s="802"/>
      <c r="K28" s="770"/>
      <c r="L28" s="770"/>
      <c r="M28" s="770"/>
      <c r="O28" s="771"/>
      <c r="P28" s="770"/>
      <c r="Q28" s="80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</row>
    <row r="29" spans="1:28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770"/>
      <c r="L29" s="770"/>
      <c r="M29" s="770"/>
      <c r="O29" s="771"/>
      <c r="P29" s="770"/>
      <c r="Q29" s="80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</row>
    <row r="30" spans="1:28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770"/>
      <c r="L30" s="770"/>
      <c r="M30" s="770"/>
      <c r="N30" s="801"/>
      <c r="O30" s="212"/>
      <c r="P30" s="770"/>
      <c r="Q30" s="80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</row>
    <row r="31" spans="1:28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770"/>
      <c r="L31" s="770"/>
      <c r="M31" s="770"/>
      <c r="O31" s="212"/>
      <c r="P31" s="770"/>
      <c r="Q31" s="80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</row>
    <row r="32" spans="1:28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770"/>
      <c r="L32" s="770"/>
      <c r="M32" s="770"/>
      <c r="N32" s="770"/>
      <c r="O32" s="212"/>
      <c r="P32" s="770"/>
      <c r="Q32" s="80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</row>
    <row r="33" spans="1:28" hidden="1" x14ac:dyDescent="0.2">
      <c r="A33" s="770"/>
      <c r="B33" s="770"/>
      <c r="C33" s="770"/>
      <c r="D33" s="770"/>
      <c r="E33" s="770"/>
      <c r="F33" s="770"/>
      <c r="G33" s="770"/>
      <c r="H33" s="802"/>
      <c r="I33" s="802"/>
      <c r="J33" s="802"/>
      <c r="K33" s="770"/>
      <c r="L33" s="770"/>
      <c r="M33" s="770"/>
      <c r="N33" s="770"/>
      <c r="O33" s="770"/>
      <c r="P33" s="770"/>
      <c r="Q33" s="80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</row>
    <row r="34" spans="1:28" hidden="1" x14ac:dyDescent="0.2">
      <c r="A34" s="770"/>
      <c r="B34" s="770"/>
      <c r="C34" s="770"/>
      <c r="D34" s="770"/>
      <c r="E34" s="770"/>
      <c r="F34" s="770"/>
      <c r="G34" s="770"/>
      <c r="H34" s="770"/>
      <c r="I34" s="802"/>
      <c r="J34" s="802"/>
      <c r="K34" s="770"/>
      <c r="L34" s="770"/>
      <c r="M34" s="770"/>
      <c r="N34" s="212"/>
      <c r="O34" s="770"/>
      <c r="P34" s="770"/>
      <c r="Q34" s="80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</row>
    <row r="35" spans="1:28" hidden="1" x14ac:dyDescent="0.2">
      <c r="A35" s="770"/>
      <c r="B35" s="770"/>
      <c r="C35" s="770"/>
      <c r="D35" s="770"/>
      <c r="E35" s="770"/>
      <c r="F35" s="770"/>
      <c r="G35" s="770"/>
      <c r="H35" s="770"/>
      <c r="I35" s="802"/>
      <c r="J35" s="802"/>
      <c r="K35" s="770"/>
      <c r="L35" s="770"/>
      <c r="M35" s="770"/>
      <c r="N35" s="803"/>
      <c r="O35" s="212"/>
      <c r="P35" s="770"/>
      <c r="Q35" s="80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</row>
    <row r="36" spans="1:28" hidden="1" x14ac:dyDescent="0.2">
      <c r="A36" s="770"/>
      <c r="B36" s="770"/>
      <c r="C36" s="770"/>
      <c r="D36" s="770"/>
      <c r="E36" s="770"/>
      <c r="F36" s="770"/>
      <c r="G36" s="770"/>
      <c r="H36" s="770"/>
      <c r="I36" s="802"/>
      <c r="J36" s="802"/>
      <c r="K36" s="770"/>
      <c r="L36" s="770"/>
      <c r="M36" s="770"/>
      <c r="N36" s="212"/>
      <c r="O36" s="212"/>
      <c r="P36" s="770"/>
      <c r="Q36" s="80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</row>
    <row r="37" spans="1:28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  <c r="N37" s="212"/>
      <c r="O37" s="212"/>
      <c r="P37" s="770"/>
      <c r="Q37" s="80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</row>
    <row r="38" spans="1:28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O38" s="212"/>
      <c r="P38" s="770"/>
      <c r="Q38" s="80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</row>
    <row r="39" spans="1:28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212"/>
      <c r="O39" s="212"/>
      <c r="P39" s="770"/>
      <c r="Q39" s="80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</row>
    <row r="40" spans="1:28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801"/>
      <c r="O40" s="212"/>
      <c r="P40" s="770"/>
      <c r="Q40" s="80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</row>
    <row r="41" spans="1:28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N41" s="771"/>
      <c r="O41" s="770"/>
      <c r="P41" s="770"/>
      <c r="Q41" s="80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</row>
    <row r="42" spans="1:28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O42" s="770"/>
      <c r="P42" s="770"/>
      <c r="Q42" s="80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</row>
    <row r="43" spans="1:28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O43" s="770"/>
      <c r="P43" s="770"/>
      <c r="Q43" s="80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</row>
    <row r="44" spans="1:28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O44" s="770"/>
      <c r="P44" s="770"/>
      <c r="Q44" s="80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</row>
    <row r="45" spans="1:28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80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</row>
    <row r="46" spans="1:28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  <c r="P46" s="770"/>
      <c r="Q46" s="80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</row>
    <row r="47" spans="1:28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O47" s="212"/>
      <c r="P47" s="770"/>
      <c r="Q47" s="80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</row>
    <row r="48" spans="1:28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0"/>
      <c r="O48" s="770"/>
      <c r="P48" s="770"/>
      <c r="Q48" s="80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</row>
    <row r="49" spans="1:28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O49" s="770"/>
      <c r="P49" s="770"/>
      <c r="Q49" s="80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</row>
    <row r="50" spans="1:28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770"/>
      <c r="P50" s="770"/>
      <c r="Q50" s="80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</row>
    <row r="51" spans="1:28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1"/>
      <c r="O51" s="770"/>
      <c r="P51" s="770"/>
      <c r="Q51" s="80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</row>
    <row r="52" spans="1:28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O52" s="770"/>
      <c r="P52" s="770"/>
      <c r="Q52" s="80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</row>
    <row r="53" spans="1:28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P53" s="770"/>
      <c r="Q53" s="80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</row>
    <row r="54" spans="1:28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801"/>
      <c r="O54" s="770"/>
      <c r="P54" s="770"/>
      <c r="Q54" s="80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</row>
    <row r="55" spans="1:28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O55" s="770"/>
      <c r="P55" s="770"/>
      <c r="Q55" s="80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</row>
    <row r="56" spans="1:28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O56" s="771"/>
      <c r="P56" s="770"/>
      <c r="Q56" s="80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2"/>
    </row>
    <row r="57" spans="1:28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O57" s="771"/>
      <c r="P57" s="770"/>
      <c r="Q57" s="80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</row>
    <row r="58" spans="1:28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801"/>
      <c r="O58" s="212"/>
      <c r="P58" s="770"/>
      <c r="Q58" s="80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</row>
    <row r="59" spans="1:28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O59" s="212"/>
      <c r="P59" s="770"/>
      <c r="Q59" s="80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</row>
    <row r="60" spans="1:28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0"/>
      <c r="O60" s="212"/>
      <c r="P60" s="770"/>
      <c r="Q60" s="80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</row>
    <row r="61" spans="1:28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55"/>
      <c r="O61" s="755"/>
      <c r="P61" s="755"/>
      <c r="Q61" s="80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</row>
    <row r="62" spans="1:28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55"/>
      <c r="O62" s="755"/>
      <c r="P62" s="755"/>
      <c r="Q62" s="802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8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55"/>
      <c r="O63" s="755"/>
      <c r="P63" s="755"/>
      <c r="Q63" s="802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8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55"/>
      <c r="O64" s="755"/>
      <c r="P64" s="755"/>
      <c r="Q64" s="802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55"/>
      <c r="O65" s="755"/>
      <c r="P65" s="755"/>
      <c r="Q65" s="802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55"/>
      <c r="O66" s="755"/>
      <c r="P66" s="755"/>
      <c r="Q66" s="802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55"/>
      <c r="O67" s="755"/>
      <c r="P67" s="755"/>
      <c r="Q67" s="212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hidden="1" x14ac:dyDescent="0.2">
      <c r="A68" s="770"/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55"/>
      <c r="O68" s="755"/>
      <c r="P68" s="755"/>
      <c r="Q68" s="212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212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212"/>
      <c r="C70" s="212"/>
      <c r="D70" s="212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212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212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212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212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212"/>
      <c r="C74" s="212"/>
      <c r="D74" s="212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212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212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212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802"/>
      <c r="C95" s="802"/>
      <c r="D95" s="802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55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60"/>
      <c r="C96" s="760"/>
      <c r="D96" s="760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55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60"/>
      <c r="C97" s="760"/>
      <c r="D97" s="760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55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55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55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388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55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55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ht="13.5" thickBot="1" x14ac:dyDescent="0.25">
      <c r="A102" s="755"/>
      <c r="B102" s="755"/>
      <c r="C102" s="755"/>
      <c r="D102" s="755"/>
      <c r="E102" s="755"/>
      <c r="F102" s="755"/>
      <c r="G102" s="755"/>
      <c r="H102" s="809" t="str">
        <f>IFERROR(INDEX(B$1:B$100,MATCH(1,J$1:J$100,0)),"")</f>
        <v>Henri Mitt, Tõnu Piik</v>
      </c>
      <c r="I102" s="755"/>
      <c r="J102" s="755"/>
      <c r="K102" s="755"/>
      <c r="L102" s="755"/>
      <c r="M102" s="755"/>
      <c r="N102" s="755"/>
      <c r="O102" s="755"/>
      <c r="P102" s="760"/>
      <c r="Q102" s="755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755"/>
      <c r="B103" s="755"/>
      <c r="C103" s="755"/>
      <c r="D103" s="755"/>
      <c r="E103" s="755"/>
      <c r="F103" s="755"/>
      <c r="G103" s="755"/>
      <c r="H103" s="810" t="s">
        <v>389</v>
      </c>
      <c r="I103" s="811"/>
      <c r="J103" s="755"/>
      <c r="K103" s="755"/>
      <c r="L103" s="755"/>
      <c r="M103" s="755"/>
      <c r="N103" s="755"/>
      <c r="O103" s="755"/>
      <c r="P103" s="760"/>
      <c r="Q103" s="755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55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ht="13.5" thickBot="1" x14ac:dyDescent="0.25">
      <c r="A105" s="755"/>
      <c r="B105" s="755"/>
      <c r="C105" s="755"/>
      <c r="D105" s="755"/>
      <c r="E105" s="755"/>
      <c r="F105" s="755"/>
      <c r="G105" s="760"/>
      <c r="H105" s="809" t="str">
        <f>IFERROR(INDEX(B$1:B$100,MATCH(2,J$1:J$100,0)),"")</f>
        <v>Oleg Rõndenkov, Toomas Tedrekull</v>
      </c>
      <c r="I105" s="938"/>
      <c r="J105" s="755"/>
      <c r="K105" s="755"/>
      <c r="L105" s="755"/>
      <c r="M105" s="755"/>
      <c r="N105" s="755"/>
      <c r="O105" s="755"/>
      <c r="P105" s="760"/>
      <c r="Q105" s="755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755"/>
      <c r="B106" s="755"/>
      <c r="C106" s="755"/>
      <c r="D106" s="755"/>
      <c r="E106" s="755"/>
      <c r="F106" s="755"/>
      <c r="G106" s="760"/>
      <c r="H106" s="810" t="s">
        <v>390</v>
      </c>
      <c r="I106" s="807"/>
      <c r="J106" s="755"/>
      <c r="K106" s="755"/>
      <c r="L106" s="755"/>
      <c r="M106" s="755"/>
      <c r="N106" s="755"/>
      <c r="O106" s="755"/>
      <c r="P106" s="760"/>
      <c r="Q106" s="755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755"/>
      <c r="B107" s="755"/>
      <c r="C107" s="755"/>
      <c r="D107" s="755"/>
      <c r="E107" s="755"/>
      <c r="F107" s="755"/>
      <c r="G107" s="760"/>
      <c r="H107" s="755"/>
      <c r="I107" s="755"/>
      <c r="J107" s="755"/>
      <c r="K107" s="755"/>
      <c r="L107" s="755"/>
      <c r="M107" s="755"/>
      <c r="N107" s="755"/>
      <c r="O107" s="755"/>
      <c r="P107" s="760"/>
      <c r="Q107" s="755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ht="13.5" thickBot="1" x14ac:dyDescent="0.25">
      <c r="A108" s="755"/>
      <c r="B108" s="755"/>
      <c r="C108" s="755"/>
      <c r="D108" s="755"/>
      <c r="E108" s="755"/>
      <c r="F108" s="755"/>
      <c r="G108" s="760"/>
      <c r="H108" s="809" t="str">
        <f>IFERROR(INDEX(B$1:B$100,MATCH(3,J$1:J$100,0)),"")</f>
        <v>Kenneth Muusikus, Urmas Randlaine</v>
      </c>
      <c r="I108" s="807"/>
      <c r="J108" s="755"/>
      <c r="K108" s="755"/>
      <c r="L108" s="755"/>
      <c r="M108" s="755"/>
      <c r="N108" s="755"/>
      <c r="O108" s="755"/>
      <c r="P108" s="760"/>
      <c r="Q108" s="755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x14ac:dyDescent="0.2">
      <c r="A109" s="755"/>
      <c r="B109" s="755"/>
      <c r="C109" s="755"/>
      <c r="D109" s="755"/>
      <c r="E109" s="755"/>
      <c r="F109" s="755"/>
      <c r="G109" s="760"/>
      <c r="H109" s="810" t="s">
        <v>391</v>
      </c>
      <c r="I109" s="811"/>
      <c r="J109" s="755"/>
      <c r="K109" s="755"/>
      <c r="L109" s="755"/>
      <c r="M109" s="755"/>
      <c r="N109" s="755"/>
      <c r="O109" s="755"/>
      <c r="P109" s="760"/>
      <c r="Q109" s="755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755"/>
      <c r="B110" s="755"/>
      <c r="C110" s="755"/>
      <c r="D110" s="755"/>
      <c r="E110" s="755"/>
      <c r="F110" s="755"/>
      <c r="G110" s="760"/>
      <c r="H110" s="807"/>
      <c r="I110" s="807"/>
      <c r="J110" s="755"/>
      <c r="K110" s="755"/>
      <c r="L110" s="755"/>
      <c r="M110" s="755"/>
      <c r="N110" s="755"/>
      <c r="O110" s="755"/>
      <c r="P110" s="760"/>
      <c r="Q110" s="755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ht="13.5" thickBot="1" x14ac:dyDescent="0.25">
      <c r="A111" s="755"/>
      <c r="B111" s="755"/>
      <c r="C111" s="755"/>
      <c r="D111" s="755"/>
      <c r="E111" s="755"/>
      <c r="F111" s="755"/>
      <c r="G111" s="760"/>
      <c r="H111" s="939" t="str">
        <f>IFERROR(INDEX(B$1:B$100,MATCH(4,J$1:J$100,0)),"")</f>
        <v>Andrei Grintšak, Fredi Müür</v>
      </c>
      <c r="I111" s="938"/>
      <c r="J111" s="755"/>
      <c r="K111" s="755"/>
      <c r="L111" s="755"/>
      <c r="M111" s="755"/>
      <c r="N111" s="755"/>
      <c r="O111" s="755"/>
      <c r="P111" s="760"/>
      <c r="Q111" s="755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755"/>
      <c r="B112" s="755"/>
      <c r="C112" s="755"/>
      <c r="D112" s="755"/>
      <c r="E112" s="755"/>
      <c r="F112" s="755"/>
      <c r="G112" s="760"/>
      <c r="H112" s="754" t="s">
        <v>392</v>
      </c>
      <c r="I112" s="755"/>
      <c r="J112" s="755"/>
      <c r="K112" s="755"/>
      <c r="L112" s="755"/>
      <c r="M112" s="755"/>
      <c r="N112" s="755"/>
      <c r="O112" s="755"/>
      <c r="P112" s="760"/>
      <c r="Q112" s="755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755"/>
      <c r="B113" s="755"/>
      <c r="C113" s="755"/>
      <c r="D113" s="755"/>
      <c r="E113" s="755"/>
      <c r="F113" s="755"/>
      <c r="G113" s="760"/>
      <c r="H113" s="760"/>
      <c r="I113" s="760"/>
      <c r="J113" s="755"/>
      <c r="K113" s="755"/>
      <c r="L113" s="755"/>
      <c r="M113" s="755"/>
      <c r="N113" s="755"/>
      <c r="O113" s="755"/>
      <c r="P113" s="760"/>
      <c r="Q113" s="755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755"/>
      <c r="B114" s="755"/>
      <c r="C114" s="755"/>
      <c r="D114" s="755"/>
      <c r="E114" s="755"/>
      <c r="F114" s="755"/>
      <c r="G114" s="760"/>
      <c r="H114" s="939" t="str">
        <f>IFERROR(INDEX(B$1:B$100,MATCH(5,J$1:J$100,0)),"")</f>
        <v>Illar Tõnurist, Jaan Saar</v>
      </c>
      <c r="I114" s="938"/>
      <c r="J114" s="755"/>
      <c r="K114" s="755"/>
      <c r="L114" s="755"/>
      <c r="M114" s="755"/>
      <c r="N114" s="755"/>
      <c r="O114" s="755"/>
      <c r="P114" s="760"/>
      <c r="Q114" s="755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755"/>
      <c r="B115" s="755"/>
      <c r="C115" s="755"/>
      <c r="D115" s="755"/>
      <c r="E115" s="755"/>
      <c r="F115" s="755"/>
      <c r="G115" s="760"/>
      <c r="H115" s="754" t="s">
        <v>393</v>
      </c>
      <c r="I115" s="755"/>
      <c r="J115" s="755"/>
      <c r="K115" s="755"/>
      <c r="L115" s="755"/>
      <c r="M115" s="755"/>
      <c r="N115" s="755"/>
      <c r="O115" s="755"/>
      <c r="P115" s="760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  <c r="AA115" s="755"/>
    </row>
    <row r="116" spans="1:27" x14ac:dyDescent="0.2">
      <c r="A116" s="755"/>
      <c r="B116" s="755"/>
      <c r="C116" s="755"/>
      <c r="D116" s="755"/>
      <c r="E116" s="755"/>
      <c r="F116" s="755"/>
      <c r="G116" s="760"/>
      <c r="H116" s="770"/>
      <c r="I116" s="770"/>
      <c r="J116" s="755"/>
      <c r="K116" s="755"/>
      <c r="L116" s="755"/>
      <c r="M116" s="755"/>
      <c r="N116" s="755"/>
      <c r="O116" s="755"/>
      <c r="P116" s="760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  <c r="AA116" s="755"/>
    </row>
    <row r="117" spans="1:27" ht="13.5" thickBot="1" x14ac:dyDescent="0.25">
      <c r="A117" s="755"/>
      <c r="B117" s="755"/>
      <c r="C117" s="755"/>
      <c r="D117" s="755"/>
      <c r="E117" s="755"/>
      <c r="F117" s="755"/>
      <c r="G117" s="760"/>
      <c r="H117" s="939" t="str">
        <f>IFERROR(INDEX(B$1:B$100,MATCH(6,J$1:J$100,0)),"")</f>
        <v>Enn Tokman, Tarmo Bombe</v>
      </c>
      <c r="I117" s="938"/>
      <c r="J117" s="755"/>
      <c r="K117" s="755"/>
      <c r="L117" s="755"/>
      <c r="M117" s="755"/>
      <c r="N117" s="755"/>
      <c r="O117" s="755"/>
      <c r="P117" s="760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  <c r="AA117" s="755"/>
    </row>
    <row r="118" spans="1:27" x14ac:dyDescent="0.2">
      <c r="A118" s="755"/>
      <c r="B118" s="755"/>
      <c r="C118" s="755"/>
      <c r="D118" s="755"/>
      <c r="E118" s="755"/>
      <c r="F118" s="755"/>
      <c r="G118" s="760"/>
      <c r="H118" s="754" t="s">
        <v>394</v>
      </c>
      <c r="I118" s="755"/>
      <c r="J118" s="755"/>
      <c r="K118" s="755"/>
      <c r="L118" s="755"/>
      <c r="M118" s="755"/>
      <c r="N118" s="755"/>
      <c r="O118" s="755"/>
      <c r="P118" s="760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</row>
    <row r="119" spans="1:27" hidden="1" x14ac:dyDescent="0.2">
      <c r="A119" s="755"/>
      <c r="B119" s="755"/>
      <c r="C119" s="755"/>
      <c r="D119" s="755"/>
      <c r="E119" s="755"/>
      <c r="F119" s="755"/>
      <c r="G119" s="760"/>
      <c r="H119" s="755"/>
      <c r="I119" s="755"/>
      <c r="J119" s="755"/>
      <c r="K119" s="755"/>
      <c r="L119" s="755"/>
      <c r="M119" s="755"/>
      <c r="N119" s="755"/>
      <c r="O119" s="755"/>
      <c r="P119" s="760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  <c r="AA119" s="755"/>
    </row>
    <row r="120" spans="1:27" hidden="1" x14ac:dyDescent="0.2">
      <c r="A120" s="755"/>
      <c r="B120" s="755"/>
      <c r="C120" s="755"/>
      <c r="D120" s="755"/>
      <c r="E120" s="755"/>
      <c r="F120" s="755"/>
      <c r="G120" s="760"/>
      <c r="H120" s="760"/>
      <c r="I120" s="760"/>
      <c r="J120" s="755"/>
      <c r="K120" s="755"/>
      <c r="L120" s="755"/>
      <c r="M120" s="755"/>
      <c r="N120" s="755"/>
      <c r="O120" s="755"/>
      <c r="P120" s="760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  <c r="AA120" s="755"/>
    </row>
    <row r="121" spans="1:27" hidden="1" x14ac:dyDescent="0.2">
      <c r="A121" s="755"/>
      <c r="B121" s="755"/>
      <c r="C121" s="755"/>
      <c r="D121" s="755"/>
      <c r="E121" s="755"/>
      <c r="F121" s="755"/>
      <c r="G121" s="760"/>
      <c r="H121" s="760"/>
      <c r="I121" s="760"/>
      <c r="J121" s="755"/>
      <c r="K121" s="755"/>
      <c r="L121" s="755"/>
      <c r="M121" s="755"/>
      <c r="N121" s="755"/>
      <c r="O121" s="755"/>
      <c r="P121" s="760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  <c r="AA121" s="755"/>
    </row>
    <row r="122" spans="1:27" hidden="1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55"/>
      <c r="K122" s="755"/>
      <c r="L122" s="755"/>
      <c r="M122" s="755"/>
      <c r="N122" s="755"/>
      <c r="O122" s="755"/>
      <c r="P122" s="760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  <c r="AA122" s="755"/>
    </row>
    <row r="123" spans="1:27" hidden="1" x14ac:dyDescent="0.2">
      <c r="A123" s="755"/>
      <c r="B123" s="755"/>
      <c r="C123" s="755"/>
      <c r="D123" s="755"/>
      <c r="E123" s="755"/>
      <c r="F123" s="755"/>
      <c r="G123" s="760"/>
      <c r="H123" s="755"/>
      <c r="I123" s="755"/>
      <c r="J123" s="755"/>
      <c r="K123" s="755"/>
      <c r="L123" s="755"/>
      <c r="M123" s="755"/>
      <c r="N123" s="755"/>
      <c r="O123" s="755"/>
      <c r="P123" s="760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  <c r="AA123" s="755"/>
    </row>
    <row r="124" spans="1:27" hidden="1" x14ac:dyDescent="0.2">
      <c r="A124" s="755"/>
      <c r="B124" s="755"/>
      <c r="C124" s="755"/>
      <c r="D124" s="755"/>
      <c r="E124" s="755"/>
      <c r="F124" s="755"/>
      <c r="G124" s="760"/>
      <c r="H124" s="755"/>
      <c r="I124" s="755"/>
      <c r="J124" s="755"/>
      <c r="K124" s="755"/>
      <c r="L124" s="755"/>
      <c r="M124" s="755"/>
      <c r="N124" s="755"/>
      <c r="O124" s="755"/>
      <c r="P124" s="760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  <c r="AA124" s="755"/>
    </row>
    <row r="125" spans="1:27" hidden="1" x14ac:dyDescent="0.2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60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  <c r="AA125" s="755"/>
    </row>
    <row r="126" spans="1:27" hidden="1" x14ac:dyDescent="0.2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60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  <c r="AA126" s="755"/>
    </row>
    <row r="127" spans="1:27" hidden="1" x14ac:dyDescent="0.2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60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  <c r="AA127" s="755"/>
    </row>
    <row r="128" spans="1:27" hidden="1" x14ac:dyDescent="0.2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60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  <c r="AA128" s="755"/>
    </row>
    <row r="129" spans="1:27" hidden="1" x14ac:dyDescent="0.2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60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  <c r="AA129" s="755"/>
    </row>
    <row r="130" spans="1:27" hidden="1" x14ac:dyDescent="0.2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60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  <c r="AA130" s="755"/>
    </row>
    <row r="131" spans="1:27" hidden="1" x14ac:dyDescent="0.2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60"/>
      <c r="L131" s="760"/>
      <c r="M131" s="760"/>
      <c r="N131" s="760"/>
      <c r="O131" s="760"/>
      <c r="P131" s="760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  <c r="AA131" s="755"/>
    </row>
    <row r="132" spans="1:27" hidden="1" x14ac:dyDescent="0.2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60"/>
      <c r="L132" s="760"/>
      <c r="M132" s="760"/>
      <c r="N132" s="760"/>
      <c r="O132" s="760"/>
      <c r="P132" s="760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  <c r="AA132" s="755"/>
    </row>
    <row r="133" spans="1:27" hidden="1" x14ac:dyDescent="0.2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60"/>
      <c r="L133" s="760"/>
      <c r="M133" s="760"/>
      <c r="N133" s="760"/>
      <c r="O133" s="760"/>
      <c r="P133" s="760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  <c r="AA133" s="755"/>
    </row>
    <row r="134" spans="1:27" hidden="1" x14ac:dyDescent="0.2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60"/>
      <c r="L134" s="760"/>
      <c r="M134" s="760"/>
      <c r="N134" s="760"/>
      <c r="O134" s="760"/>
      <c r="P134" s="760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  <c r="AA134" s="755"/>
    </row>
    <row r="135" spans="1:27" hidden="1" x14ac:dyDescent="0.2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60"/>
      <c r="L135" s="760"/>
      <c r="M135" s="760"/>
      <c r="N135" s="760"/>
      <c r="O135" s="760"/>
      <c r="P135" s="760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  <c r="AA135" s="755"/>
    </row>
    <row r="136" spans="1:27" hidden="1" x14ac:dyDescent="0.2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60"/>
      <c r="L136" s="760"/>
      <c r="M136" s="760"/>
      <c r="N136" s="760"/>
      <c r="O136" s="760"/>
      <c r="P136" s="760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  <c r="AA136" s="755"/>
    </row>
    <row r="137" spans="1:27" hidden="1" x14ac:dyDescent="0.2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60"/>
      <c r="L137" s="760"/>
      <c r="M137" s="760"/>
      <c r="N137" s="760"/>
      <c r="O137" s="760"/>
      <c r="P137" s="760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  <c r="AA137" s="755"/>
    </row>
    <row r="138" spans="1:27" hidden="1" x14ac:dyDescent="0.2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60"/>
      <c r="L138" s="760"/>
      <c r="M138" s="760"/>
      <c r="N138" s="760"/>
      <c r="O138" s="760"/>
      <c r="P138" s="760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  <c r="AA138" s="755"/>
    </row>
    <row r="139" spans="1:27" hidden="1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60"/>
      <c r="L139" s="760"/>
      <c r="M139" s="760"/>
      <c r="N139" s="760"/>
      <c r="O139" s="760"/>
      <c r="P139" s="760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  <c r="AA139" s="755"/>
    </row>
    <row r="140" spans="1:27" hidden="1" x14ac:dyDescent="0.2">
      <c r="A140" s="760"/>
      <c r="B140" s="760"/>
      <c r="C140" s="760"/>
      <c r="D140" s="760"/>
      <c r="E140" s="760"/>
      <c r="F140" s="760"/>
      <c r="G140" s="755"/>
      <c r="H140" s="755"/>
      <c r="I140" s="755"/>
      <c r="J140" s="755"/>
      <c r="K140" s="760"/>
      <c r="L140" s="760"/>
      <c r="M140" s="760"/>
      <c r="N140" s="760"/>
      <c r="O140" s="760"/>
      <c r="P140" s="760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  <c r="AA140" s="755"/>
    </row>
    <row r="141" spans="1:27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  <c r="AA141" s="755"/>
    </row>
    <row r="142" spans="1:27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  <c r="AA142" s="755"/>
    </row>
    <row r="143" spans="1:27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  <c r="AA143" s="755"/>
    </row>
    <row r="144" spans="1:27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  <c r="AA144" s="755"/>
    </row>
    <row r="145" spans="1:27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  <c r="AA145" s="755"/>
    </row>
    <row r="146" spans="1:27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  <c r="AA146" s="755"/>
    </row>
    <row r="147" spans="1:27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  <c r="AA147" s="755"/>
    </row>
    <row r="148" spans="1:27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  <c r="AA148" s="755"/>
    </row>
    <row r="149" spans="1:27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  <c r="AA149" s="755"/>
    </row>
    <row r="150" spans="1:27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  <c r="AA150" s="755"/>
    </row>
    <row r="151" spans="1:27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  <c r="AA151" s="755"/>
    </row>
    <row r="152" spans="1:27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  <c r="AA152" s="755"/>
    </row>
    <row r="153" spans="1:27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  <c r="AA153" s="755"/>
    </row>
    <row r="154" spans="1:27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  <c r="AA154" s="755"/>
    </row>
    <row r="155" spans="1:27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  <c r="AA155" s="755"/>
    </row>
    <row r="156" spans="1:27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  <c r="AA156" s="755"/>
    </row>
    <row r="157" spans="1:27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  <c r="AA157" s="755"/>
    </row>
    <row r="158" spans="1:27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  <c r="AA158" s="755"/>
    </row>
    <row r="159" spans="1:27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  <c r="AA159" s="755"/>
    </row>
    <row r="160" spans="1:27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  <c r="AA160" s="755"/>
    </row>
    <row r="161" spans="1:27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  <c r="AA161" s="755"/>
    </row>
    <row r="162" spans="1:27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  <c r="AA162" s="755"/>
    </row>
    <row r="163" spans="1:27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  <c r="AA163" s="755"/>
    </row>
    <row r="164" spans="1:27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  <c r="AA164" s="755"/>
    </row>
    <row r="165" spans="1:27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  <c r="AA165" s="755"/>
    </row>
    <row r="166" spans="1:27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  <c r="AA166" s="755"/>
    </row>
    <row r="167" spans="1:27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  <c r="AA167" s="755"/>
    </row>
    <row r="168" spans="1:27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  <c r="AA168" s="755"/>
    </row>
    <row r="169" spans="1:27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  <c r="AA169" s="755"/>
    </row>
    <row r="170" spans="1:27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  <c r="AA170" s="755"/>
    </row>
    <row r="171" spans="1:27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  <c r="AA171" s="755"/>
    </row>
    <row r="172" spans="1:27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  <c r="AA172" s="755"/>
    </row>
    <row r="173" spans="1:27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  <c r="AA173" s="755"/>
    </row>
    <row r="174" spans="1:27" hidden="1" x14ac:dyDescent="0.2">
      <c r="A174" s="213"/>
      <c r="B174" s="552"/>
      <c r="C174" s="755"/>
      <c r="D174" s="755"/>
      <c r="E174" s="807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  <c r="AA174" s="755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  <c r="AA175" s="755"/>
    </row>
    <row r="176" spans="1:27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760"/>
      <c r="B299" s="760"/>
      <c r="C299" s="814"/>
      <c r="D299" s="919"/>
      <c r="E299" s="755"/>
      <c r="F299" s="760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05" si="5">IFERROR(INDEX(H$100:H$300,MATCH(A300&amp;". koht",H$101:H$301,0)),"")</f>
        <v>Henri Mitt, Tõnu Piik</v>
      </c>
      <c r="C300" s="755"/>
      <c r="D300" s="832"/>
      <c r="E300" s="817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15">
        <v>2</v>
      </c>
      <c r="B301" s="816" t="str">
        <f t="shared" si="5"/>
        <v>Oleg Rõndenkov, Toomas Tedrekull</v>
      </c>
      <c r="C301" s="755"/>
      <c r="D301" s="832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15">
        <v>3</v>
      </c>
      <c r="B302" s="816" t="str">
        <f t="shared" si="5"/>
        <v>Kenneth Muusikus, Urmas Randlaine</v>
      </c>
      <c r="C302" s="755"/>
      <c r="D302" s="832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15">
        <v>4</v>
      </c>
      <c r="B303" s="816" t="str">
        <f t="shared" si="5"/>
        <v>Andrei Grintšak, Fredi Müür</v>
      </c>
      <c r="C303" s="755"/>
      <c r="D303" s="832"/>
      <c r="E303" s="817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15">
        <v>5</v>
      </c>
      <c r="B304" s="816" t="str">
        <f t="shared" si="5"/>
        <v>Illar Tõnurist, Jaan Saar</v>
      </c>
      <c r="C304" s="755"/>
      <c r="D304" s="832"/>
      <c r="E304" s="817"/>
      <c r="F304" s="760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15">
        <v>6</v>
      </c>
      <c r="B305" s="816" t="str">
        <f t="shared" si="5"/>
        <v>Enn Tokman, Tarmo Bombe</v>
      </c>
      <c r="C305" s="755"/>
      <c r="D305" s="832"/>
      <c r="E305" s="817"/>
      <c r="F305" s="760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755"/>
      <c r="B306" s="818"/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755"/>
      <c r="B307" s="755"/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755"/>
      <c r="B308" s="755"/>
      <c r="C308" s="755"/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</sheetData>
  <conditionalFormatting sqref="J10:J12">
    <cfRule type="expression" dxfId="2766" priority="41">
      <formula>FIND(2,J10,1)</formula>
    </cfRule>
    <cfRule type="expression" dxfId="2765" priority="42">
      <formula>FIND(1,J10,1)</formula>
    </cfRule>
  </conditionalFormatting>
  <conditionalFormatting sqref="D7 C8">
    <cfRule type="aboveAverage" dxfId="2764" priority="40"/>
  </conditionalFormatting>
  <conditionalFormatting sqref="E7 C9">
    <cfRule type="aboveAverage" dxfId="2763" priority="39"/>
  </conditionalFormatting>
  <conditionalFormatting sqref="F7 C10">
    <cfRule type="aboveAverage" dxfId="2762" priority="38"/>
  </conditionalFormatting>
  <conditionalFormatting sqref="E8 D9">
    <cfRule type="aboveAverage" dxfId="2761" priority="37"/>
  </conditionalFormatting>
  <conditionalFormatting sqref="G7 C11">
    <cfRule type="aboveAverage" dxfId="2760" priority="36"/>
  </conditionalFormatting>
  <conditionalFormatting sqref="F8 D10">
    <cfRule type="aboveAverage" dxfId="2759" priority="35"/>
  </conditionalFormatting>
  <conditionalFormatting sqref="G8 D11">
    <cfRule type="aboveAverage" dxfId="2758" priority="34"/>
  </conditionalFormatting>
  <conditionalFormatting sqref="F9 E10">
    <cfRule type="aboveAverage" dxfId="2757" priority="33"/>
  </conditionalFormatting>
  <conditionalFormatting sqref="G9 E11">
    <cfRule type="aboveAverage" dxfId="2756" priority="32"/>
  </conditionalFormatting>
  <conditionalFormatting sqref="F11 G10">
    <cfRule type="aboveAverage" dxfId="2755" priority="31"/>
  </conditionalFormatting>
  <conditionalFormatting sqref="I7:I12">
    <cfRule type="expression" dxfId="2754" priority="28">
      <formula>AND(#REF!=1,IF(COUNTIF(#REF!,"=1")&gt;=2,TRUE))</formula>
    </cfRule>
    <cfRule type="expression" dxfId="2753" priority="29">
      <formula>AND(#REF!=3,IF(COUNTIF(#REF!,"=3")&gt;=2,TRUE))</formula>
    </cfRule>
    <cfRule type="expression" dxfId="2752" priority="30">
      <formula>AND(#REF!=2,IF(COUNTIF(#REF!,"=2")&gt;=2,TRUE))</formula>
    </cfRule>
  </conditionalFormatting>
  <conditionalFormatting sqref="C17:C18 C69">
    <cfRule type="aboveAverage" dxfId="2751" priority="27"/>
  </conditionalFormatting>
  <conditionalFormatting sqref="D17:D18 D69">
    <cfRule type="aboveAverage" dxfId="2750" priority="26"/>
  </conditionalFormatting>
  <conditionalFormatting sqref="N21:N24">
    <cfRule type="duplicateValues" dxfId="2749" priority="25"/>
  </conditionalFormatting>
  <conditionalFormatting sqref="N26:N31">
    <cfRule type="duplicateValues" dxfId="2748" priority="24"/>
  </conditionalFormatting>
  <conditionalFormatting sqref="N19:N20">
    <cfRule type="duplicateValues" dxfId="2747" priority="43"/>
  </conditionalFormatting>
  <conditionalFormatting sqref="N5">
    <cfRule type="duplicateValues" dxfId="2746" priority="44"/>
  </conditionalFormatting>
  <conditionalFormatting sqref="N49:N52">
    <cfRule type="duplicateValues" dxfId="2745" priority="21"/>
  </conditionalFormatting>
  <conditionalFormatting sqref="N54:N59">
    <cfRule type="duplicateValues" dxfId="2744" priority="20"/>
  </conditionalFormatting>
  <conditionalFormatting sqref="N43:N45 N47:N48">
    <cfRule type="duplicateValues" dxfId="2743" priority="22"/>
  </conditionalFormatting>
  <conditionalFormatting sqref="N38 N40:N42">
    <cfRule type="duplicateValues" dxfId="2742" priority="23"/>
  </conditionalFormatting>
  <conditionalFormatting sqref="H7 C12">
    <cfRule type="aboveAverage" dxfId="2741" priority="19"/>
  </conditionalFormatting>
  <conditionalFormatting sqref="H8 D12">
    <cfRule type="aboveAverage" dxfId="2740" priority="18"/>
  </conditionalFormatting>
  <conditionalFormatting sqref="E12 H9">
    <cfRule type="aboveAverage" dxfId="2739" priority="17"/>
  </conditionalFormatting>
  <conditionalFormatting sqref="H10 F12">
    <cfRule type="aboveAverage" dxfId="2738" priority="16"/>
  </conditionalFormatting>
  <conditionalFormatting sqref="H11 G12">
    <cfRule type="aboveAverage" dxfId="2737" priority="15"/>
  </conditionalFormatting>
  <conditionalFormatting sqref="B301:B308">
    <cfRule type="expression" dxfId="2736" priority="12">
      <formula>A301=3</formula>
    </cfRule>
    <cfRule type="expression" dxfId="2735" priority="13">
      <formula>A301=2</formula>
    </cfRule>
    <cfRule type="expression" dxfId="2734" priority="14">
      <formula>A301=1</formula>
    </cfRule>
    <cfRule type="containsBlanks" dxfId="2733" priority="45">
      <formula>LEN(TRIM(B301))=0</formula>
    </cfRule>
    <cfRule type="duplicateValues" dxfId="2732" priority="46"/>
  </conditionalFormatting>
  <conditionalFormatting sqref="B300">
    <cfRule type="expression" dxfId="2731" priority="7">
      <formula>A300=3</formula>
    </cfRule>
    <cfRule type="expression" dxfId="2730" priority="8">
      <formula>A300=2</formula>
    </cfRule>
    <cfRule type="expression" dxfId="2729" priority="9">
      <formula>A300=1</formula>
    </cfRule>
    <cfRule type="containsBlanks" dxfId="2728" priority="10">
      <formula>LEN(TRIM(B300))=0</formula>
    </cfRule>
    <cfRule type="duplicateValues" dxfId="2727" priority="11"/>
  </conditionalFormatting>
  <conditionalFormatting sqref="T7:T12 X7:X12 Z7:Z12">
    <cfRule type="expression" dxfId="2726" priority="1">
      <formula>AND(S7="",COUNTIF(T7,"*,*")=0)</formula>
    </cfRule>
  </conditionalFormatting>
  <conditionalFormatting sqref="V7:V12">
    <cfRule type="expression" dxfId="2725" priority="2">
      <formula>AND(U7="",FIND(",",V7))</formula>
    </cfRule>
    <cfRule type="expression" dxfId="2724" priority="3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portrait" verticalDpi="0" r:id="rId1"/>
  <headerFooter>
    <oddHeader>&amp;R&amp;9Page &amp;P of &amp;N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Q313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7.7109375" style="1" hidden="1" customWidth="1"/>
    <col min="35" max="35" width="6" style="1" hidden="1" customWidth="1"/>
    <col min="36" max="36" width="18.28515625" style="1" hidden="1" customWidth="1"/>
    <col min="37" max="37" width="6" style="1" hidden="1" customWidth="1"/>
    <col min="38" max="38" width="18.7109375" style="1" hidden="1" customWidth="1"/>
    <col min="39" max="39" width="9.140625" style="1" hidden="1" customWidth="1"/>
    <col min="40" max="40" width="17.28515625" style="1" hidden="1" customWidth="1"/>
    <col min="41" max="41" width="9.140625" style="1" hidden="1" customWidth="1"/>
    <col min="42" max="42" width="13.85546875" style="1" hidden="1" customWidth="1"/>
    <col min="43" max="16384" width="9.140625" style="1"/>
  </cols>
  <sheetData>
    <row r="1" spans="1:43" x14ac:dyDescent="0.2">
      <c r="A1" s="753" t="str">
        <f>UPPER((Kalend!E22)&amp;" - "&amp;(Kalend!C22)&amp;" - "&amp;(Kalend!D22))</f>
        <v>V8 - VOKA 2. SISE-KV 8.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817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</row>
    <row r="2" spans="1:43" x14ac:dyDescent="0.2">
      <c r="A2" s="757" t="str">
        <f>"Toimumisaeg: "&amp;(Kalend!A22)&amp;" kell "&amp;(Kalend!B22)</f>
        <v>Toimumisaeg: L, 29.12.2018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</row>
    <row r="3" spans="1:43" x14ac:dyDescent="0.2">
      <c r="A3" s="757" t="str">
        <f>"Toimumiskoht: "&amp;(Kalend!F22)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</row>
    <row r="4" spans="1:43" x14ac:dyDescent="0.2">
      <c r="A4" s="757" t="str">
        <f>"Korraldaja: "&amp;(Kalend!G22)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</row>
    <row r="5" spans="1:43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</row>
    <row r="6" spans="1:43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</row>
    <row r="7" spans="1:43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</row>
    <row r="8" spans="1:43" x14ac:dyDescent="0.2">
      <c r="A8" s="897">
        <v>1</v>
      </c>
      <c r="B8" s="940" t="s">
        <v>466</v>
      </c>
      <c r="C8" s="900"/>
      <c r="D8" s="901" t="s">
        <v>450</v>
      </c>
      <c r="E8" s="902"/>
      <c r="F8" s="903"/>
      <c r="G8" s="900"/>
      <c r="H8" s="901" t="s">
        <v>450</v>
      </c>
      <c r="I8" s="902"/>
      <c r="J8" s="903"/>
      <c r="K8" s="900"/>
      <c r="L8" s="901" t="s">
        <v>450</v>
      </c>
      <c r="M8" s="902"/>
      <c r="N8" s="903"/>
      <c r="O8" s="900"/>
      <c r="P8" s="901" t="s">
        <v>450</v>
      </c>
      <c r="Q8" s="902"/>
      <c r="R8" s="903"/>
      <c r="S8" s="900"/>
      <c r="T8" s="901" t="s">
        <v>450</v>
      </c>
      <c r="U8" s="902"/>
      <c r="V8" s="903"/>
      <c r="W8" s="900"/>
      <c r="X8" s="901" t="s">
        <v>450</v>
      </c>
      <c r="Y8" s="902"/>
      <c r="Z8" s="903"/>
      <c r="AA8" s="904">
        <f t="shared" ref="AA8:AA20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0</v>
      </c>
      <c r="AB8" s="905"/>
      <c r="AC8" s="900">
        <f t="shared" ref="AC8:AC20" si="1">C8+G8+K8+O8+S8+W8</f>
        <v>0</v>
      </c>
      <c r="AD8" s="901" t="s">
        <v>450</v>
      </c>
      <c r="AE8" s="906">
        <f t="shared" ref="AE8:AE20" si="2">E8+I8+M8+Q8+U8+Y8</f>
        <v>0</v>
      </c>
      <c r="AF8" s="907">
        <f t="shared" ref="AF8:AF20" si="3">AC8-AE8</f>
        <v>0</v>
      </c>
      <c r="AG8" s="908"/>
      <c r="AH8" s="764">
        <f t="shared" ref="AH8:AH20" si="4">SUM(AI8:AP8)</f>
        <v>230</v>
      </c>
      <c r="AI8" s="784">
        <f>IFERROR(INDEX(V!$R:$R,MATCH(AJ8,V!$L:$L,0)),"")</f>
        <v>120</v>
      </c>
      <c r="AJ8" s="783" t="str">
        <f>IFERROR(LEFT(B8,(FIND(",",B8,1)-1)),"")</f>
        <v>Ivar Viljaste</v>
      </c>
      <c r="AK8" s="784">
        <f>IFERROR(INDEX(V!$R:$R,MATCH(AL8,V!$L:$L,0)),"")</f>
        <v>110</v>
      </c>
      <c r="AL8" s="783" t="str">
        <f>IFERROR(MID(B8,FIND(", ",B8)+2,256),"")</f>
        <v>Matti Vinni</v>
      </c>
      <c r="AM8" s="784" t="str">
        <f>IFERROR(INDEX(V!$R:$R,MATCH(AN8,V!$L:$L,0)),"")</f>
        <v/>
      </c>
      <c r="AN8" s="785" t="str">
        <f>IFERROR(MID(B8,FIND("^",SUBSTITUTE(B8,", ","^",1))+2,FIND("^",SUBSTITUTE(B8,", ","^",2))-FIND("^",SUBSTITUTE(B8,", ","^",1))-2),"")</f>
        <v/>
      </c>
      <c r="AO8" s="784" t="str">
        <f>IFERROR(INDEX(V!$R:$R,MATCH(AP8,V!$L:$L,0)),"")</f>
        <v/>
      </c>
      <c r="AP8" s="785" t="str">
        <f>IFERROR(MID(B8,FIND(", ",B8,FIND(", ",B8,FIND(", ",B8))+1)+2,700),"")</f>
        <v/>
      </c>
      <c r="AQ8" s="760"/>
    </row>
    <row r="9" spans="1:43" x14ac:dyDescent="0.2">
      <c r="A9" s="897">
        <v>2</v>
      </c>
      <c r="B9" s="940" t="s">
        <v>368</v>
      </c>
      <c r="C9" s="900"/>
      <c r="D9" s="901" t="s">
        <v>450</v>
      </c>
      <c r="E9" s="902"/>
      <c r="F9" s="903"/>
      <c r="G9" s="900"/>
      <c r="H9" s="901" t="s">
        <v>450</v>
      </c>
      <c r="I9" s="902"/>
      <c r="J9" s="903"/>
      <c r="K9" s="900"/>
      <c r="L9" s="901" t="s">
        <v>450</v>
      </c>
      <c r="M9" s="902"/>
      <c r="N9" s="903"/>
      <c r="O9" s="900"/>
      <c r="P9" s="901" t="s">
        <v>450</v>
      </c>
      <c r="Q9" s="902"/>
      <c r="R9" s="903"/>
      <c r="S9" s="900"/>
      <c r="T9" s="901" t="s">
        <v>450</v>
      </c>
      <c r="U9" s="902"/>
      <c r="V9" s="903"/>
      <c r="W9" s="900"/>
      <c r="X9" s="901" t="s">
        <v>450</v>
      </c>
      <c r="Y9" s="902"/>
      <c r="Z9" s="903"/>
      <c r="AA9" s="904">
        <f t="shared" si="0"/>
        <v>0</v>
      </c>
      <c r="AB9" s="905"/>
      <c r="AC9" s="900">
        <f t="shared" si="1"/>
        <v>0</v>
      </c>
      <c r="AD9" s="901" t="s">
        <v>450</v>
      </c>
      <c r="AE9" s="906">
        <f t="shared" si="2"/>
        <v>0</v>
      </c>
      <c r="AF9" s="907">
        <f t="shared" si="3"/>
        <v>0</v>
      </c>
      <c r="AG9" s="908"/>
      <c r="AH9" s="764">
        <f t="shared" si="4"/>
        <v>317</v>
      </c>
      <c r="AI9" s="784">
        <f>IFERROR(INDEX(V!$R:$R,MATCH(AJ9,V!$L:$L,0)),"")</f>
        <v>159</v>
      </c>
      <c r="AJ9" s="783" t="str">
        <f t="shared" ref="AJ9:AJ20" si="5">IFERROR(LEFT(B9,(FIND(",",B9,1)-1)),"")</f>
        <v>Jaan Sepp</v>
      </c>
      <c r="AK9" s="784">
        <f>IFERROR(INDEX(V!$R:$R,MATCH(AL9,V!$L:$L,0)),"")</f>
        <v>158</v>
      </c>
      <c r="AL9" s="783" t="str">
        <f t="shared" ref="AL9:AL20" si="6">IFERROR(MID(B9,FIND(", ",B9)+2,256),"")</f>
        <v>Oskar Sepp</v>
      </c>
      <c r="AM9" s="784" t="str">
        <f>IFERROR(INDEX(V!$R:$R,MATCH(AN9,V!$L:$L,0)),"")</f>
        <v/>
      </c>
      <c r="AN9" s="785" t="str">
        <f t="shared" ref="AN9:AN20" si="7">IFERROR(MID(B9,FIND("^",SUBSTITUTE(B9,", ","^",1))+2,FIND("^",SUBSTITUTE(B9,", ","^",2))-FIND("^",SUBSTITUTE(B9,", ","^",1))-2),"")</f>
        <v/>
      </c>
      <c r="AO9" s="784" t="str">
        <f>IFERROR(INDEX(V!$R:$R,MATCH(AP9,V!$L:$L,0)),"")</f>
        <v/>
      </c>
      <c r="AP9" s="785" t="str">
        <f t="shared" ref="AP9:AP20" si="8">IFERROR(MID(B9,FIND(", ",B9,FIND(", ",B9,FIND(", ",B9))+1)+2,700),"")</f>
        <v/>
      </c>
      <c r="AQ9" s="760"/>
    </row>
    <row r="10" spans="1:43" x14ac:dyDescent="0.2">
      <c r="A10" s="897">
        <v>3</v>
      </c>
      <c r="B10" s="940" t="s">
        <v>370</v>
      </c>
      <c r="C10" s="900"/>
      <c r="D10" s="901" t="s">
        <v>450</v>
      </c>
      <c r="E10" s="902"/>
      <c r="F10" s="903"/>
      <c r="G10" s="900"/>
      <c r="H10" s="901" t="s">
        <v>450</v>
      </c>
      <c r="I10" s="902"/>
      <c r="J10" s="903"/>
      <c r="K10" s="900"/>
      <c r="L10" s="901" t="s">
        <v>450</v>
      </c>
      <c r="M10" s="902"/>
      <c r="N10" s="903"/>
      <c r="O10" s="900"/>
      <c r="P10" s="901" t="s">
        <v>450</v>
      </c>
      <c r="Q10" s="902"/>
      <c r="R10" s="903"/>
      <c r="S10" s="900"/>
      <c r="T10" s="901" t="s">
        <v>450</v>
      </c>
      <c r="U10" s="902"/>
      <c r="V10" s="903"/>
      <c r="W10" s="900"/>
      <c r="X10" s="901" t="s">
        <v>450</v>
      </c>
      <c r="Y10" s="902"/>
      <c r="Z10" s="903"/>
      <c r="AA10" s="904">
        <f t="shared" si="0"/>
        <v>0</v>
      </c>
      <c r="AB10" s="905"/>
      <c r="AC10" s="900">
        <f t="shared" si="1"/>
        <v>0</v>
      </c>
      <c r="AD10" s="901" t="s">
        <v>450</v>
      </c>
      <c r="AE10" s="906">
        <f t="shared" si="2"/>
        <v>0</v>
      </c>
      <c r="AF10" s="907">
        <f t="shared" si="3"/>
        <v>0</v>
      </c>
      <c r="AG10" s="908"/>
      <c r="AH10" s="764">
        <f t="shared" si="4"/>
        <v>240</v>
      </c>
      <c r="AI10" s="784">
        <f>IFERROR(INDEX(V!$R:$R,MATCH(AJ10,V!$L:$L,0)),"")</f>
        <v>117</v>
      </c>
      <c r="AJ10" s="783" t="str">
        <f t="shared" si="5"/>
        <v>Elmo Lageda</v>
      </c>
      <c r="AK10" s="784">
        <f>IFERROR(INDEX(V!$R:$R,MATCH(AL10,V!$L:$L,0)),"")</f>
        <v>123</v>
      </c>
      <c r="AL10" s="783" t="str">
        <f t="shared" si="6"/>
        <v>Tõnu Piik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</row>
    <row r="11" spans="1:43" x14ac:dyDescent="0.2">
      <c r="A11" s="897">
        <v>4</v>
      </c>
      <c r="B11" s="940" t="s">
        <v>460</v>
      </c>
      <c r="C11" s="900"/>
      <c r="D11" s="901" t="s">
        <v>450</v>
      </c>
      <c r="E11" s="902"/>
      <c r="F11" s="903"/>
      <c r="G11" s="900"/>
      <c r="H11" s="901" t="s">
        <v>450</v>
      </c>
      <c r="I11" s="902"/>
      <c r="J11" s="903"/>
      <c r="K11" s="900"/>
      <c r="L11" s="901" t="s">
        <v>450</v>
      </c>
      <c r="M11" s="902"/>
      <c r="N11" s="903"/>
      <c r="O11" s="900"/>
      <c r="P11" s="901" t="s">
        <v>450</v>
      </c>
      <c r="Q11" s="902"/>
      <c r="R11" s="903"/>
      <c r="S11" s="900"/>
      <c r="T11" s="901" t="s">
        <v>450</v>
      </c>
      <c r="U11" s="902"/>
      <c r="V11" s="903"/>
      <c r="W11" s="900"/>
      <c r="X11" s="901" t="s">
        <v>450</v>
      </c>
      <c r="Y11" s="902"/>
      <c r="Z11" s="903"/>
      <c r="AA11" s="904">
        <f t="shared" si="0"/>
        <v>0</v>
      </c>
      <c r="AB11" s="905"/>
      <c r="AC11" s="900">
        <f t="shared" si="1"/>
        <v>0</v>
      </c>
      <c r="AD11" s="901" t="s">
        <v>450</v>
      </c>
      <c r="AE11" s="906">
        <f t="shared" si="2"/>
        <v>0</v>
      </c>
      <c r="AF11" s="907">
        <f t="shared" si="3"/>
        <v>0</v>
      </c>
      <c r="AG11" s="908"/>
      <c r="AH11" s="764">
        <f t="shared" si="4"/>
        <v>93</v>
      </c>
      <c r="AI11" s="784">
        <f>IFERROR(INDEX(V!$R:$R,MATCH(AJ11,V!$L:$L,0)),"")</f>
        <v>46.5</v>
      </c>
      <c r="AJ11" s="783" t="str">
        <f t="shared" si="5"/>
        <v>Ljudmila Varendi</v>
      </c>
      <c r="AK11" s="784">
        <f>IFERROR(INDEX(V!$R:$R,MATCH(AL11,V!$L:$L,0)),"")</f>
        <v>46.5</v>
      </c>
      <c r="AL11" s="783" t="str">
        <f t="shared" si="6"/>
        <v>Viktor Švarõgin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</row>
    <row r="12" spans="1:43" x14ac:dyDescent="0.2">
      <c r="A12" s="944">
        <v>5</v>
      </c>
      <c r="B12" s="940" t="s">
        <v>399</v>
      </c>
      <c r="C12" s="900"/>
      <c r="D12" s="901" t="s">
        <v>450</v>
      </c>
      <c r="E12" s="902"/>
      <c r="F12" s="903"/>
      <c r="G12" s="900"/>
      <c r="H12" s="901" t="s">
        <v>450</v>
      </c>
      <c r="I12" s="902"/>
      <c r="J12" s="903"/>
      <c r="K12" s="900"/>
      <c r="L12" s="901" t="s">
        <v>450</v>
      </c>
      <c r="M12" s="902"/>
      <c r="N12" s="903"/>
      <c r="O12" s="900"/>
      <c r="P12" s="901" t="s">
        <v>450</v>
      </c>
      <c r="Q12" s="902"/>
      <c r="R12" s="903"/>
      <c r="S12" s="900"/>
      <c r="T12" s="901" t="s">
        <v>450</v>
      </c>
      <c r="U12" s="902"/>
      <c r="V12" s="903"/>
      <c r="W12" s="900"/>
      <c r="X12" s="901" t="s">
        <v>450</v>
      </c>
      <c r="Y12" s="902"/>
      <c r="Z12" s="903"/>
      <c r="AA12" s="904">
        <f t="shared" si="0"/>
        <v>0</v>
      </c>
      <c r="AB12" s="905"/>
      <c r="AC12" s="900">
        <f t="shared" si="1"/>
        <v>0</v>
      </c>
      <c r="AD12" s="901" t="s">
        <v>450</v>
      </c>
      <c r="AE12" s="906">
        <f t="shared" si="2"/>
        <v>0</v>
      </c>
      <c r="AF12" s="907">
        <f t="shared" si="3"/>
        <v>0</v>
      </c>
      <c r="AG12" s="908"/>
      <c r="AH12" s="764">
        <f t="shared" si="4"/>
        <v>200</v>
      </c>
      <c r="AI12" s="784">
        <f>IFERROR(INDEX(V!$R:$R,MATCH(AJ12,V!$L:$L,0)),"")</f>
        <v>123.5</v>
      </c>
      <c r="AJ12" s="783" t="str">
        <f t="shared" si="5"/>
        <v>Karla Purgats</v>
      </c>
      <c r="AK12" s="784">
        <f>IFERROR(INDEX(V!$R:$R,MATCH(AL12,V!$L:$L,0)),"")</f>
        <v>76.5</v>
      </c>
      <c r="AL12" s="783" t="str">
        <f t="shared" si="6"/>
        <v>Lemmit Toomra</v>
      </c>
      <c r="AM12" s="784" t="str">
        <f>IFERROR(INDEX(V!$R:$R,MATCH(AN12,V!$L:$L,0)),"")</f>
        <v/>
      </c>
      <c r="AN12" s="785" t="str">
        <f t="shared" si="7"/>
        <v/>
      </c>
      <c r="AO12" s="784" t="str">
        <f>IFERROR(INDEX(V!$R:$R,MATCH(AP12,V!$L:$L,0)),"")</f>
        <v/>
      </c>
      <c r="AP12" s="785" t="str">
        <f t="shared" si="8"/>
        <v/>
      </c>
      <c r="AQ12" s="760"/>
    </row>
    <row r="13" spans="1:43" x14ac:dyDescent="0.2">
      <c r="A13" s="944">
        <v>5</v>
      </c>
      <c r="B13" s="940" t="s">
        <v>398</v>
      </c>
      <c r="C13" s="900"/>
      <c r="D13" s="901" t="s">
        <v>450</v>
      </c>
      <c r="E13" s="902"/>
      <c r="F13" s="903"/>
      <c r="G13" s="900"/>
      <c r="H13" s="901" t="s">
        <v>450</v>
      </c>
      <c r="I13" s="902"/>
      <c r="J13" s="903"/>
      <c r="K13" s="900"/>
      <c r="L13" s="901" t="s">
        <v>450</v>
      </c>
      <c r="M13" s="902"/>
      <c r="N13" s="903"/>
      <c r="O13" s="900"/>
      <c r="P13" s="901" t="s">
        <v>450</v>
      </c>
      <c r="Q13" s="902"/>
      <c r="R13" s="903"/>
      <c r="S13" s="900"/>
      <c r="T13" s="901" t="s">
        <v>450</v>
      </c>
      <c r="U13" s="902"/>
      <c r="V13" s="903"/>
      <c r="W13" s="900"/>
      <c r="X13" s="901" t="s">
        <v>450</v>
      </c>
      <c r="Y13" s="902"/>
      <c r="Z13" s="903"/>
      <c r="AA13" s="904">
        <f t="shared" si="0"/>
        <v>0</v>
      </c>
      <c r="AB13" s="905"/>
      <c r="AC13" s="900">
        <f t="shared" si="1"/>
        <v>0</v>
      </c>
      <c r="AD13" s="901" t="s">
        <v>450</v>
      </c>
      <c r="AE13" s="906">
        <f t="shared" si="2"/>
        <v>0</v>
      </c>
      <c r="AF13" s="907">
        <f t="shared" si="3"/>
        <v>0</v>
      </c>
      <c r="AG13" s="908"/>
      <c r="AH13" s="764">
        <f t="shared" si="4"/>
        <v>173.5</v>
      </c>
      <c r="AI13" s="784">
        <f>IFERROR(INDEX(V!$R:$R,MATCH(AJ13,V!$L:$L,0)),"")</f>
        <v>125</v>
      </c>
      <c r="AJ13" s="783" t="str">
        <f t="shared" si="5"/>
        <v>Meelis Luud</v>
      </c>
      <c r="AK13" s="784">
        <f>IFERROR(INDEX(V!$R:$R,MATCH(AL13,V!$L:$L,0)),"")</f>
        <v>48.5</v>
      </c>
      <c r="AL13" s="783" t="str">
        <f t="shared" si="6"/>
        <v>Urmas Jõeäär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</row>
    <row r="14" spans="1:43" x14ac:dyDescent="0.2">
      <c r="A14" s="944">
        <v>7</v>
      </c>
      <c r="B14" s="940" t="s">
        <v>396</v>
      </c>
      <c r="C14" s="900"/>
      <c r="D14" s="901" t="s">
        <v>450</v>
      </c>
      <c r="E14" s="902"/>
      <c r="F14" s="903"/>
      <c r="G14" s="900"/>
      <c r="H14" s="901" t="s">
        <v>450</v>
      </c>
      <c r="I14" s="902"/>
      <c r="J14" s="903"/>
      <c r="K14" s="900"/>
      <c r="L14" s="901" t="s">
        <v>450</v>
      </c>
      <c r="M14" s="902"/>
      <c r="N14" s="903"/>
      <c r="O14" s="900"/>
      <c r="P14" s="901" t="s">
        <v>450</v>
      </c>
      <c r="Q14" s="902"/>
      <c r="R14" s="903"/>
      <c r="S14" s="900"/>
      <c r="T14" s="901" t="s">
        <v>450</v>
      </c>
      <c r="U14" s="902"/>
      <c r="V14" s="903"/>
      <c r="W14" s="900"/>
      <c r="X14" s="901" t="s">
        <v>450</v>
      </c>
      <c r="Y14" s="902"/>
      <c r="Z14" s="903"/>
      <c r="AA14" s="904">
        <f t="shared" si="0"/>
        <v>0</v>
      </c>
      <c r="AB14" s="905"/>
      <c r="AC14" s="900">
        <f t="shared" si="1"/>
        <v>0</v>
      </c>
      <c r="AD14" s="901" t="s">
        <v>450</v>
      </c>
      <c r="AE14" s="906">
        <f t="shared" si="2"/>
        <v>0</v>
      </c>
      <c r="AF14" s="907">
        <f t="shared" si="3"/>
        <v>0</v>
      </c>
      <c r="AG14" s="908"/>
      <c r="AH14" s="764">
        <f t="shared" si="4"/>
        <v>164.5</v>
      </c>
      <c r="AI14" s="784">
        <f>IFERROR(INDEX(V!$R:$R,MATCH(AJ14,V!$L:$L,0)),"")</f>
        <v>57</v>
      </c>
      <c r="AJ14" s="783" t="str">
        <f t="shared" si="5"/>
        <v>Tõnu Kapper</v>
      </c>
      <c r="AK14" s="784">
        <f>IFERROR(INDEX(V!$R:$R,MATCH(AL14,V!$L:$L,0)),"")</f>
        <v>107.5</v>
      </c>
      <c r="AL14" s="783" t="str">
        <f t="shared" si="6"/>
        <v>Vladimir Ogneštšikov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</row>
    <row r="15" spans="1:43" x14ac:dyDescent="0.2">
      <c r="A15" s="944">
        <v>8</v>
      </c>
      <c r="B15" s="940" t="s">
        <v>482</v>
      </c>
      <c r="C15" s="900"/>
      <c r="D15" s="901" t="s">
        <v>450</v>
      </c>
      <c r="E15" s="902"/>
      <c r="F15" s="903"/>
      <c r="G15" s="900"/>
      <c r="H15" s="901" t="s">
        <v>450</v>
      </c>
      <c r="I15" s="902"/>
      <c r="J15" s="903"/>
      <c r="K15" s="900"/>
      <c r="L15" s="901" t="s">
        <v>450</v>
      </c>
      <c r="M15" s="902"/>
      <c r="N15" s="903"/>
      <c r="O15" s="900"/>
      <c r="P15" s="901" t="s">
        <v>450</v>
      </c>
      <c r="Q15" s="902"/>
      <c r="R15" s="903"/>
      <c r="S15" s="900"/>
      <c r="T15" s="901" t="s">
        <v>450</v>
      </c>
      <c r="U15" s="902"/>
      <c r="V15" s="903"/>
      <c r="W15" s="900"/>
      <c r="X15" s="901" t="s">
        <v>450</v>
      </c>
      <c r="Y15" s="902"/>
      <c r="Z15" s="903"/>
      <c r="AA15" s="904">
        <f t="shared" si="0"/>
        <v>0</v>
      </c>
      <c r="AB15" s="905"/>
      <c r="AC15" s="900">
        <f t="shared" si="1"/>
        <v>0</v>
      </c>
      <c r="AD15" s="901" t="s">
        <v>450</v>
      </c>
      <c r="AE15" s="906">
        <f t="shared" si="2"/>
        <v>0</v>
      </c>
      <c r="AF15" s="907">
        <f t="shared" si="3"/>
        <v>0</v>
      </c>
      <c r="AG15" s="908"/>
      <c r="AH15" s="764">
        <f t="shared" si="4"/>
        <v>138</v>
      </c>
      <c r="AI15" s="784">
        <f>IFERROR(INDEX(V!$R:$R,MATCH(AJ15,V!$L:$L,0)),"")</f>
        <v>40.5</v>
      </c>
      <c r="AJ15" s="783" t="str">
        <f t="shared" si="5"/>
        <v>Aigi Orro</v>
      </c>
      <c r="AK15" s="784">
        <f>IFERROR(INDEX(V!$R:$R,MATCH(AL15,V!$L:$L,0)),"")</f>
        <v>97.5</v>
      </c>
      <c r="AL15" s="783" t="str">
        <f t="shared" si="6"/>
        <v>Klavdia Piik</v>
      </c>
      <c r="AM15" s="784" t="str">
        <f>IFERROR(INDEX(V!$R:$R,MATCH(AN15,V!$L:$L,0)),"")</f>
        <v/>
      </c>
      <c r="AN15" s="785" t="str">
        <f t="shared" si="7"/>
        <v/>
      </c>
      <c r="AO15" s="784" t="str">
        <f>IFERROR(INDEX(V!$R:$R,MATCH(AP15,V!$L:$L,0)),"")</f>
        <v/>
      </c>
      <c r="AP15" s="785" t="str">
        <f t="shared" si="8"/>
        <v/>
      </c>
      <c r="AQ15" s="760"/>
    </row>
    <row r="16" spans="1:43" x14ac:dyDescent="0.2">
      <c r="A16" s="944">
        <v>8</v>
      </c>
      <c r="B16" s="940" t="s">
        <v>401</v>
      </c>
      <c r="C16" s="900"/>
      <c r="D16" s="901" t="s">
        <v>450</v>
      </c>
      <c r="E16" s="902"/>
      <c r="F16" s="903"/>
      <c r="G16" s="900"/>
      <c r="H16" s="901" t="s">
        <v>450</v>
      </c>
      <c r="I16" s="902"/>
      <c r="J16" s="903"/>
      <c r="K16" s="900"/>
      <c r="L16" s="901" t="s">
        <v>450</v>
      </c>
      <c r="M16" s="902"/>
      <c r="N16" s="903"/>
      <c r="O16" s="900"/>
      <c r="P16" s="901" t="s">
        <v>450</v>
      </c>
      <c r="Q16" s="902"/>
      <c r="R16" s="903"/>
      <c r="S16" s="900"/>
      <c r="T16" s="901" t="s">
        <v>450</v>
      </c>
      <c r="U16" s="902"/>
      <c r="V16" s="903"/>
      <c r="W16" s="900"/>
      <c r="X16" s="901" t="s">
        <v>450</v>
      </c>
      <c r="Y16" s="902"/>
      <c r="Z16" s="903"/>
      <c r="AA16" s="904">
        <f t="shared" si="0"/>
        <v>0</v>
      </c>
      <c r="AB16" s="905"/>
      <c r="AC16" s="900">
        <f t="shared" si="1"/>
        <v>0</v>
      </c>
      <c r="AD16" s="901" t="s">
        <v>450</v>
      </c>
      <c r="AE16" s="906">
        <f t="shared" si="2"/>
        <v>0</v>
      </c>
      <c r="AF16" s="907">
        <f t="shared" si="3"/>
        <v>0</v>
      </c>
      <c r="AG16" s="908"/>
      <c r="AH16" s="764">
        <f t="shared" si="4"/>
        <v>82</v>
      </c>
      <c r="AI16" s="784">
        <f>IFERROR(INDEX(V!$R:$R,MATCH(AJ16,V!$L:$L,0)),"")</f>
        <v>15.5</v>
      </c>
      <c r="AJ16" s="783" t="str">
        <f t="shared" si="5"/>
        <v>Oksana Rõndenkova</v>
      </c>
      <c r="AK16" s="784">
        <f>IFERROR(INDEX(V!$R:$R,MATCH(AL16,V!$L:$L,0)),"")</f>
        <v>66.5</v>
      </c>
      <c r="AL16" s="783" t="str">
        <f t="shared" si="6"/>
        <v>Oleg Rõndenkov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</row>
    <row r="17" spans="1:43" x14ac:dyDescent="0.2">
      <c r="A17" s="944">
        <v>10</v>
      </c>
      <c r="B17" s="940" t="s">
        <v>397</v>
      </c>
      <c r="C17" s="900"/>
      <c r="D17" s="901" t="s">
        <v>450</v>
      </c>
      <c r="E17" s="902"/>
      <c r="F17" s="903"/>
      <c r="G17" s="900"/>
      <c r="H17" s="901" t="s">
        <v>450</v>
      </c>
      <c r="I17" s="902"/>
      <c r="J17" s="903"/>
      <c r="K17" s="900"/>
      <c r="L17" s="901" t="s">
        <v>450</v>
      </c>
      <c r="M17" s="902"/>
      <c r="N17" s="903"/>
      <c r="O17" s="900"/>
      <c r="P17" s="901" t="s">
        <v>450</v>
      </c>
      <c r="Q17" s="902"/>
      <c r="R17" s="903"/>
      <c r="S17" s="900"/>
      <c r="T17" s="901" t="s">
        <v>450</v>
      </c>
      <c r="U17" s="902"/>
      <c r="V17" s="903"/>
      <c r="W17" s="900"/>
      <c r="X17" s="901" t="s">
        <v>450</v>
      </c>
      <c r="Y17" s="902"/>
      <c r="Z17" s="903"/>
      <c r="AA17" s="904">
        <f t="shared" si="0"/>
        <v>0</v>
      </c>
      <c r="AB17" s="905"/>
      <c r="AC17" s="900">
        <f t="shared" si="1"/>
        <v>0</v>
      </c>
      <c r="AD17" s="901" t="s">
        <v>450</v>
      </c>
      <c r="AE17" s="906">
        <f t="shared" si="2"/>
        <v>0</v>
      </c>
      <c r="AF17" s="907">
        <f t="shared" si="3"/>
        <v>0</v>
      </c>
      <c r="AG17" s="908"/>
      <c r="AH17" s="764">
        <f t="shared" si="4"/>
        <v>143</v>
      </c>
      <c r="AI17" s="784">
        <f>IFERROR(INDEX(V!$R:$R,MATCH(AJ17,V!$L:$L,0)),"")</f>
        <v>37.5</v>
      </c>
      <c r="AJ17" s="783" t="str">
        <f t="shared" si="5"/>
        <v>Boriss Klubov</v>
      </c>
      <c r="AK17" s="784">
        <f>IFERROR(INDEX(V!$R:$R,MATCH(AL17,V!$L:$L,0)),"")</f>
        <v>105.5</v>
      </c>
      <c r="AL17" s="783" t="str">
        <f t="shared" si="6"/>
        <v>Mait Metsla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</row>
    <row r="18" spans="1:43" x14ac:dyDescent="0.2">
      <c r="A18" s="944">
        <v>10</v>
      </c>
      <c r="B18" s="941" t="s">
        <v>404</v>
      </c>
      <c r="C18" s="900"/>
      <c r="D18" s="901" t="s">
        <v>450</v>
      </c>
      <c r="E18" s="902"/>
      <c r="F18" s="903"/>
      <c r="G18" s="900"/>
      <c r="H18" s="901" t="s">
        <v>450</v>
      </c>
      <c r="I18" s="902"/>
      <c r="J18" s="903"/>
      <c r="K18" s="900"/>
      <c r="L18" s="901" t="s">
        <v>450</v>
      </c>
      <c r="M18" s="902"/>
      <c r="N18" s="903"/>
      <c r="O18" s="900"/>
      <c r="P18" s="901" t="s">
        <v>450</v>
      </c>
      <c r="Q18" s="902"/>
      <c r="R18" s="903"/>
      <c r="S18" s="900"/>
      <c r="T18" s="901" t="s">
        <v>450</v>
      </c>
      <c r="U18" s="902"/>
      <c r="V18" s="903"/>
      <c r="W18" s="900"/>
      <c r="X18" s="901" t="s">
        <v>450</v>
      </c>
      <c r="Y18" s="902"/>
      <c r="Z18" s="903"/>
      <c r="AA18" s="904">
        <f t="shared" si="0"/>
        <v>0</v>
      </c>
      <c r="AB18" s="905"/>
      <c r="AC18" s="900">
        <f t="shared" si="1"/>
        <v>0</v>
      </c>
      <c r="AD18" s="901" t="s">
        <v>450</v>
      </c>
      <c r="AE18" s="906">
        <f t="shared" si="2"/>
        <v>0</v>
      </c>
      <c r="AF18" s="907">
        <f t="shared" si="3"/>
        <v>0</v>
      </c>
      <c r="AG18" s="908"/>
      <c r="AH18" s="764">
        <f t="shared" si="4"/>
        <v>190.5</v>
      </c>
      <c r="AI18" s="784">
        <f>IFERROR(INDEX(V!$R:$R,MATCH(AJ18,V!$L:$L,0)),"")</f>
        <v>98.5</v>
      </c>
      <c r="AJ18" s="783" t="str">
        <f t="shared" si="5"/>
        <v>Illar Tõnurist</v>
      </c>
      <c r="AK18" s="784">
        <f>IFERROR(INDEX(V!$R:$R,MATCH(AL18,V!$L:$L,0)),"")</f>
        <v>92</v>
      </c>
      <c r="AL18" s="783" t="str">
        <f t="shared" si="6"/>
        <v>Jaan Saar</v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</row>
    <row r="19" spans="1:43" x14ac:dyDescent="0.2">
      <c r="A19" s="897">
        <v>12</v>
      </c>
      <c r="B19" s="940" t="s">
        <v>402</v>
      </c>
      <c r="C19" s="900"/>
      <c r="D19" s="901" t="s">
        <v>450</v>
      </c>
      <c r="E19" s="902"/>
      <c r="F19" s="903"/>
      <c r="G19" s="900"/>
      <c r="H19" s="901" t="s">
        <v>450</v>
      </c>
      <c r="I19" s="902"/>
      <c r="J19" s="903"/>
      <c r="K19" s="900"/>
      <c r="L19" s="901" t="s">
        <v>450</v>
      </c>
      <c r="M19" s="902"/>
      <c r="N19" s="903"/>
      <c r="O19" s="900"/>
      <c r="P19" s="901" t="s">
        <v>450</v>
      </c>
      <c r="Q19" s="902"/>
      <c r="R19" s="903"/>
      <c r="S19" s="900"/>
      <c r="T19" s="901" t="s">
        <v>450</v>
      </c>
      <c r="U19" s="902"/>
      <c r="V19" s="903"/>
      <c r="W19" s="900"/>
      <c r="X19" s="901" t="s">
        <v>450</v>
      </c>
      <c r="Y19" s="902"/>
      <c r="Z19" s="903"/>
      <c r="AA19" s="904">
        <f t="shared" si="0"/>
        <v>0</v>
      </c>
      <c r="AB19" s="905"/>
      <c r="AC19" s="900">
        <f t="shared" si="1"/>
        <v>0</v>
      </c>
      <c r="AD19" s="901" t="s">
        <v>450</v>
      </c>
      <c r="AE19" s="906">
        <f t="shared" si="2"/>
        <v>0</v>
      </c>
      <c r="AF19" s="907">
        <f t="shared" si="3"/>
        <v>0</v>
      </c>
      <c r="AG19" s="908"/>
      <c r="AH19" s="764">
        <f t="shared" si="4"/>
        <v>93</v>
      </c>
      <c r="AI19" s="784">
        <f>IFERROR(INDEX(V!$R:$R,MATCH(AJ19,V!$L:$L,0)),"")</f>
        <v>48</v>
      </c>
      <c r="AJ19" s="783" t="str">
        <f t="shared" si="5"/>
        <v>Andres Veski</v>
      </c>
      <c r="AK19" s="784">
        <f>IFERROR(INDEX(V!$R:$R,MATCH(AL19,V!$L:$L,0)),"")</f>
        <v>45</v>
      </c>
      <c r="AL19" s="783" t="str">
        <f t="shared" si="6"/>
        <v>Svetlana Veski</v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</row>
    <row r="20" spans="1:43" x14ac:dyDescent="0.2">
      <c r="A20" s="897">
        <v>13</v>
      </c>
      <c r="B20" s="940" t="s">
        <v>369</v>
      </c>
      <c r="C20" s="900"/>
      <c r="D20" s="901" t="s">
        <v>450</v>
      </c>
      <c r="E20" s="902"/>
      <c r="F20" s="903"/>
      <c r="G20" s="900"/>
      <c r="H20" s="901" t="s">
        <v>450</v>
      </c>
      <c r="I20" s="902"/>
      <c r="J20" s="903"/>
      <c r="K20" s="900"/>
      <c r="L20" s="901" t="s">
        <v>450</v>
      </c>
      <c r="M20" s="902"/>
      <c r="N20" s="903"/>
      <c r="O20" s="900"/>
      <c r="P20" s="901" t="s">
        <v>450</v>
      </c>
      <c r="Q20" s="902"/>
      <c r="R20" s="903"/>
      <c r="S20" s="900"/>
      <c r="T20" s="901" t="s">
        <v>450</v>
      </c>
      <c r="U20" s="902"/>
      <c r="V20" s="903"/>
      <c r="W20" s="900"/>
      <c r="X20" s="901" t="s">
        <v>450</v>
      </c>
      <c r="Y20" s="902"/>
      <c r="Z20" s="903"/>
      <c r="AA20" s="904">
        <f t="shared" si="0"/>
        <v>0</v>
      </c>
      <c r="AB20" s="905"/>
      <c r="AC20" s="900">
        <f t="shared" si="1"/>
        <v>0</v>
      </c>
      <c r="AD20" s="901" t="s">
        <v>450</v>
      </c>
      <c r="AE20" s="906">
        <f t="shared" si="2"/>
        <v>0</v>
      </c>
      <c r="AF20" s="907">
        <f t="shared" si="3"/>
        <v>0</v>
      </c>
      <c r="AG20" s="908"/>
      <c r="AH20" s="764">
        <f t="shared" si="4"/>
        <v>164</v>
      </c>
      <c r="AI20" s="784">
        <f>IFERROR(INDEX(V!$R:$R,MATCH(AJ20,V!$L:$L,0)),"")</f>
        <v>88</v>
      </c>
      <c r="AJ20" s="783" t="str">
        <f t="shared" si="5"/>
        <v>Enn Tokman</v>
      </c>
      <c r="AK20" s="784">
        <f>IFERROR(INDEX(V!$R:$R,MATCH(AL20,V!$L:$L,0)),"")</f>
        <v>76</v>
      </c>
      <c r="AL20" s="783" t="str">
        <f t="shared" si="6"/>
        <v>Tarmo Bombe</v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</row>
    <row r="21" spans="1:43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</row>
    <row r="22" spans="1:43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</row>
    <row r="23" spans="1:43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</row>
    <row r="24" spans="1:43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</row>
    <row r="25" spans="1:43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</row>
    <row r="26" spans="1:43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</row>
    <row r="27" spans="1:43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</row>
    <row r="28" spans="1:43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</row>
    <row r="29" spans="1:43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</row>
    <row r="30" spans="1:43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</row>
    <row r="31" spans="1:43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</row>
    <row r="32" spans="1:43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</row>
    <row r="33" spans="1:43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</row>
    <row r="34" spans="1:43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</row>
    <row r="35" spans="1:43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</row>
    <row r="36" spans="1:43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</row>
    <row r="37" spans="1:43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</row>
    <row r="38" spans="1:43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</row>
    <row r="39" spans="1:43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</row>
    <row r="40" spans="1:43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</row>
    <row r="41" spans="1:43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</row>
    <row r="42" spans="1:43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</row>
    <row r="43" spans="1:43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</row>
    <row r="44" spans="1:43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</row>
    <row r="45" spans="1:43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</row>
    <row r="46" spans="1:43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</row>
    <row r="47" spans="1:43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</row>
    <row r="48" spans="1:43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</row>
    <row r="49" spans="1:43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</row>
    <row r="50" spans="1:43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</row>
    <row r="51" spans="1:43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</row>
    <row r="52" spans="1:43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</row>
    <row r="53" spans="1:43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</row>
    <row r="54" spans="1:43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</row>
    <row r="55" spans="1:43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</row>
    <row r="56" spans="1:43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</row>
    <row r="57" spans="1:43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</row>
    <row r="58" spans="1:43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</row>
    <row r="59" spans="1:43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</row>
    <row r="60" spans="1:43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</row>
    <row r="61" spans="1:43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</row>
    <row r="62" spans="1:43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</row>
    <row r="63" spans="1:43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</row>
    <row r="64" spans="1:43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</row>
    <row r="65" spans="1:43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</row>
    <row r="66" spans="1:43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</row>
    <row r="67" spans="1:43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</row>
    <row r="68" spans="1:43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</row>
    <row r="69" spans="1:43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</row>
    <row r="70" spans="1:43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</row>
    <row r="71" spans="1:43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</row>
    <row r="72" spans="1:43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</row>
    <row r="73" spans="1:43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</row>
    <row r="74" spans="1:43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</row>
    <row r="75" spans="1:43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</row>
    <row r="76" spans="1:43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</row>
    <row r="77" spans="1:43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</row>
    <row r="78" spans="1:43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</row>
    <row r="79" spans="1:43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</row>
    <row r="80" spans="1:43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</row>
    <row r="81" spans="1:43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</row>
    <row r="82" spans="1:43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</row>
    <row r="83" spans="1:43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</row>
    <row r="84" spans="1:43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</row>
    <row r="85" spans="1:43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</row>
    <row r="86" spans="1:43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</row>
    <row r="87" spans="1:43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</row>
    <row r="88" spans="1:43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</row>
    <row r="89" spans="1:43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</row>
    <row r="90" spans="1:43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</row>
    <row r="91" spans="1:43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</row>
    <row r="92" spans="1:43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</row>
    <row r="93" spans="1:43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</row>
    <row r="94" spans="1:43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</row>
    <row r="95" spans="1:43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</row>
    <row r="96" spans="1:43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</row>
    <row r="97" spans="1:43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</row>
    <row r="98" spans="1:43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</row>
    <row r="99" spans="1:43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</row>
    <row r="100" spans="1:43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</row>
    <row r="101" spans="1:43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</row>
    <row r="102" spans="1:43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</row>
    <row r="103" spans="1:43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</row>
    <row r="104" spans="1:43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</row>
    <row r="105" spans="1:43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</row>
    <row r="106" spans="1:43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</row>
    <row r="107" spans="1:43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</row>
    <row r="108" spans="1:43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</row>
    <row r="109" spans="1:43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</row>
    <row r="110" spans="1:43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</row>
    <row r="111" spans="1:43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</row>
    <row r="112" spans="1:43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</row>
    <row r="113" spans="1:43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</row>
    <row r="114" spans="1:43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</row>
    <row r="115" spans="1:43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</row>
    <row r="116" spans="1:43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</row>
    <row r="117" spans="1:43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</row>
    <row r="118" spans="1:43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</row>
    <row r="119" spans="1:43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</row>
    <row r="120" spans="1:43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</row>
    <row r="121" spans="1:43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</row>
    <row r="122" spans="1:43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</row>
    <row r="123" spans="1:43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</row>
    <row r="124" spans="1:43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</row>
    <row r="125" spans="1:43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</row>
    <row r="126" spans="1:43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</row>
    <row r="127" spans="1:43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</row>
    <row r="128" spans="1:43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</row>
    <row r="129" spans="1:43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</row>
    <row r="130" spans="1:43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</row>
    <row r="131" spans="1:43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</row>
    <row r="132" spans="1:43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</row>
    <row r="133" spans="1:43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</row>
    <row r="134" spans="1:43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</row>
    <row r="135" spans="1:43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</row>
    <row r="136" spans="1:43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</row>
    <row r="137" spans="1:43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</row>
    <row r="138" spans="1:43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</row>
    <row r="139" spans="1:43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</row>
    <row r="140" spans="1:43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</row>
    <row r="141" spans="1:43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</row>
    <row r="142" spans="1:43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</row>
    <row r="143" spans="1:43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</row>
    <row r="144" spans="1:43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</row>
    <row r="145" spans="1:43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</row>
    <row r="146" spans="1:43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</row>
    <row r="147" spans="1:43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</row>
    <row r="148" spans="1:43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</row>
    <row r="149" spans="1:43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</row>
    <row r="150" spans="1:43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</row>
    <row r="151" spans="1:43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</row>
    <row r="152" spans="1:43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</row>
    <row r="153" spans="1:43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</row>
    <row r="154" spans="1:43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</row>
    <row r="155" spans="1:43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</row>
    <row r="156" spans="1:43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</row>
    <row r="157" spans="1:43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</row>
    <row r="158" spans="1:43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</row>
    <row r="159" spans="1:43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</row>
    <row r="160" spans="1:43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</row>
    <row r="161" spans="1:43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</row>
    <row r="162" spans="1:43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</row>
    <row r="163" spans="1:43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</row>
    <row r="164" spans="1:43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</row>
    <row r="165" spans="1:43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</row>
    <row r="166" spans="1:43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</row>
    <row r="167" spans="1:43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</row>
    <row r="168" spans="1:43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</row>
    <row r="169" spans="1:43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</row>
    <row r="170" spans="1:43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</row>
    <row r="171" spans="1:43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</row>
    <row r="172" spans="1:43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</row>
    <row r="173" spans="1:43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</row>
    <row r="174" spans="1:43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</row>
    <row r="175" spans="1:43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</row>
    <row r="176" spans="1:43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</row>
    <row r="177" spans="1:43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</row>
    <row r="178" spans="1:43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</row>
    <row r="179" spans="1:43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</row>
    <row r="180" spans="1:43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</row>
    <row r="181" spans="1:43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</row>
    <row r="182" spans="1:43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</row>
    <row r="183" spans="1:43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</row>
    <row r="184" spans="1:43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</row>
    <row r="185" spans="1:43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</row>
    <row r="186" spans="1:43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</row>
    <row r="187" spans="1:43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</row>
    <row r="188" spans="1:43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</row>
    <row r="189" spans="1:43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</row>
    <row r="190" spans="1:43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</row>
    <row r="191" spans="1:43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</row>
    <row r="192" spans="1:43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</row>
    <row r="193" spans="1:43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</row>
    <row r="194" spans="1:43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</row>
    <row r="195" spans="1:43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</row>
    <row r="196" spans="1:43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</row>
    <row r="197" spans="1:43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</row>
    <row r="198" spans="1:43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</row>
    <row r="199" spans="1:43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</row>
    <row r="200" spans="1:43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</row>
    <row r="201" spans="1:43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</row>
    <row r="202" spans="1:43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</row>
    <row r="203" spans="1:43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</row>
    <row r="204" spans="1:43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</row>
    <row r="205" spans="1:43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</row>
    <row r="206" spans="1:43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</row>
    <row r="207" spans="1:43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</row>
    <row r="208" spans="1:43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</row>
    <row r="209" spans="1:43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</row>
    <row r="210" spans="1:43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</row>
    <row r="211" spans="1:43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</row>
    <row r="212" spans="1:43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</row>
    <row r="213" spans="1:43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</row>
    <row r="214" spans="1:43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</row>
    <row r="215" spans="1:43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</row>
    <row r="216" spans="1:43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</row>
    <row r="217" spans="1:43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</row>
    <row r="218" spans="1:43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</row>
    <row r="219" spans="1:43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</row>
    <row r="220" spans="1:43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</row>
    <row r="221" spans="1:43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</row>
    <row r="222" spans="1:43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</row>
    <row r="223" spans="1:43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</row>
    <row r="224" spans="1:43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</row>
    <row r="225" spans="1:43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</row>
    <row r="226" spans="1:43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</row>
    <row r="227" spans="1:43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</row>
    <row r="228" spans="1:43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</row>
    <row r="229" spans="1:43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</row>
    <row r="230" spans="1:43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</row>
    <row r="231" spans="1:43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</row>
    <row r="232" spans="1:43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</row>
    <row r="233" spans="1:43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</row>
    <row r="234" spans="1:43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</row>
    <row r="235" spans="1:43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</row>
    <row r="236" spans="1:43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</row>
    <row r="237" spans="1:43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</row>
    <row r="238" spans="1:43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</row>
    <row r="239" spans="1:43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</row>
    <row r="240" spans="1:43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</row>
    <row r="241" spans="1:43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</row>
    <row r="242" spans="1:43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</row>
    <row r="243" spans="1:43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</row>
    <row r="244" spans="1:43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</row>
    <row r="245" spans="1:43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</row>
    <row r="246" spans="1:43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</row>
    <row r="247" spans="1:43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</row>
    <row r="248" spans="1:43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</row>
    <row r="249" spans="1:43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</row>
    <row r="250" spans="1:43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</row>
    <row r="251" spans="1:43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</row>
    <row r="252" spans="1:43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</row>
    <row r="253" spans="1:43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</row>
    <row r="254" spans="1:43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</row>
    <row r="255" spans="1:43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</row>
    <row r="256" spans="1:43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</row>
    <row r="257" spans="1:43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</row>
    <row r="258" spans="1:43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</row>
    <row r="259" spans="1:43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</row>
    <row r="260" spans="1:43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</row>
    <row r="261" spans="1:43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</row>
    <row r="262" spans="1:43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</row>
    <row r="263" spans="1:43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</row>
    <row r="264" spans="1:43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</row>
    <row r="265" spans="1:43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</row>
    <row r="266" spans="1:43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</row>
    <row r="267" spans="1:43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</row>
    <row r="268" spans="1:43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</row>
    <row r="269" spans="1:43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</row>
    <row r="270" spans="1:43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</row>
    <row r="271" spans="1:43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</row>
    <row r="272" spans="1:43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</row>
    <row r="273" spans="1:43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</row>
    <row r="274" spans="1:43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</row>
    <row r="275" spans="1:43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</row>
    <row r="276" spans="1:43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</row>
    <row r="277" spans="1:43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</row>
    <row r="278" spans="1:43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</row>
    <row r="279" spans="1:43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</row>
    <row r="280" spans="1:43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</row>
    <row r="281" spans="1:43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</row>
    <row r="282" spans="1:43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</row>
    <row r="283" spans="1:43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</row>
    <row r="284" spans="1:43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</row>
    <row r="285" spans="1:43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</row>
    <row r="286" spans="1:43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</row>
    <row r="287" spans="1:43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</row>
    <row r="288" spans="1:43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</row>
    <row r="289" spans="1:43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</row>
    <row r="290" spans="1:43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</row>
    <row r="291" spans="1:43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</row>
    <row r="292" spans="1:43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</row>
    <row r="293" spans="1:43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</row>
    <row r="294" spans="1:43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</row>
    <row r="295" spans="1:43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</row>
    <row r="296" spans="1:43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</row>
    <row r="297" spans="1:43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</row>
    <row r="298" spans="1:43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</row>
    <row r="299" spans="1:43" x14ac:dyDescent="0.2">
      <c r="A299" s="760"/>
      <c r="B299" s="760"/>
      <c r="C299" s="912" t="s">
        <v>232</v>
      </c>
      <c r="D299" s="814"/>
      <c r="E299" s="814"/>
      <c r="F299" s="919" t="s">
        <v>244</v>
      </c>
      <c r="G299" s="760"/>
      <c r="H299" s="760"/>
      <c r="I299" s="760"/>
      <c r="J299" s="760"/>
      <c r="K299" s="760"/>
      <c r="L299" s="880"/>
      <c r="M299" s="880"/>
      <c r="N299" s="880"/>
      <c r="O299" s="760"/>
      <c r="P299" s="760"/>
      <c r="Q299" s="760"/>
      <c r="R299" s="760"/>
      <c r="S299" s="760"/>
      <c r="T299" s="880"/>
      <c r="U299" s="880"/>
      <c r="V299" s="88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</row>
    <row r="300" spans="1:43" x14ac:dyDescent="0.2">
      <c r="A300" s="815">
        <v>1</v>
      </c>
      <c r="B300" s="816" t="str">
        <f>IFERROR(INDEX(B$1:B$100,MATCH(A300,A$1:A$100,0)),"")</f>
        <v>Ivar Viljaste, Matti Vinni</v>
      </c>
      <c r="C300" s="755">
        <f>IF(16-A300&gt;0,16-A300,1)</f>
        <v>15</v>
      </c>
      <c r="D300" s="755"/>
      <c r="E300" s="755"/>
      <c r="F300" s="832">
        <v>4</v>
      </c>
      <c r="G300" s="760"/>
      <c r="H300" s="760"/>
      <c r="I300" s="760"/>
      <c r="J300" s="760"/>
      <c r="K300" s="880"/>
      <c r="L300" s="880"/>
      <c r="M300" s="880"/>
      <c r="N300" s="880"/>
      <c r="O300" s="880"/>
      <c r="P300" s="880"/>
      <c r="Q300" s="880"/>
      <c r="R300" s="880"/>
      <c r="S300" s="880"/>
      <c r="T300" s="880"/>
      <c r="U300" s="880"/>
      <c r="V300" s="88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</row>
    <row r="301" spans="1:43" x14ac:dyDescent="0.2">
      <c r="A301" s="815">
        <v>2</v>
      </c>
      <c r="B301" s="816" t="str">
        <f t="shared" ref="B301:B307" si="9">IFERROR(INDEX(B$1:B$100,MATCH(A301,A$1:A$100,0)),"")</f>
        <v>Jaan Sepp, Oskar Sepp</v>
      </c>
      <c r="C301" s="755">
        <f t="shared" ref="C301:C306" si="10">IF(16-A301&gt;0,16-A301,1)</f>
        <v>14</v>
      </c>
      <c r="D301" s="817"/>
      <c r="E301" s="817"/>
      <c r="F301" s="832">
        <v>4</v>
      </c>
      <c r="G301" s="760"/>
      <c r="H301" s="760"/>
      <c r="I301" s="760"/>
      <c r="J301" s="760"/>
      <c r="K301" s="880"/>
      <c r="L301" s="880"/>
      <c r="M301" s="880"/>
      <c r="N301" s="880"/>
      <c r="O301" s="880"/>
      <c r="P301" s="880"/>
      <c r="Q301" s="880"/>
      <c r="R301" s="880"/>
      <c r="S301" s="880"/>
      <c r="T301" s="880"/>
      <c r="U301" s="880"/>
      <c r="V301" s="880"/>
      <c r="W301" s="880"/>
      <c r="X301" s="760"/>
      <c r="Y301" s="760"/>
      <c r="Z301" s="760"/>
      <c r="AA301" s="942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</row>
    <row r="302" spans="1:43" x14ac:dyDescent="0.2">
      <c r="A302" s="815">
        <v>3</v>
      </c>
      <c r="B302" s="816" t="str">
        <f t="shared" si="9"/>
        <v>Elmo Lageda, Tõnu Piik</v>
      </c>
      <c r="C302" s="755">
        <f t="shared" si="10"/>
        <v>13</v>
      </c>
      <c r="D302" s="817"/>
      <c r="E302" s="817"/>
      <c r="F302" s="832">
        <v>4</v>
      </c>
      <c r="G302" s="760"/>
      <c r="H302" s="760"/>
      <c r="I302" s="760"/>
      <c r="J302" s="760"/>
      <c r="K302" s="880"/>
      <c r="L302" s="880"/>
      <c r="M302" s="880"/>
      <c r="N302" s="880"/>
      <c r="O302" s="880"/>
      <c r="P302" s="880"/>
      <c r="Q302" s="880"/>
      <c r="R302" s="880"/>
      <c r="S302" s="880"/>
      <c r="T302" s="880"/>
      <c r="U302" s="880"/>
      <c r="V302" s="88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</row>
    <row r="303" spans="1:43" x14ac:dyDescent="0.2">
      <c r="A303" s="815">
        <v>4</v>
      </c>
      <c r="B303" s="816" t="str">
        <f t="shared" si="9"/>
        <v>Ljudmila Varendi, Viktor Švarõgin</v>
      </c>
      <c r="C303" s="755">
        <f t="shared" si="10"/>
        <v>12</v>
      </c>
      <c r="D303" s="817"/>
      <c r="E303" s="817"/>
      <c r="F303" s="832">
        <v>3</v>
      </c>
      <c r="G303" s="760"/>
      <c r="H303" s="760"/>
      <c r="I303" s="760"/>
      <c r="J303" s="760"/>
      <c r="K303" s="880"/>
      <c r="L303" s="880"/>
      <c r="M303" s="880"/>
      <c r="N303" s="880"/>
      <c r="O303" s="880"/>
      <c r="P303" s="880"/>
      <c r="Q303" s="880"/>
      <c r="R303" s="880"/>
      <c r="S303" s="880"/>
      <c r="T303" s="880"/>
      <c r="U303" s="880"/>
      <c r="V303" s="88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</row>
    <row r="304" spans="1:43" x14ac:dyDescent="0.2">
      <c r="A304" s="815">
        <v>5</v>
      </c>
      <c r="B304" s="816" t="str">
        <f t="shared" si="9"/>
        <v>Karla Purgats, Lemmit Toomra</v>
      </c>
      <c r="C304" s="755">
        <v>10.5</v>
      </c>
      <c r="D304" s="817"/>
      <c r="E304" s="817"/>
      <c r="F304" s="832">
        <v>3</v>
      </c>
      <c r="G304" s="760"/>
      <c r="H304" s="760"/>
      <c r="I304" s="760"/>
      <c r="J304" s="760"/>
      <c r="K304" s="880"/>
      <c r="L304" s="880"/>
      <c r="M304" s="880"/>
      <c r="N304" s="880"/>
      <c r="O304" s="880"/>
      <c r="P304" s="880"/>
      <c r="Q304" s="880"/>
      <c r="R304" s="880"/>
      <c r="S304" s="880"/>
      <c r="T304" s="880"/>
      <c r="U304" s="880"/>
      <c r="V304" s="88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</row>
    <row r="305" spans="1:43" x14ac:dyDescent="0.2">
      <c r="A305" s="815">
        <v>5</v>
      </c>
      <c r="B305" s="816" t="str">
        <f>B13</f>
        <v>Meelis Luud, Urmas Jõeäär</v>
      </c>
      <c r="C305" s="755">
        <v>10.5</v>
      </c>
      <c r="D305" s="817"/>
      <c r="E305" s="817"/>
      <c r="F305" s="832">
        <v>3</v>
      </c>
      <c r="G305" s="760"/>
      <c r="H305" s="760"/>
      <c r="I305" s="760"/>
      <c r="J305" s="760"/>
      <c r="K305" s="880"/>
      <c r="L305" s="880"/>
      <c r="M305" s="880"/>
      <c r="N305" s="880"/>
      <c r="O305" s="880"/>
      <c r="P305" s="880"/>
      <c r="Q305" s="880"/>
      <c r="R305" s="880"/>
      <c r="S305" s="880"/>
      <c r="T305" s="880"/>
      <c r="U305" s="880"/>
      <c r="V305" s="88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</row>
    <row r="306" spans="1:43" x14ac:dyDescent="0.2">
      <c r="A306" s="815">
        <v>7</v>
      </c>
      <c r="B306" s="816" t="str">
        <f t="shared" si="9"/>
        <v>Tõnu Kapper, Vladimir Ogneštšikov</v>
      </c>
      <c r="C306" s="755">
        <f t="shared" si="10"/>
        <v>9</v>
      </c>
      <c r="D306" s="817"/>
      <c r="E306" s="817"/>
      <c r="F306" s="832">
        <v>3</v>
      </c>
      <c r="G306" s="760"/>
      <c r="H306" s="760"/>
      <c r="I306" s="760"/>
      <c r="J306" s="760"/>
      <c r="K306" s="880"/>
      <c r="L306" s="880"/>
      <c r="M306" s="880"/>
      <c r="N306" s="880"/>
      <c r="O306" s="880"/>
      <c r="P306" s="880"/>
      <c r="Q306" s="880"/>
      <c r="R306" s="880"/>
      <c r="S306" s="880"/>
      <c r="T306" s="880"/>
      <c r="U306" s="880"/>
      <c r="V306" s="880"/>
      <c r="W306" s="880"/>
      <c r="X306" s="760"/>
      <c r="Y306" s="760"/>
      <c r="Z306" s="760"/>
      <c r="AA306" s="942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</row>
    <row r="307" spans="1:43" x14ac:dyDescent="0.2">
      <c r="A307" s="815">
        <v>8</v>
      </c>
      <c r="B307" s="816" t="str">
        <f t="shared" si="9"/>
        <v>Aigi Orro, Klavdia Piik</v>
      </c>
      <c r="C307" s="755">
        <v>7.5</v>
      </c>
      <c r="D307" s="817"/>
      <c r="E307" s="817"/>
      <c r="F307" s="832">
        <v>2</v>
      </c>
      <c r="G307" s="760"/>
      <c r="H307" s="760"/>
      <c r="I307" s="760"/>
      <c r="J307" s="760"/>
      <c r="K307" s="880"/>
      <c r="L307" s="880"/>
      <c r="M307" s="880"/>
      <c r="N307" s="880"/>
      <c r="O307" s="880"/>
      <c r="P307" s="880"/>
      <c r="Q307" s="880"/>
      <c r="R307" s="880"/>
      <c r="S307" s="880"/>
      <c r="T307" s="880"/>
      <c r="U307" s="880"/>
      <c r="V307" s="88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</row>
    <row r="308" spans="1:43" x14ac:dyDescent="0.2">
      <c r="A308" s="815">
        <v>8</v>
      </c>
      <c r="B308" s="816" t="str">
        <f>B16</f>
        <v>Oksana Rõndenkova, Oleg Rõndenkov</v>
      </c>
      <c r="C308" s="755">
        <v>7.5</v>
      </c>
      <c r="D308" s="817"/>
      <c r="E308" s="817"/>
      <c r="F308" s="832">
        <v>2</v>
      </c>
      <c r="G308" s="760"/>
      <c r="H308" s="760"/>
      <c r="I308" s="760"/>
      <c r="J308" s="760"/>
      <c r="K308" s="880"/>
      <c r="L308" s="880"/>
      <c r="M308" s="880"/>
      <c r="N308" s="880"/>
      <c r="O308" s="880"/>
      <c r="P308" s="880"/>
      <c r="Q308" s="880"/>
      <c r="R308" s="880"/>
      <c r="S308" s="880"/>
      <c r="T308" s="880"/>
      <c r="U308" s="880"/>
      <c r="V308" s="88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</row>
    <row r="309" spans="1:43" x14ac:dyDescent="0.2">
      <c r="A309" s="815">
        <v>10</v>
      </c>
      <c r="B309" s="816" t="str">
        <f t="shared" ref="B309:B312" si="11">IFERROR(INDEX(B$1:B$100,MATCH(A309,A$1:A$100,0)),"")</f>
        <v>Boriss Klubov, Mait Metsla</v>
      </c>
      <c r="C309" s="755">
        <v>5.5</v>
      </c>
      <c r="D309" s="817"/>
      <c r="E309" s="817"/>
      <c r="F309" s="832">
        <v>2</v>
      </c>
      <c r="G309" s="760"/>
      <c r="H309" s="760"/>
      <c r="I309" s="760"/>
      <c r="J309" s="760"/>
      <c r="K309" s="880"/>
      <c r="L309" s="880"/>
      <c r="M309" s="880"/>
      <c r="N309" s="880"/>
      <c r="O309" s="880"/>
      <c r="P309" s="880"/>
      <c r="Q309" s="880"/>
      <c r="R309" s="880"/>
      <c r="S309" s="880"/>
      <c r="T309" s="880"/>
      <c r="U309" s="880"/>
      <c r="V309" s="88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</row>
    <row r="310" spans="1:43" x14ac:dyDescent="0.2">
      <c r="A310" s="815">
        <v>10</v>
      </c>
      <c r="B310" s="816" t="str">
        <f>B18</f>
        <v>Illar Tõnurist, Jaan Saar</v>
      </c>
      <c r="C310" s="755">
        <v>5.5</v>
      </c>
      <c r="D310" s="760"/>
      <c r="E310" s="760"/>
      <c r="F310" s="832">
        <v>2</v>
      </c>
      <c r="G310" s="760"/>
      <c r="H310" s="760"/>
      <c r="I310" s="760"/>
      <c r="J310" s="760"/>
      <c r="K310" s="880"/>
      <c r="L310" s="880"/>
      <c r="M310" s="880"/>
      <c r="N310" s="880"/>
      <c r="O310" s="880"/>
      <c r="P310" s="880"/>
      <c r="Q310" s="880"/>
      <c r="R310" s="880"/>
      <c r="S310" s="880"/>
      <c r="T310" s="880"/>
      <c r="U310" s="880"/>
      <c r="V310" s="943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</row>
    <row r="311" spans="1:43" x14ac:dyDescent="0.2">
      <c r="A311" s="815">
        <v>12</v>
      </c>
      <c r="B311" s="816" t="str">
        <f t="shared" si="11"/>
        <v>Andres Veski, Svetlana Veski</v>
      </c>
      <c r="C311" s="755">
        <f t="shared" ref="C311:C312" si="12">IF(16-A311&gt;0,16-A311,1)</f>
        <v>4</v>
      </c>
      <c r="D311" s="760"/>
      <c r="E311" s="760"/>
      <c r="F311" s="832">
        <v>2</v>
      </c>
      <c r="G311" s="760"/>
      <c r="H311" s="760"/>
      <c r="I311" s="760"/>
      <c r="J311" s="760"/>
      <c r="K311" s="760"/>
      <c r="L311" s="880"/>
      <c r="M311" s="880"/>
      <c r="N311" s="880"/>
      <c r="O311" s="760"/>
      <c r="P311" s="760"/>
      <c r="Q311" s="760"/>
      <c r="R311" s="760"/>
      <c r="S311" s="760"/>
      <c r="T311" s="880"/>
      <c r="U311" s="880"/>
      <c r="V311" s="943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</row>
    <row r="312" spans="1:43" x14ac:dyDescent="0.2">
      <c r="A312" s="815">
        <v>13</v>
      </c>
      <c r="B312" s="816" t="str">
        <f t="shared" si="11"/>
        <v>Enn Tokman, Tarmo Bombe</v>
      </c>
      <c r="C312" s="755">
        <f t="shared" si="12"/>
        <v>3</v>
      </c>
      <c r="D312" s="760"/>
      <c r="E312" s="760"/>
      <c r="F312" s="832">
        <v>1</v>
      </c>
      <c r="G312" s="760"/>
      <c r="H312" s="760"/>
      <c r="I312" s="760"/>
      <c r="J312" s="760"/>
      <c r="K312" s="760"/>
      <c r="L312" s="880"/>
      <c r="M312" s="880"/>
      <c r="N312" s="880"/>
      <c r="O312" s="760"/>
      <c r="P312" s="760"/>
      <c r="Q312" s="760"/>
      <c r="R312" s="760"/>
      <c r="S312" s="760"/>
      <c r="T312" s="880"/>
      <c r="U312" s="880"/>
      <c r="V312" s="943"/>
      <c r="W312" s="88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  <c r="AJ312" s="760"/>
      <c r="AK312" s="760"/>
      <c r="AL312" s="760"/>
      <c r="AM312" s="760"/>
      <c r="AN312" s="760"/>
      <c r="AO312" s="760"/>
      <c r="AP312" s="760"/>
      <c r="AQ312" s="760"/>
    </row>
    <row r="313" spans="1:43" x14ac:dyDescent="0.2">
      <c r="A313" s="760"/>
      <c r="B313" s="760"/>
      <c r="C313" s="760"/>
      <c r="D313" s="760"/>
      <c r="E313" s="760"/>
      <c r="F313" s="760"/>
      <c r="G313" s="760"/>
      <c r="H313" s="760"/>
      <c r="I313" s="760"/>
      <c r="J313" s="760"/>
      <c r="K313" s="760"/>
      <c r="L313" s="880"/>
      <c r="M313" s="880"/>
      <c r="N313" s="880"/>
      <c r="O313" s="885"/>
      <c r="P313" s="760"/>
      <c r="Q313" s="760"/>
      <c r="R313" s="760"/>
      <c r="S313" s="760"/>
      <c r="T313" s="880"/>
      <c r="U313" s="880"/>
      <c r="V313" s="880"/>
      <c r="W313" s="88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  <c r="AJ313" s="760"/>
      <c r="AK313" s="760"/>
      <c r="AL313" s="760"/>
      <c r="AM313" s="760"/>
      <c r="AN313" s="760"/>
      <c r="AO313" s="760"/>
      <c r="AP313" s="760"/>
      <c r="AQ313" s="760"/>
    </row>
  </sheetData>
  <conditionalFormatting sqref="C8:C20 G8:G20 K8:K20 O8:O20 S8:S20 W8:W20">
    <cfRule type="expression" dxfId="2723" priority="1">
      <formula>AND(C8=0,E8=13)</formula>
    </cfRule>
  </conditionalFormatting>
  <conditionalFormatting sqref="A300:A312">
    <cfRule type="duplicateValues" dxfId="2722" priority="48"/>
  </conditionalFormatting>
  <conditionalFormatting sqref="B300:B312">
    <cfRule type="expression" dxfId="2721" priority="40">
      <formula>A300=3</formula>
    </cfRule>
    <cfRule type="expression" dxfId="2720" priority="41">
      <formula>A300=2</formula>
    </cfRule>
    <cfRule type="expression" dxfId="2719" priority="42">
      <formula>A300=1</formula>
    </cfRule>
    <cfRule type="containsBlanks" dxfId="2718" priority="43">
      <formula>LEN(TRIM(B300))=0</formula>
    </cfRule>
    <cfRule type="duplicateValues" dxfId="2717" priority="44"/>
  </conditionalFormatting>
  <conditionalFormatting sqref="A8:A20">
    <cfRule type="duplicateValues" dxfId="2716" priority="39"/>
  </conditionalFormatting>
  <conditionalFormatting sqref="C8:C20">
    <cfRule type="expression" dxfId="2715" priority="21">
      <formula>IF($C8&gt;$E8,TRUE)</formula>
    </cfRule>
  </conditionalFormatting>
  <conditionalFormatting sqref="E8:E20">
    <cfRule type="expression" dxfId="2714" priority="22">
      <formula>IF($C8&lt;$E8,TRUE)</formula>
    </cfRule>
  </conditionalFormatting>
  <conditionalFormatting sqref="K8:K20">
    <cfRule type="expression" dxfId="2713" priority="29">
      <formula>IF($K8&gt;$M8,TRUE)</formula>
    </cfRule>
  </conditionalFormatting>
  <conditionalFormatting sqref="M8:M20">
    <cfRule type="expression" dxfId="2712" priority="30">
      <formula>IF($K8&lt;$M8,TRUE)</formula>
    </cfRule>
  </conditionalFormatting>
  <conditionalFormatting sqref="O8:O20">
    <cfRule type="expression" dxfId="2711" priority="33">
      <formula>IF($O8&gt;$Q8,TRUE)</formula>
    </cfRule>
  </conditionalFormatting>
  <conditionalFormatting sqref="Q8:Q20">
    <cfRule type="expression" dxfId="2710" priority="34">
      <formula>IF($O8&lt;$Q8,TRUE)</formula>
    </cfRule>
  </conditionalFormatting>
  <conditionalFormatting sqref="S8:S20">
    <cfRule type="expression" dxfId="2709" priority="37">
      <formula>IF($S8&gt;$U8,TRUE)</formula>
    </cfRule>
  </conditionalFormatting>
  <conditionalFormatting sqref="U8:U20">
    <cfRule type="expression" dxfId="2708" priority="38">
      <formula>IF($S8&lt;$U8,TRUE)</formula>
    </cfRule>
  </conditionalFormatting>
  <conditionalFormatting sqref="G8:G20">
    <cfRule type="expression" dxfId="2707" priority="25">
      <formula>IF($G8&gt;$I8,TRUE)</formula>
    </cfRule>
  </conditionalFormatting>
  <conditionalFormatting sqref="I8:I20">
    <cfRule type="expression" dxfId="2706" priority="26">
      <formula>IF($G8&lt;$I8,TRUE)</formula>
    </cfRule>
  </conditionalFormatting>
  <conditionalFormatting sqref="F8:F20">
    <cfRule type="containsText" dxfId="2705" priority="7" operator="containsText" text="vaba voor">
      <formula>NOT(ISERROR(SEARCH("vaba voor",F8)))</formula>
    </cfRule>
  </conditionalFormatting>
  <conditionalFormatting sqref="N8:N20">
    <cfRule type="containsText" dxfId="2704" priority="5" operator="containsText" text="vaba voor">
      <formula>NOT(ISERROR(SEARCH("vaba voor",N8)))</formula>
    </cfRule>
  </conditionalFormatting>
  <conditionalFormatting sqref="R8:R20">
    <cfRule type="containsText" dxfId="2703" priority="8" operator="containsText" text="vaba voor">
      <formula>NOT(ISERROR(SEARCH("vaba voor",R8)))</formula>
    </cfRule>
  </conditionalFormatting>
  <conditionalFormatting sqref="V8:V20">
    <cfRule type="containsText" dxfId="2702" priority="4" operator="containsText" text="vaba voor">
      <formula>NOT(ISERROR(SEARCH("vaba voor",V8)))</formula>
    </cfRule>
  </conditionalFormatting>
  <conditionalFormatting sqref="Z8:Z20">
    <cfRule type="containsText" dxfId="2701" priority="3" operator="containsText" text="vaba voor">
      <formula>NOT(ISERROR(SEARCH("vaba voor",Z8)))</formula>
    </cfRule>
  </conditionalFormatting>
  <conditionalFormatting sqref="W8:W20">
    <cfRule type="expression" dxfId="2700" priority="12">
      <formula>IF($W8&gt;$Y8,TRUE)</formula>
    </cfRule>
  </conditionalFormatting>
  <conditionalFormatting sqref="Y8:Y20">
    <cfRule type="expression" dxfId="2699" priority="13">
      <formula>IF($W8&lt;$Y8,TRUE)</formula>
    </cfRule>
  </conditionalFormatting>
  <conditionalFormatting sqref="J8:J20">
    <cfRule type="containsText" dxfId="2698" priority="6" operator="containsText" text="vaba voor">
      <formula>NOT(ISERROR(SEARCH("vaba voor",J8)))</formula>
    </cfRule>
  </conditionalFormatting>
  <conditionalFormatting sqref="C8:F20">
    <cfRule type="expression" dxfId="2697" priority="17">
      <formula>IF(AND(ISNUMBER($C8),$C8=$E8),TRUE)</formula>
    </cfRule>
    <cfRule type="expression" dxfId="2696" priority="19">
      <formula>IF($C8&gt;$E8,TRUE)</formula>
    </cfRule>
    <cfRule type="expression" dxfId="2695" priority="20">
      <formula>IF($C8&lt;$E8,TRUE)</formula>
    </cfRule>
  </conditionalFormatting>
  <conditionalFormatting sqref="G8:J20">
    <cfRule type="expression" dxfId="2694" priority="18">
      <formula>IF(AND(ISNUMBER($G8),$G8=$I8),TRUE)</formula>
    </cfRule>
    <cfRule type="expression" dxfId="2693" priority="23">
      <formula>IF($G8&gt;$I8,TRUE)</formula>
    </cfRule>
    <cfRule type="expression" dxfId="2692" priority="24">
      <formula>IF($G8&lt;$I8,TRUE)</formula>
    </cfRule>
  </conditionalFormatting>
  <conditionalFormatting sqref="K8:N20">
    <cfRule type="expression" dxfId="2691" priority="16">
      <formula>IF(AND(ISNUMBER($K8),$K8=$M8),TRUE)</formula>
    </cfRule>
    <cfRule type="expression" dxfId="2690" priority="27">
      <formula>IF($K8&gt;$M8,TRUE)</formula>
    </cfRule>
    <cfRule type="expression" dxfId="2689" priority="28">
      <formula>IF($K8&lt;$M8,TRUE)</formula>
    </cfRule>
  </conditionalFormatting>
  <conditionalFormatting sqref="O8:R20">
    <cfRule type="expression" dxfId="2688" priority="15">
      <formula>IF(AND(ISNUMBER($O8),$O8=$Q8),TRUE)</formula>
    </cfRule>
    <cfRule type="expression" dxfId="2687" priority="31">
      <formula>IF($O8&gt;$Q8,TRUE)</formula>
    </cfRule>
    <cfRule type="expression" dxfId="2686" priority="32">
      <formula>IF($O8&lt;$Q8,TRUE)</formula>
    </cfRule>
  </conditionalFormatting>
  <conditionalFormatting sqref="S8:V20">
    <cfRule type="expression" dxfId="2685" priority="14">
      <formula>IF(AND(ISNUMBER($S8),$S8=$U8),TRUE)</formula>
    </cfRule>
    <cfRule type="expression" dxfId="2684" priority="35">
      <formula>IF($S8&gt;$U8,TRUE)</formula>
    </cfRule>
    <cfRule type="expression" dxfId="2683" priority="36">
      <formula>IF($S8&lt;$U8,TRUE)</formula>
    </cfRule>
  </conditionalFormatting>
  <conditionalFormatting sqref="W8:Z20">
    <cfRule type="expression" dxfId="2682" priority="9">
      <formula>IF(AND(ISNUMBER($W8),$W8=$Y8),TRUE)</formula>
    </cfRule>
    <cfRule type="expression" dxfId="2681" priority="10">
      <formula>IF($W8&gt;$Y8,TRUE)</formula>
    </cfRule>
    <cfRule type="expression" dxfId="2680" priority="11">
      <formula>IF($W8&lt;$Y8,TRUE)</formula>
    </cfRule>
  </conditionalFormatting>
  <conditionalFormatting sqref="E8:E20 I8:I20 M8:M20 Q8:Q20 U8:U20 Y8:Y20">
    <cfRule type="expression" dxfId="2679" priority="2">
      <formula>AND(E8=0,C8=13)</formula>
    </cfRule>
  </conditionalFormatting>
  <conditionalFormatting sqref="AJ8:AJ20 AN8:AN20 AP8:AP20">
    <cfRule type="expression" dxfId="2678" priority="282">
      <formula>AND(AI8="",COUNTIF(AJ8,"*,*")=0)</formula>
    </cfRule>
  </conditionalFormatting>
  <conditionalFormatting sqref="AL8:AL20">
    <cfRule type="expression" dxfId="2677" priority="283">
      <formula>AND(AK8="",FIND(",",AL8))</formula>
    </cfRule>
    <cfRule type="expression" dxfId="2676" priority="284">
      <formula>AND(AK8="",COUNTIF(AL8,"*,*")=0)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66"/>
    <pageSetUpPr fitToPage="1"/>
  </sheetPr>
  <dimension ref="A1:R306"/>
  <sheetViews>
    <sheetView showGridLines="0" showRowColHeaders="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23.8554687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6" style="1" hidden="1" customWidth="1"/>
    <col min="14" max="16384" width="9.140625" style="1"/>
  </cols>
  <sheetData>
    <row r="1" spans="1:18" x14ac:dyDescent="0.2">
      <c r="A1" s="753" t="str">
        <f>UPPER((Kalend!E24)&amp;" - "&amp;(Kalend!C24)&amp;" - "&amp;(Kalend!D24))</f>
        <v>V-N1 - NOORTE UUSAASTATURNIIR - ÜKSIK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J1" s="758"/>
      <c r="K1" s="755"/>
      <c r="L1" s="755"/>
      <c r="M1" s="758"/>
      <c r="N1" s="755"/>
      <c r="O1" s="755"/>
      <c r="P1" s="755"/>
      <c r="Q1" s="755"/>
      <c r="R1" s="755"/>
    </row>
    <row r="2" spans="1:18" x14ac:dyDescent="0.2">
      <c r="A2" s="757" t="str">
        <f>"Toimumisaeg: "&amp;(Kalend!A24)&amp;" kell "&amp;(Kalend!B24)</f>
        <v xml:space="preserve">Toimumisaeg: T, 01.01.2019 kell 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</row>
    <row r="3" spans="1:18" x14ac:dyDescent="0.2">
      <c r="A3" s="757" t="str">
        <f>"Toimumiskoht: "&amp;(Kalend!F24)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</row>
    <row r="4" spans="1:18" x14ac:dyDescent="0.2">
      <c r="A4" s="757" t="str">
        <f>"Korraldaja: "&amp;(Kalend!G24)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9" t="s">
        <v>357</v>
      </c>
      <c r="K4" s="757"/>
      <c r="L4" s="757"/>
      <c r="M4" s="757"/>
      <c r="N4" s="757"/>
      <c r="O4" s="757"/>
      <c r="P4" s="757"/>
      <c r="Q4" s="757"/>
      <c r="R4" s="757"/>
    </row>
    <row r="5" spans="1:18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O5" s="760"/>
      <c r="P5" s="760"/>
      <c r="Q5" s="757"/>
      <c r="R5" s="760"/>
    </row>
    <row r="6" spans="1:18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P6" s="771"/>
      <c r="Q6" s="212"/>
      <c r="R6" s="212"/>
    </row>
    <row r="7" spans="1:18" x14ac:dyDescent="0.2">
      <c r="A7" s="765">
        <v>1</v>
      </c>
      <c r="B7" s="775" t="s">
        <v>483</v>
      </c>
      <c r="C7" s="776"/>
      <c r="D7" s="926">
        <v>11</v>
      </c>
      <c r="E7" s="778">
        <v>7</v>
      </c>
      <c r="F7" s="778">
        <v>6</v>
      </c>
      <c r="G7" s="778"/>
      <c r="H7" s="796" t="str">
        <f>(IF(D7-C8&gt;0,1)+IF(E7-C9&gt;0,1)+IF(F7-C10&gt;0,1)+IF(G7-C11&gt;0,1))&amp;"-"&amp;(IF(D7-C8&lt;0,1)+IF(E7-C9&lt;0,1)+IF(F7-C10&lt;0,1)+IF(G7-C11&lt;0,1))</f>
        <v>0-3</v>
      </c>
      <c r="I7" s="778" t="str">
        <f>IF(AND(B7&lt;&gt;"",M$6=TRUE),A$6&amp;RANK(M7,M$7:M$11,0),"")</f>
        <v>4</v>
      </c>
      <c r="J7" s="821">
        <f>VALUE(LEFT(H7,1))</f>
        <v>0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0</v>
      </c>
      <c r="N7" s="212"/>
      <c r="P7" s="770"/>
      <c r="Q7" s="212"/>
      <c r="R7" s="212"/>
    </row>
    <row r="8" spans="1:18" x14ac:dyDescent="0.2">
      <c r="A8" s="765">
        <v>2</v>
      </c>
      <c r="B8" s="775" t="s">
        <v>300</v>
      </c>
      <c r="C8" s="778">
        <v>13</v>
      </c>
      <c r="D8" s="776"/>
      <c r="E8" s="778">
        <v>8</v>
      </c>
      <c r="F8" s="778">
        <v>13</v>
      </c>
      <c r="G8" s="778"/>
      <c r="H8" s="796" t="str">
        <f>(IF(C8-D7&gt;0,1)+IF(E8-D9&gt;0,1)+IF(F8-D10&gt;0,1)+IF(G8-D11&gt;0,1))&amp;"-"&amp;(IF(C8-D7&lt;0,1)+IF(E8-D9&lt;0,1)+IF(F8-D10&lt;0,1)+IF(G8-D11&lt;0,1))</f>
        <v>2-1</v>
      </c>
      <c r="I8" s="778" t="str">
        <f>IF(AND(B8&lt;&gt;"",M$6=TRUE),A$6&amp;RANK(M8,M$7:M$11,0),"")</f>
        <v>2</v>
      </c>
      <c r="J8" s="821">
        <f t="shared" ref="J8:J11" si="0">VALUE(LEFT(H8,1))</f>
        <v>2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1">10000*J8+K8*100+L8</f>
        <v>20000</v>
      </c>
      <c r="N8" s="212"/>
      <c r="P8" s="770"/>
      <c r="Q8" s="212"/>
      <c r="R8" s="212"/>
    </row>
    <row r="9" spans="1:18" x14ac:dyDescent="0.2">
      <c r="A9" s="765">
        <v>3</v>
      </c>
      <c r="B9" s="775" t="s">
        <v>298</v>
      </c>
      <c r="C9" s="778">
        <v>13</v>
      </c>
      <c r="D9" s="787">
        <v>13</v>
      </c>
      <c r="E9" s="776"/>
      <c r="F9" s="778">
        <v>13</v>
      </c>
      <c r="G9" s="778"/>
      <c r="H9" s="796" t="str">
        <f>(IF(C9-E7&gt;0,1)+IF(D9-E8&gt;0,1)+IF(F9-E10&gt;0,1)+IF(G9-E11&gt;0,1))&amp;"-"&amp;(IF(C9-E7&lt;0,1)+IF(D9-E8&lt;0,1)+IF(F9-E10&lt;0,1)+IF(G9-E11&lt;0,1))</f>
        <v>3-0</v>
      </c>
      <c r="I9" s="778" t="str">
        <f>IF(AND(B9&lt;&gt;"",M$6=TRUE),A$6&amp;RANK(M9,M$7:M$11,0),"")</f>
        <v>1</v>
      </c>
      <c r="J9" s="821">
        <f t="shared" si="0"/>
        <v>3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1"/>
        <v>30000</v>
      </c>
      <c r="N9" s="212"/>
      <c r="P9" s="771"/>
      <c r="Q9" s="212"/>
      <c r="R9" s="212"/>
    </row>
    <row r="10" spans="1:18" x14ac:dyDescent="0.2">
      <c r="A10" s="765">
        <v>4</v>
      </c>
      <c r="B10" s="775" t="s">
        <v>308</v>
      </c>
      <c r="C10" s="778">
        <v>13</v>
      </c>
      <c r="D10" s="787">
        <v>5</v>
      </c>
      <c r="E10" s="778">
        <v>6</v>
      </c>
      <c r="F10" s="776"/>
      <c r="G10" s="778"/>
      <c r="H10" s="796" t="str">
        <f>(IF(C10-F7&gt;0,1)+IF(D10-F8&gt;0,1)+IF(E10-F9&gt;0,1)+IF(G10-F11&gt;0,1))&amp;"-"&amp;(IF(C10-F7&lt;0,1)+IF(D10-F8&lt;0,1)+IF(E10-F9&lt;0,1)+IF(G10-F11&lt;0,1))</f>
        <v>1-2</v>
      </c>
      <c r="I10" s="778" t="str">
        <f>IF(AND(B10&lt;&gt;"",M$6=TRUE),A$6&amp;RANK(M10,M$7:M$11,0),"")</f>
        <v>3</v>
      </c>
      <c r="J10" s="821">
        <f t="shared" si="0"/>
        <v>1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1"/>
        <v>10000</v>
      </c>
      <c r="N10" s="212"/>
      <c r="P10" s="770"/>
      <c r="Q10" s="212"/>
      <c r="R10" s="212"/>
    </row>
    <row r="11" spans="1:18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0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1"/>
        <v>0</v>
      </c>
      <c r="P11" s="770"/>
      <c r="Q11" s="212"/>
      <c r="R11" s="212"/>
    </row>
    <row r="12" spans="1:18" x14ac:dyDescent="0.2">
      <c r="A12" s="770"/>
      <c r="B12" s="770"/>
      <c r="C12" s="770"/>
      <c r="D12" s="770"/>
      <c r="E12" s="770"/>
      <c r="F12" s="770"/>
      <c r="G12" s="770"/>
      <c r="H12" s="830"/>
      <c r="I12" s="831"/>
      <c r="J12" s="817"/>
      <c r="K12" s="832"/>
      <c r="L12" s="833"/>
      <c r="M12" s="817"/>
      <c r="O12" s="770"/>
      <c r="P12" s="770"/>
      <c r="Q12" s="757"/>
      <c r="R12" s="755"/>
    </row>
    <row r="13" spans="1:18" x14ac:dyDescent="0.2">
      <c r="A13" s="757"/>
      <c r="B13" s="799" t="s">
        <v>373</v>
      </c>
      <c r="C13" s="800" t="s">
        <v>387</v>
      </c>
      <c r="D13" s="800" t="s">
        <v>386</v>
      </c>
      <c r="E13" s="770"/>
      <c r="F13" s="770"/>
      <c r="G13" s="770"/>
      <c r="H13" s="770"/>
      <c r="I13" s="770"/>
      <c r="J13" s="770"/>
      <c r="K13" s="770"/>
      <c r="L13" s="770"/>
      <c r="M13" s="770"/>
      <c r="O13" s="770"/>
      <c r="P13" s="770"/>
      <c r="Q13" s="757"/>
      <c r="R13" s="757"/>
    </row>
    <row r="14" spans="1:18" x14ac:dyDescent="0.2">
      <c r="A14" s="757"/>
      <c r="B14" s="799" t="s">
        <v>376</v>
      </c>
      <c r="C14" s="800" t="s">
        <v>377</v>
      </c>
      <c r="D14" s="800" t="s">
        <v>375</v>
      </c>
      <c r="E14" s="770"/>
      <c r="F14" s="770"/>
      <c r="G14" s="770"/>
      <c r="H14" s="770"/>
      <c r="I14" s="770"/>
      <c r="J14" s="770"/>
      <c r="K14" s="770"/>
      <c r="L14" s="770"/>
      <c r="M14" s="770"/>
      <c r="O14" s="770"/>
      <c r="P14" s="770"/>
      <c r="Q14" s="757"/>
      <c r="R14" s="757"/>
    </row>
    <row r="15" spans="1:18" x14ac:dyDescent="0.2">
      <c r="A15" s="757"/>
      <c r="B15" s="799" t="s">
        <v>379</v>
      </c>
      <c r="C15" s="800" t="s">
        <v>408</v>
      </c>
      <c r="D15" s="800" t="s">
        <v>381</v>
      </c>
      <c r="E15" s="770"/>
      <c r="F15" s="770"/>
      <c r="G15" s="770"/>
      <c r="H15" s="770"/>
      <c r="I15" s="770"/>
      <c r="J15" s="770"/>
      <c r="K15" s="770"/>
      <c r="L15" s="770"/>
      <c r="M15" s="770"/>
      <c r="O15" s="770"/>
      <c r="P15" s="770"/>
      <c r="Q15" s="757"/>
      <c r="R15" s="757"/>
    </row>
    <row r="16" spans="1:18" hidden="1" x14ac:dyDescent="0.2">
      <c r="A16" s="757"/>
      <c r="B16" s="799"/>
      <c r="C16" s="800"/>
      <c r="D16" s="800"/>
      <c r="E16" s="770"/>
      <c r="F16" s="770"/>
      <c r="G16" s="770"/>
      <c r="H16" s="770"/>
      <c r="I16" s="770"/>
      <c r="J16" s="770"/>
      <c r="K16" s="770"/>
      <c r="L16" s="770"/>
      <c r="M16" s="770"/>
      <c r="N16" s="770"/>
      <c r="O16" s="770"/>
      <c r="P16" s="770"/>
      <c r="Q16" s="757"/>
      <c r="R16" s="757"/>
    </row>
    <row r="17" spans="1:18" hidden="1" x14ac:dyDescent="0.2">
      <c r="A17" s="212"/>
      <c r="B17" s="799"/>
      <c r="C17" s="800"/>
      <c r="D17" s="80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O17" s="770"/>
      <c r="P17" s="770"/>
      <c r="Q17" s="212"/>
      <c r="R17" s="757"/>
    </row>
    <row r="18" spans="1:18" hidden="1" x14ac:dyDescent="0.2">
      <c r="A18" s="770"/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O18" s="212"/>
      <c r="P18" s="770"/>
      <c r="Q18" s="212"/>
      <c r="R18" s="755"/>
    </row>
    <row r="19" spans="1:18" hidden="1" x14ac:dyDescent="0.2">
      <c r="A19" s="770"/>
      <c r="B19" s="770"/>
      <c r="C19" s="770"/>
      <c r="D19" s="770"/>
      <c r="E19" s="770"/>
      <c r="F19" s="770"/>
      <c r="G19" s="770"/>
      <c r="H19" s="212"/>
      <c r="I19" s="212"/>
      <c r="J19" s="212"/>
      <c r="K19" s="770"/>
      <c r="L19" s="770"/>
      <c r="M19" s="770"/>
      <c r="N19" s="770"/>
      <c r="O19" s="770"/>
      <c r="P19" s="770"/>
      <c r="Q19" s="212"/>
      <c r="R19" s="755"/>
    </row>
    <row r="20" spans="1:18" hidden="1" x14ac:dyDescent="0.2">
      <c r="A20" s="770"/>
      <c r="B20" s="770"/>
      <c r="C20" s="770"/>
      <c r="D20" s="770"/>
      <c r="E20" s="770"/>
      <c r="F20" s="770"/>
      <c r="G20" s="770"/>
      <c r="H20" s="212"/>
      <c r="I20" s="212"/>
      <c r="J20" s="212"/>
      <c r="K20" s="770"/>
      <c r="L20" s="770"/>
      <c r="M20" s="770"/>
      <c r="O20" s="770"/>
      <c r="P20" s="770"/>
      <c r="Q20" s="212"/>
      <c r="R20" s="757"/>
    </row>
    <row r="21" spans="1:18" hidden="1" x14ac:dyDescent="0.2">
      <c r="A21" s="770"/>
      <c r="B21" s="770"/>
      <c r="C21" s="770"/>
      <c r="D21" s="770"/>
      <c r="E21" s="770"/>
      <c r="F21" s="770"/>
      <c r="G21" s="770"/>
      <c r="H21" s="212"/>
      <c r="I21" s="212"/>
      <c r="J21" s="212"/>
      <c r="K21" s="770"/>
      <c r="L21" s="770"/>
      <c r="M21" s="770"/>
      <c r="N21" s="770"/>
      <c r="O21" s="770"/>
      <c r="P21" s="770"/>
      <c r="Q21" s="212"/>
      <c r="R21" s="757"/>
    </row>
    <row r="22" spans="1:18" hidden="1" x14ac:dyDescent="0.2">
      <c r="A22" s="770"/>
      <c r="B22" s="770"/>
      <c r="C22" s="770"/>
      <c r="D22" s="770"/>
      <c r="E22" s="770"/>
      <c r="F22" s="770"/>
      <c r="G22" s="770"/>
      <c r="H22" s="212"/>
      <c r="I22" s="212"/>
      <c r="J22" s="212"/>
      <c r="K22" s="770"/>
      <c r="L22" s="770"/>
      <c r="M22" s="770"/>
      <c r="N22" s="771"/>
      <c r="O22" s="770"/>
      <c r="P22" s="770"/>
      <c r="Q22" s="212"/>
      <c r="R22" s="757"/>
    </row>
    <row r="23" spans="1:18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770"/>
      <c r="L23" s="770"/>
      <c r="M23" s="770"/>
      <c r="O23" s="770"/>
      <c r="P23" s="770"/>
      <c r="Q23" s="212"/>
      <c r="R23" s="757"/>
    </row>
    <row r="24" spans="1:18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770"/>
      <c r="L24" s="770"/>
      <c r="M24" s="770"/>
      <c r="N24" s="770"/>
      <c r="O24" s="770"/>
      <c r="P24" s="770"/>
      <c r="Q24" s="212"/>
      <c r="R24" s="757"/>
    </row>
    <row r="25" spans="1:18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770"/>
      <c r="L25" s="770"/>
      <c r="M25" s="770"/>
      <c r="N25" s="801"/>
      <c r="O25" s="770"/>
      <c r="P25" s="770"/>
      <c r="Q25" s="212"/>
      <c r="R25" s="755"/>
    </row>
    <row r="26" spans="1:18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770"/>
      <c r="L26" s="770"/>
      <c r="M26" s="770"/>
      <c r="O26" s="770"/>
      <c r="P26" s="770"/>
      <c r="Q26" s="212"/>
      <c r="R26" s="760"/>
    </row>
    <row r="27" spans="1:18" hidden="1" x14ac:dyDescent="0.2">
      <c r="A27" s="770"/>
      <c r="B27" s="770"/>
      <c r="C27" s="770"/>
      <c r="D27" s="770"/>
      <c r="E27" s="770"/>
      <c r="F27" s="770"/>
      <c r="G27" s="770"/>
      <c r="H27" s="802"/>
      <c r="I27" s="802"/>
      <c r="J27" s="802"/>
      <c r="K27" s="770"/>
      <c r="L27" s="770"/>
      <c r="M27" s="770"/>
      <c r="O27" s="771"/>
      <c r="P27" s="770"/>
      <c r="Q27" s="802"/>
      <c r="R27" s="760"/>
    </row>
    <row r="28" spans="1:18" hidden="1" x14ac:dyDescent="0.2">
      <c r="A28" s="770"/>
      <c r="B28" s="770"/>
      <c r="C28" s="770"/>
      <c r="D28" s="770"/>
      <c r="E28" s="770"/>
      <c r="F28" s="770"/>
      <c r="G28" s="770"/>
      <c r="H28" s="802"/>
      <c r="I28" s="802"/>
      <c r="J28" s="802"/>
      <c r="K28" s="770"/>
      <c r="L28" s="770"/>
      <c r="M28" s="770"/>
      <c r="O28" s="771"/>
      <c r="P28" s="770"/>
      <c r="Q28" s="802"/>
      <c r="R28" s="760"/>
    </row>
    <row r="29" spans="1:18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770"/>
      <c r="L29" s="770"/>
      <c r="M29" s="770"/>
      <c r="N29" s="801"/>
      <c r="O29" s="212"/>
      <c r="P29" s="770"/>
      <c r="Q29" s="802"/>
      <c r="R29" s="760"/>
    </row>
    <row r="30" spans="1:18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770"/>
      <c r="L30" s="770"/>
      <c r="M30" s="770"/>
      <c r="O30" s="212"/>
      <c r="P30" s="770"/>
      <c r="Q30" s="802"/>
      <c r="R30" s="760"/>
    </row>
    <row r="31" spans="1:18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770"/>
      <c r="L31" s="770"/>
      <c r="M31" s="770"/>
      <c r="N31" s="770"/>
      <c r="O31" s="212"/>
      <c r="P31" s="770"/>
      <c r="Q31" s="802"/>
      <c r="R31" s="760"/>
    </row>
    <row r="32" spans="1:18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770"/>
      <c r="L32" s="770"/>
      <c r="M32" s="770"/>
      <c r="N32" s="770"/>
      <c r="O32" s="770"/>
      <c r="P32" s="770"/>
      <c r="Q32" s="802"/>
      <c r="R32" s="760"/>
    </row>
    <row r="33" spans="1:18" hidden="1" x14ac:dyDescent="0.2">
      <c r="A33" s="770"/>
      <c r="B33" s="770"/>
      <c r="C33" s="770"/>
      <c r="D33" s="770"/>
      <c r="E33" s="770"/>
      <c r="F33" s="770"/>
      <c r="G33" s="770"/>
      <c r="H33" s="770"/>
      <c r="I33" s="802"/>
      <c r="J33" s="802"/>
      <c r="K33" s="770"/>
      <c r="L33" s="770"/>
      <c r="M33" s="770"/>
      <c r="N33" s="212"/>
      <c r="O33" s="770"/>
      <c r="P33" s="770"/>
      <c r="Q33" s="802"/>
      <c r="R33" s="760"/>
    </row>
    <row r="34" spans="1:18" hidden="1" x14ac:dyDescent="0.2">
      <c r="A34" s="770"/>
      <c r="B34" s="770"/>
      <c r="C34" s="770"/>
      <c r="D34" s="770"/>
      <c r="E34" s="770"/>
      <c r="F34" s="770"/>
      <c r="G34" s="770"/>
      <c r="H34" s="770"/>
      <c r="I34" s="802"/>
      <c r="J34" s="802"/>
      <c r="K34" s="770"/>
      <c r="L34" s="770"/>
      <c r="M34" s="770"/>
      <c r="N34" s="803"/>
      <c r="O34" s="212"/>
      <c r="P34" s="770"/>
      <c r="Q34" s="802"/>
      <c r="R34" s="760"/>
    </row>
    <row r="35" spans="1:18" hidden="1" x14ac:dyDescent="0.2">
      <c r="A35" s="770"/>
      <c r="B35" s="770"/>
      <c r="C35" s="770"/>
      <c r="D35" s="770"/>
      <c r="E35" s="770"/>
      <c r="F35" s="770"/>
      <c r="G35" s="770"/>
      <c r="H35" s="770"/>
      <c r="I35" s="802"/>
      <c r="J35" s="802"/>
      <c r="K35" s="770"/>
      <c r="L35" s="770"/>
      <c r="M35" s="770"/>
      <c r="N35" s="212"/>
      <c r="O35" s="212"/>
      <c r="P35" s="770"/>
      <c r="Q35" s="802"/>
      <c r="R35" s="760"/>
    </row>
    <row r="36" spans="1:18" hidden="1" x14ac:dyDescent="0.2">
      <c r="A36" s="770"/>
      <c r="B36" s="770"/>
      <c r="C36" s="770"/>
      <c r="D36" s="770"/>
      <c r="E36" s="770"/>
      <c r="F36" s="770"/>
      <c r="G36" s="770"/>
      <c r="H36" s="770"/>
      <c r="I36" s="770"/>
      <c r="J36" s="770"/>
      <c r="K36" s="770"/>
      <c r="L36" s="770"/>
      <c r="M36" s="770"/>
      <c r="N36" s="212"/>
      <c r="O36" s="212"/>
      <c r="P36" s="770"/>
      <c r="Q36" s="802"/>
      <c r="R36" s="760"/>
    </row>
    <row r="37" spans="1:18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  <c r="O37" s="212"/>
      <c r="P37" s="770"/>
      <c r="Q37" s="802"/>
      <c r="R37" s="760"/>
    </row>
    <row r="38" spans="1:18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212"/>
      <c r="O38" s="212"/>
      <c r="P38" s="770"/>
      <c r="Q38" s="802"/>
      <c r="R38" s="760"/>
    </row>
    <row r="39" spans="1:18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801"/>
      <c r="O39" s="212"/>
      <c r="P39" s="770"/>
      <c r="Q39" s="802"/>
      <c r="R39" s="760"/>
    </row>
    <row r="40" spans="1:18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771"/>
      <c r="O40" s="770"/>
      <c r="P40" s="770"/>
      <c r="Q40" s="802"/>
      <c r="R40" s="760"/>
    </row>
    <row r="41" spans="1:18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O41" s="770"/>
      <c r="P41" s="770"/>
      <c r="Q41" s="802"/>
      <c r="R41" s="760"/>
    </row>
    <row r="42" spans="1:18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O42" s="770"/>
      <c r="P42" s="770"/>
      <c r="Q42" s="802"/>
      <c r="R42" s="760"/>
    </row>
    <row r="43" spans="1:18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O43" s="770"/>
      <c r="P43" s="770"/>
      <c r="Q43" s="802"/>
      <c r="R43" s="760"/>
    </row>
    <row r="44" spans="1:18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N44" s="770"/>
      <c r="O44" s="770"/>
      <c r="P44" s="770"/>
      <c r="Q44" s="802"/>
      <c r="R44" s="760"/>
    </row>
    <row r="45" spans="1:18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802"/>
      <c r="R45" s="760"/>
    </row>
    <row r="46" spans="1:18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O46" s="212"/>
      <c r="P46" s="770"/>
      <c r="Q46" s="802"/>
      <c r="R46" s="760"/>
    </row>
    <row r="47" spans="1:18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770"/>
      <c r="P47" s="770"/>
      <c r="Q47" s="802"/>
      <c r="R47" s="760"/>
    </row>
    <row r="48" spans="1:18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O48" s="770"/>
      <c r="P48" s="770"/>
      <c r="Q48" s="802"/>
      <c r="R48" s="760"/>
    </row>
    <row r="49" spans="1:18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N49" s="770"/>
      <c r="O49" s="770"/>
      <c r="P49" s="770"/>
      <c r="Q49" s="802"/>
      <c r="R49" s="760"/>
    </row>
    <row r="50" spans="1:18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1"/>
      <c r="O50" s="770"/>
      <c r="P50" s="770"/>
      <c r="Q50" s="802"/>
      <c r="R50" s="760"/>
    </row>
    <row r="51" spans="1:18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O51" s="770"/>
      <c r="P51" s="770"/>
      <c r="Q51" s="802"/>
      <c r="R51" s="760"/>
    </row>
    <row r="52" spans="1:18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N52" s="770"/>
      <c r="O52" s="770"/>
      <c r="P52" s="770"/>
      <c r="Q52" s="802"/>
      <c r="R52" s="760"/>
    </row>
    <row r="53" spans="1:18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801"/>
      <c r="O53" s="770"/>
      <c r="P53" s="770"/>
      <c r="Q53" s="802"/>
      <c r="R53" s="760"/>
    </row>
    <row r="54" spans="1:18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O54" s="770"/>
      <c r="P54" s="770"/>
      <c r="Q54" s="802"/>
      <c r="R54" s="760"/>
    </row>
    <row r="55" spans="1:18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O55" s="771"/>
      <c r="P55" s="770"/>
      <c r="Q55" s="802"/>
      <c r="R55" s="760"/>
    </row>
    <row r="56" spans="1:18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O56" s="771"/>
      <c r="P56" s="770"/>
      <c r="Q56" s="802"/>
      <c r="R56" s="760"/>
    </row>
    <row r="57" spans="1:18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N57" s="801"/>
      <c r="O57" s="212"/>
      <c r="P57" s="770"/>
      <c r="Q57" s="802"/>
      <c r="R57" s="760"/>
    </row>
    <row r="58" spans="1:18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O58" s="212"/>
      <c r="P58" s="770"/>
      <c r="Q58" s="802"/>
      <c r="R58" s="760"/>
    </row>
    <row r="59" spans="1:18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212"/>
      <c r="P59" s="770"/>
      <c r="Q59" s="802"/>
      <c r="R59" s="760"/>
    </row>
    <row r="60" spans="1:18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55"/>
      <c r="O60" s="755"/>
      <c r="P60" s="755"/>
      <c r="Q60" s="802"/>
      <c r="R60" s="760"/>
    </row>
    <row r="61" spans="1:18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55"/>
      <c r="O61" s="755"/>
      <c r="P61" s="755"/>
      <c r="Q61" s="802"/>
      <c r="R61" s="760"/>
    </row>
    <row r="62" spans="1:18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55"/>
      <c r="O62" s="755"/>
      <c r="P62" s="755"/>
      <c r="Q62" s="802"/>
      <c r="R62" s="760"/>
    </row>
    <row r="63" spans="1:18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55"/>
      <c r="O63" s="755"/>
      <c r="P63" s="755"/>
      <c r="Q63" s="802"/>
      <c r="R63" s="760"/>
    </row>
    <row r="64" spans="1:18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55"/>
      <c r="O64" s="755"/>
      <c r="P64" s="755"/>
      <c r="Q64" s="802"/>
      <c r="R64" s="760"/>
    </row>
    <row r="65" spans="1:18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55"/>
      <c r="O65" s="755"/>
      <c r="P65" s="755"/>
      <c r="Q65" s="802"/>
      <c r="R65" s="760"/>
    </row>
    <row r="66" spans="1:18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55"/>
      <c r="O66" s="755"/>
      <c r="P66" s="755"/>
      <c r="Q66" s="212"/>
      <c r="R66" s="760"/>
    </row>
    <row r="67" spans="1:18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55"/>
      <c r="O67" s="755"/>
      <c r="P67" s="755"/>
      <c r="Q67" s="212"/>
      <c r="R67" s="760"/>
    </row>
    <row r="68" spans="1:18" hidden="1" x14ac:dyDescent="0.2">
      <c r="A68" s="755"/>
      <c r="B68" s="804"/>
      <c r="C68" s="805"/>
      <c r="D68" s="80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212"/>
      <c r="R68" s="760"/>
    </row>
    <row r="69" spans="1:18" hidden="1" x14ac:dyDescent="0.2">
      <c r="A69" s="755"/>
      <c r="B69" s="212"/>
      <c r="C69" s="212"/>
      <c r="D69" s="212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212"/>
      <c r="R69" s="760"/>
    </row>
    <row r="70" spans="1:18" hidden="1" x14ac:dyDescent="0.2">
      <c r="A70" s="755"/>
      <c r="B70" s="212"/>
      <c r="C70" s="212"/>
      <c r="D70" s="212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212"/>
      <c r="R70" s="760"/>
    </row>
    <row r="71" spans="1:18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212"/>
      <c r="R71" s="760"/>
    </row>
    <row r="72" spans="1:18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212"/>
      <c r="R72" s="760"/>
    </row>
    <row r="73" spans="1:18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212"/>
      <c r="R73" s="760"/>
    </row>
    <row r="74" spans="1:18" hidden="1" x14ac:dyDescent="0.2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212"/>
      <c r="R74" s="760"/>
    </row>
    <row r="75" spans="1:18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212"/>
      <c r="R75" s="760"/>
    </row>
    <row r="76" spans="1:18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60"/>
    </row>
    <row r="77" spans="1:18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60"/>
    </row>
    <row r="78" spans="1:18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60"/>
    </row>
    <row r="79" spans="1:18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60"/>
    </row>
    <row r="80" spans="1:18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60"/>
    </row>
    <row r="81" spans="1:18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60"/>
    </row>
    <row r="82" spans="1:18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60"/>
    </row>
    <row r="83" spans="1:18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60"/>
    </row>
    <row r="84" spans="1:18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60"/>
    </row>
    <row r="85" spans="1:18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60"/>
    </row>
    <row r="86" spans="1:18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60"/>
    </row>
    <row r="87" spans="1:18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60"/>
    </row>
    <row r="88" spans="1:18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60"/>
    </row>
    <row r="89" spans="1:18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60"/>
    </row>
    <row r="90" spans="1:18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60"/>
    </row>
    <row r="91" spans="1:18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60"/>
    </row>
    <row r="92" spans="1:18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60"/>
    </row>
    <row r="93" spans="1:18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60"/>
    </row>
    <row r="94" spans="1:18" hidden="1" x14ac:dyDescent="0.2">
      <c r="A94" s="755"/>
      <c r="B94" s="802"/>
      <c r="C94" s="802"/>
      <c r="D94" s="802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802"/>
      <c r="Q94" s="755"/>
      <c r="R94" s="760"/>
    </row>
    <row r="95" spans="1:18" hidden="1" x14ac:dyDescent="0.2">
      <c r="A95" s="755"/>
      <c r="B95" s="760"/>
      <c r="C95" s="760"/>
      <c r="D95" s="760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60"/>
      <c r="Q95" s="755"/>
      <c r="R95" s="760"/>
    </row>
    <row r="96" spans="1:18" hidden="1" x14ac:dyDescent="0.2">
      <c r="A96" s="755"/>
      <c r="B96" s="760"/>
      <c r="C96" s="760"/>
      <c r="D96" s="760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55"/>
      <c r="R96" s="760"/>
    </row>
    <row r="97" spans="1:18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55"/>
      <c r="R97" s="760"/>
    </row>
    <row r="98" spans="1:18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55"/>
      <c r="R98" s="760"/>
    </row>
    <row r="99" spans="1:18" x14ac:dyDescent="0.2">
      <c r="A99" s="806" t="s">
        <v>484</v>
      </c>
      <c r="B99" s="807"/>
      <c r="C99" s="808"/>
      <c r="D99" s="808"/>
      <c r="E99" s="808"/>
      <c r="F99" s="805"/>
      <c r="G99" s="800"/>
      <c r="H99" s="755"/>
      <c r="I99" s="755"/>
      <c r="J99" s="755"/>
      <c r="K99" s="755"/>
      <c r="L99" s="755"/>
      <c r="M99" s="755"/>
      <c r="N99" s="755"/>
      <c r="O99" s="755"/>
      <c r="P99" s="760"/>
      <c r="Q99" s="755"/>
      <c r="R99" s="760"/>
    </row>
    <row r="100" spans="1:18" x14ac:dyDescent="0.2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60"/>
      <c r="Q100" s="755"/>
      <c r="R100" s="760"/>
    </row>
    <row r="101" spans="1:18" ht="13.5" thickBot="1" x14ac:dyDescent="0.25">
      <c r="A101" s="755"/>
      <c r="B101" s="755"/>
      <c r="C101" s="755"/>
      <c r="D101" s="755"/>
      <c r="E101" s="755"/>
      <c r="F101" s="755"/>
      <c r="G101" s="755"/>
      <c r="H101" s="809" t="str">
        <f>IFERROR(INDEX(B$1:B$100,MATCH("1",I$1:I$100,0)),"")</f>
        <v>Kristiin-Marleen Neiland</v>
      </c>
      <c r="I101" s="755"/>
      <c r="J101" s="755"/>
      <c r="K101" s="755"/>
      <c r="L101" s="755"/>
      <c r="M101" s="755"/>
      <c r="N101" s="755"/>
      <c r="O101" s="755"/>
      <c r="P101" s="760"/>
      <c r="Q101" s="755"/>
      <c r="R101" s="760"/>
    </row>
    <row r="102" spans="1:18" x14ac:dyDescent="0.2">
      <c r="A102" s="755"/>
      <c r="B102" s="755"/>
      <c r="C102" s="755"/>
      <c r="D102" s="755"/>
      <c r="E102" s="755"/>
      <c r="F102" s="755"/>
      <c r="G102" s="755"/>
      <c r="H102" s="810" t="s">
        <v>389</v>
      </c>
      <c r="I102" s="811"/>
      <c r="J102" s="755"/>
      <c r="K102" s="755"/>
      <c r="L102" s="755"/>
      <c r="M102" s="755"/>
      <c r="N102" s="755"/>
      <c r="O102" s="755"/>
      <c r="P102" s="760"/>
      <c r="Q102" s="755"/>
      <c r="R102" s="760"/>
    </row>
    <row r="103" spans="1:18" x14ac:dyDescent="0.2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55"/>
      <c r="R103" s="760"/>
    </row>
    <row r="104" spans="1:18" ht="13.5" thickBot="1" x14ac:dyDescent="0.25">
      <c r="A104" s="755"/>
      <c r="B104" s="755"/>
      <c r="C104" s="755"/>
      <c r="D104" s="755"/>
      <c r="E104" s="755"/>
      <c r="F104" s="755"/>
      <c r="G104" s="760"/>
      <c r="H104" s="809" t="str">
        <f>IFERROR(INDEX(B$1:B$100,MATCH("2",I$1:I$100,0)),"")</f>
        <v>Kaspar Mänd</v>
      </c>
      <c r="I104" s="938"/>
      <c r="J104" s="755"/>
      <c r="K104" s="755"/>
      <c r="L104" s="755"/>
      <c r="M104" s="755"/>
      <c r="N104" s="755"/>
      <c r="O104" s="755"/>
      <c r="P104" s="760"/>
      <c r="Q104" s="755"/>
      <c r="R104" s="760"/>
    </row>
    <row r="105" spans="1:18" x14ac:dyDescent="0.2">
      <c r="A105" s="755"/>
      <c r="B105" s="755"/>
      <c r="C105" s="755"/>
      <c r="D105" s="755"/>
      <c r="E105" s="755"/>
      <c r="F105" s="755"/>
      <c r="G105" s="760"/>
      <c r="H105" s="810" t="s">
        <v>390</v>
      </c>
      <c r="I105" s="807"/>
      <c r="J105" s="755"/>
      <c r="K105" s="755"/>
      <c r="L105" s="755"/>
      <c r="M105" s="755"/>
      <c r="N105" s="755"/>
      <c r="O105" s="755"/>
      <c r="P105" s="760"/>
      <c r="Q105" s="755"/>
      <c r="R105" s="760"/>
    </row>
    <row r="106" spans="1:18" x14ac:dyDescent="0.2">
      <c r="A106" s="755"/>
      <c r="B106" s="755"/>
      <c r="C106" s="755"/>
      <c r="D106" s="755"/>
      <c r="E106" s="755"/>
      <c r="F106" s="755"/>
      <c r="G106" s="760"/>
      <c r="H106" s="755"/>
      <c r="I106" s="755"/>
      <c r="J106" s="755"/>
      <c r="K106" s="755"/>
      <c r="L106" s="755"/>
      <c r="M106" s="755"/>
      <c r="N106" s="755"/>
      <c r="O106" s="755"/>
      <c r="P106" s="760"/>
      <c r="Q106" s="755"/>
      <c r="R106" s="760"/>
    </row>
    <row r="107" spans="1:18" ht="13.5" thickBot="1" x14ac:dyDescent="0.25">
      <c r="A107" s="755"/>
      <c r="B107" s="755"/>
      <c r="C107" s="755"/>
      <c r="D107" s="755"/>
      <c r="E107" s="755"/>
      <c r="F107" s="755"/>
      <c r="G107" s="760"/>
      <c r="H107" s="809" t="str">
        <f>IFERROR(INDEX(B$1:B$100,MATCH("3",I$1:I$100,0)),"")</f>
        <v>Veroonika Mendes</v>
      </c>
      <c r="I107" s="807"/>
      <c r="J107" s="755"/>
      <c r="K107" s="755"/>
      <c r="L107" s="755"/>
      <c r="M107" s="755"/>
      <c r="N107" s="755"/>
      <c r="O107" s="755"/>
      <c r="P107" s="760"/>
      <c r="Q107" s="755"/>
      <c r="R107" s="760"/>
    </row>
    <row r="108" spans="1:18" x14ac:dyDescent="0.2">
      <c r="A108" s="755"/>
      <c r="B108" s="755"/>
      <c r="C108" s="755"/>
      <c r="D108" s="755"/>
      <c r="E108" s="755"/>
      <c r="F108" s="755"/>
      <c r="G108" s="760"/>
      <c r="H108" s="810" t="s">
        <v>391</v>
      </c>
      <c r="I108" s="811"/>
      <c r="J108" s="755"/>
      <c r="K108" s="755"/>
      <c r="L108" s="755"/>
      <c r="M108" s="755"/>
      <c r="N108" s="755"/>
      <c r="O108" s="755"/>
      <c r="P108" s="760"/>
      <c r="Q108" s="755"/>
      <c r="R108" s="760"/>
    </row>
    <row r="109" spans="1:18" x14ac:dyDescent="0.2">
      <c r="A109" s="755"/>
      <c r="B109" s="755"/>
      <c r="C109" s="755"/>
      <c r="D109" s="755"/>
      <c r="E109" s="755"/>
      <c r="F109" s="755"/>
      <c r="G109" s="760"/>
      <c r="H109" s="807"/>
      <c r="I109" s="807"/>
      <c r="J109" s="755"/>
      <c r="K109" s="755"/>
      <c r="L109" s="755"/>
      <c r="M109" s="755"/>
      <c r="N109" s="755"/>
      <c r="O109" s="755"/>
      <c r="P109" s="760"/>
      <c r="Q109" s="755"/>
      <c r="R109" s="760"/>
    </row>
    <row r="110" spans="1:18" ht="13.5" thickBot="1" x14ac:dyDescent="0.25">
      <c r="A110" s="755"/>
      <c r="B110" s="755"/>
      <c r="C110" s="755"/>
      <c r="D110" s="755"/>
      <c r="E110" s="755"/>
      <c r="F110" s="755"/>
      <c r="G110" s="760"/>
      <c r="H110" s="939" t="str">
        <f>IFERROR(INDEX(B$1:B$100,MATCH("4",I$1:I$100,0)),"")</f>
        <v>Aurelia Meldre</v>
      </c>
      <c r="I110" s="938"/>
      <c r="J110" s="755"/>
      <c r="K110" s="755"/>
      <c r="L110" s="755"/>
      <c r="M110" s="755"/>
      <c r="N110" s="755"/>
      <c r="O110" s="755"/>
      <c r="P110" s="760"/>
      <c r="Q110" s="755"/>
      <c r="R110" s="760"/>
    </row>
    <row r="111" spans="1:18" x14ac:dyDescent="0.2">
      <c r="A111" s="755"/>
      <c r="B111" s="755"/>
      <c r="C111" s="755"/>
      <c r="D111" s="755"/>
      <c r="E111" s="755"/>
      <c r="F111" s="755"/>
      <c r="G111" s="760"/>
      <c r="H111" s="754" t="s">
        <v>392</v>
      </c>
      <c r="I111" s="755"/>
      <c r="J111" s="755"/>
      <c r="K111" s="755"/>
      <c r="L111" s="755"/>
      <c r="M111" s="755"/>
      <c r="N111" s="755"/>
      <c r="O111" s="755"/>
      <c r="P111" s="760"/>
      <c r="Q111" s="755"/>
      <c r="R111" s="760"/>
    </row>
    <row r="112" spans="1:18" hidden="1" x14ac:dyDescent="0.2">
      <c r="A112" s="755"/>
      <c r="B112" s="755"/>
      <c r="C112" s="755"/>
      <c r="D112" s="755"/>
      <c r="E112" s="755"/>
      <c r="F112" s="755"/>
      <c r="G112" s="760"/>
      <c r="H112" s="760"/>
      <c r="I112" s="760"/>
      <c r="J112" s="755"/>
      <c r="K112" s="755"/>
      <c r="L112" s="755"/>
      <c r="M112" s="755"/>
      <c r="N112" s="755"/>
      <c r="O112" s="755"/>
      <c r="P112" s="760"/>
      <c r="Q112" s="755"/>
      <c r="R112" s="760"/>
    </row>
    <row r="113" spans="1:18" ht="13.5" hidden="1" thickBot="1" x14ac:dyDescent="0.25">
      <c r="A113" s="755"/>
      <c r="B113" s="755"/>
      <c r="C113" s="755"/>
      <c r="D113" s="755"/>
      <c r="E113" s="755"/>
      <c r="F113" s="755"/>
      <c r="G113" s="760"/>
      <c r="H113" s="939" t="str">
        <f>IFERROR(INDEX(B$1:B$100,MATCH("5",I$1:I$100,0)),"")</f>
        <v/>
      </c>
      <c r="I113" s="938"/>
      <c r="J113" s="755"/>
      <c r="K113" s="755"/>
      <c r="L113" s="755"/>
      <c r="M113" s="755"/>
      <c r="N113" s="755"/>
      <c r="O113" s="755"/>
      <c r="P113" s="760"/>
      <c r="Q113" s="755"/>
      <c r="R113" s="760"/>
    </row>
    <row r="114" spans="1:18" hidden="1" x14ac:dyDescent="0.2">
      <c r="A114" s="755"/>
      <c r="B114" s="755"/>
      <c r="C114" s="755"/>
      <c r="D114" s="755"/>
      <c r="E114" s="755"/>
      <c r="F114" s="755"/>
      <c r="G114" s="760"/>
      <c r="H114" s="754" t="s">
        <v>393</v>
      </c>
      <c r="I114" s="755"/>
      <c r="J114" s="755"/>
      <c r="K114" s="755"/>
      <c r="L114" s="755"/>
      <c r="M114" s="755"/>
      <c r="N114" s="755"/>
      <c r="O114" s="755"/>
      <c r="P114" s="760"/>
      <c r="Q114" s="755"/>
      <c r="R114" s="755"/>
    </row>
    <row r="115" spans="1:18" hidden="1" x14ac:dyDescent="0.2">
      <c r="A115" s="755"/>
      <c r="B115" s="755"/>
      <c r="C115" s="755"/>
      <c r="D115" s="755"/>
      <c r="E115" s="755"/>
      <c r="F115" s="755"/>
      <c r="G115" s="760"/>
      <c r="H115" s="760"/>
      <c r="I115" s="760"/>
      <c r="J115" s="760"/>
      <c r="K115" s="760"/>
      <c r="L115" s="760"/>
      <c r="M115" s="760"/>
      <c r="N115" s="760"/>
      <c r="O115" s="755"/>
      <c r="P115" s="760"/>
      <c r="Q115" s="755"/>
      <c r="R115" s="755"/>
    </row>
    <row r="116" spans="1:18" hidden="1" x14ac:dyDescent="0.2">
      <c r="A116" s="755"/>
      <c r="B116" s="755"/>
      <c r="C116" s="755"/>
      <c r="D116" s="755"/>
      <c r="E116" s="755"/>
      <c r="F116" s="755"/>
      <c r="G116" s="760"/>
      <c r="H116" s="760"/>
      <c r="I116" s="760"/>
      <c r="J116" s="760"/>
      <c r="K116" s="760"/>
      <c r="L116" s="760"/>
      <c r="M116" s="760"/>
      <c r="N116" s="760"/>
      <c r="O116" s="755"/>
      <c r="P116" s="760"/>
      <c r="Q116" s="755"/>
      <c r="R116" s="755"/>
    </row>
    <row r="117" spans="1:18" hidden="1" x14ac:dyDescent="0.2">
      <c r="A117" s="755"/>
      <c r="B117" s="755"/>
      <c r="C117" s="755"/>
      <c r="D117" s="755"/>
      <c r="E117" s="755"/>
      <c r="F117" s="755"/>
      <c r="G117" s="760"/>
      <c r="H117" s="760"/>
      <c r="I117" s="760"/>
      <c r="J117" s="760"/>
      <c r="K117" s="760"/>
      <c r="L117" s="760"/>
      <c r="M117" s="760"/>
      <c r="N117" s="760"/>
      <c r="O117" s="755"/>
      <c r="P117" s="760"/>
      <c r="Q117" s="755"/>
      <c r="R117" s="755"/>
    </row>
    <row r="118" spans="1:18" hidden="1" x14ac:dyDescent="0.2">
      <c r="A118" s="755"/>
      <c r="B118" s="755"/>
      <c r="C118" s="755"/>
      <c r="D118" s="755"/>
      <c r="E118" s="755"/>
      <c r="F118" s="755"/>
      <c r="G118" s="760"/>
      <c r="H118" s="760"/>
      <c r="I118" s="760"/>
      <c r="J118" s="760"/>
      <c r="K118" s="760"/>
      <c r="L118" s="760"/>
      <c r="M118" s="760"/>
      <c r="N118" s="760"/>
      <c r="O118" s="755"/>
      <c r="P118" s="760"/>
      <c r="Q118" s="755"/>
      <c r="R118" s="755"/>
    </row>
    <row r="119" spans="1:18" hidden="1" x14ac:dyDescent="0.2">
      <c r="A119" s="755"/>
      <c r="B119" s="755"/>
      <c r="C119" s="755"/>
      <c r="D119" s="755"/>
      <c r="E119" s="755"/>
      <c r="F119" s="755"/>
      <c r="G119" s="760"/>
      <c r="H119" s="760"/>
      <c r="I119" s="760"/>
      <c r="J119" s="760"/>
      <c r="K119" s="760"/>
      <c r="L119" s="760"/>
      <c r="M119" s="760"/>
      <c r="N119" s="760"/>
      <c r="O119" s="755"/>
      <c r="P119" s="760"/>
      <c r="Q119" s="755"/>
      <c r="R119" s="755"/>
    </row>
    <row r="120" spans="1:18" hidden="1" x14ac:dyDescent="0.2">
      <c r="A120" s="755"/>
      <c r="B120" s="755"/>
      <c r="C120" s="755"/>
      <c r="D120" s="755"/>
      <c r="E120" s="755"/>
      <c r="F120" s="755"/>
      <c r="G120" s="760"/>
      <c r="H120" s="760"/>
      <c r="I120" s="760"/>
      <c r="J120" s="760"/>
      <c r="K120" s="760"/>
      <c r="L120" s="760"/>
      <c r="M120" s="760"/>
      <c r="N120" s="760"/>
      <c r="O120" s="755"/>
      <c r="P120" s="760"/>
      <c r="Q120" s="755"/>
      <c r="R120" s="755"/>
    </row>
    <row r="121" spans="1:18" hidden="1" x14ac:dyDescent="0.2">
      <c r="A121" s="755"/>
      <c r="B121" s="755"/>
      <c r="C121" s="755"/>
      <c r="D121" s="755"/>
      <c r="E121" s="755"/>
      <c r="F121" s="755"/>
      <c r="G121" s="760"/>
      <c r="H121" s="760"/>
      <c r="I121" s="760"/>
      <c r="J121" s="760"/>
      <c r="K121" s="760"/>
      <c r="L121" s="760"/>
      <c r="M121" s="760"/>
      <c r="N121" s="760"/>
      <c r="O121" s="755"/>
      <c r="P121" s="760"/>
      <c r="Q121" s="755"/>
      <c r="R121" s="755"/>
    </row>
    <row r="122" spans="1:18" hidden="1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60"/>
      <c r="K122" s="760"/>
      <c r="L122" s="760"/>
      <c r="M122" s="760"/>
      <c r="N122" s="760"/>
      <c r="O122" s="755"/>
      <c r="P122" s="760"/>
      <c r="Q122" s="755"/>
      <c r="R122" s="755"/>
    </row>
    <row r="123" spans="1:18" hidden="1" x14ac:dyDescent="0.2">
      <c r="A123" s="755"/>
      <c r="B123" s="755"/>
      <c r="C123" s="755"/>
      <c r="D123" s="755"/>
      <c r="E123" s="755"/>
      <c r="F123" s="755"/>
      <c r="G123" s="760"/>
      <c r="H123" s="760"/>
      <c r="I123" s="760"/>
      <c r="J123" s="760"/>
      <c r="K123" s="760"/>
      <c r="L123" s="760"/>
      <c r="M123" s="760"/>
      <c r="N123" s="760"/>
      <c r="O123" s="755"/>
      <c r="P123" s="760"/>
      <c r="Q123" s="755"/>
      <c r="R123" s="755"/>
    </row>
    <row r="124" spans="1:18" hidden="1" x14ac:dyDescent="0.2">
      <c r="A124" s="755"/>
      <c r="B124" s="755"/>
      <c r="C124" s="755"/>
      <c r="D124" s="755"/>
      <c r="E124" s="755"/>
      <c r="F124" s="755"/>
      <c r="G124" s="760"/>
      <c r="H124" s="760"/>
      <c r="I124" s="760"/>
      <c r="J124" s="760"/>
      <c r="K124" s="760"/>
      <c r="L124" s="760"/>
      <c r="M124" s="760"/>
      <c r="N124" s="760"/>
      <c r="O124" s="755"/>
      <c r="P124" s="760"/>
      <c r="Q124" s="755"/>
      <c r="R124" s="755"/>
    </row>
    <row r="125" spans="1:18" hidden="1" x14ac:dyDescent="0.2">
      <c r="A125" s="755"/>
      <c r="B125" s="755"/>
      <c r="C125" s="755"/>
      <c r="D125" s="755"/>
      <c r="E125" s="755"/>
      <c r="F125" s="755"/>
      <c r="G125" s="760"/>
      <c r="H125" s="760"/>
      <c r="I125" s="760"/>
      <c r="J125" s="760"/>
      <c r="K125" s="760"/>
      <c r="L125" s="760"/>
      <c r="M125" s="760"/>
      <c r="N125" s="760"/>
      <c r="O125" s="755"/>
      <c r="P125" s="760"/>
      <c r="Q125" s="755"/>
      <c r="R125" s="755"/>
    </row>
    <row r="126" spans="1:18" hidden="1" x14ac:dyDescent="0.2">
      <c r="A126" s="755"/>
      <c r="B126" s="755"/>
      <c r="C126" s="755"/>
      <c r="D126" s="755"/>
      <c r="E126" s="755"/>
      <c r="F126" s="755"/>
      <c r="G126" s="760"/>
      <c r="H126" s="760"/>
      <c r="I126" s="760"/>
      <c r="J126" s="760"/>
      <c r="K126" s="760"/>
      <c r="L126" s="760"/>
      <c r="M126" s="760"/>
      <c r="N126" s="760"/>
      <c r="O126" s="755"/>
      <c r="P126" s="760"/>
      <c r="Q126" s="755"/>
      <c r="R126" s="755"/>
    </row>
    <row r="127" spans="1:18" hidden="1" x14ac:dyDescent="0.2">
      <c r="A127" s="755"/>
      <c r="B127" s="755"/>
      <c r="C127" s="755"/>
      <c r="D127" s="755"/>
      <c r="E127" s="755"/>
      <c r="F127" s="755"/>
      <c r="G127" s="760"/>
      <c r="H127" s="760"/>
      <c r="I127" s="760"/>
      <c r="J127" s="760"/>
      <c r="K127" s="760"/>
      <c r="L127" s="760"/>
      <c r="M127" s="760"/>
      <c r="N127" s="760"/>
      <c r="O127" s="755"/>
      <c r="P127" s="760"/>
      <c r="Q127" s="755"/>
      <c r="R127" s="755"/>
    </row>
    <row r="128" spans="1:18" hidden="1" x14ac:dyDescent="0.2">
      <c r="A128" s="755"/>
      <c r="B128" s="755"/>
      <c r="C128" s="755"/>
      <c r="D128" s="755"/>
      <c r="E128" s="755"/>
      <c r="F128" s="755"/>
      <c r="G128" s="760"/>
      <c r="H128" s="760"/>
      <c r="I128" s="760"/>
      <c r="J128" s="760"/>
      <c r="K128" s="760"/>
      <c r="L128" s="760"/>
      <c r="M128" s="760"/>
      <c r="N128" s="760"/>
      <c r="O128" s="755"/>
      <c r="P128" s="760"/>
      <c r="Q128" s="755"/>
      <c r="R128" s="755"/>
    </row>
    <row r="129" spans="1:18" hidden="1" x14ac:dyDescent="0.2">
      <c r="A129" s="755"/>
      <c r="B129" s="755"/>
      <c r="C129" s="755"/>
      <c r="D129" s="755"/>
      <c r="E129" s="755"/>
      <c r="F129" s="755"/>
      <c r="G129" s="760"/>
      <c r="H129" s="760"/>
      <c r="I129" s="760"/>
      <c r="J129" s="760"/>
      <c r="K129" s="760"/>
      <c r="L129" s="760"/>
      <c r="M129" s="760"/>
      <c r="N129" s="760"/>
      <c r="O129" s="755"/>
      <c r="P129" s="760"/>
      <c r="Q129" s="755"/>
      <c r="R129" s="755"/>
    </row>
    <row r="130" spans="1:18" hidden="1" x14ac:dyDescent="0.2">
      <c r="A130" s="755"/>
      <c r="B130" s="755"/>
      <c r="C130" s="755"/>
      <c r="D130" s="755"/>
      <c r="E130" s="755"/>
      <c r="F130" s="755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55"/>
      <c r="R130" s="755"/>
    </row>
    <row r="131" spans="1:18" hidden="1" x14ac:dyDescent="0.2">
      <c r="A131" s="755"/>
      <c r="B131" s="755"/>
      <c r="C131" s="755"/>
      <c r="D131" s="755"/>
      <c r="E131" s="755"/>
      <c r="F131" s="755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55"/>
      <c r="R131" s="755"/>
    </row>
    <row r="132" spans="1:18" hidden="1" x14ac:dyDescent="0.2">
      <c r="A132" s="755"/>
      <c r="B132" s="755"/>
      <c r="C132" s="755"/>
      <c r="D132" s="755"/>
      <c r="E132" s="755"/>
      <c r="F132" s="755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55"/>
      <c r="R132" s="755"/>
    </row>
    <row r="133" spans="1:18" hidden="1" x14ac:dyDescent="0.2">
      <c r="A133" s="755"/>
      <c r="B133" s="755"/>
      <c r="C133" s="755"/>
      <c r="D133" s="755"/>
      <c r="E133" s="755"/>
      <c r="F133" s="755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55"/>
      <c r="R133" s="755"/>
    </row>
    <row r="134" spans="1:18" hidden="1" x14ac:dyDescent="0.2">
      <c r="A134" s="755"/>
      <c r="B134" s="755"/>
      <c r="C134" s="755"/>
      <c r="D134" s="755"/>
      <c r="E134" s="755"/>
      <c r="F134" s="755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55"/>
      <c r="R134" s="755"/>
    </row>
    <row r="135" spans="1:18" hidden="1" x14ac:dyDescent="0.2">
      <c r="A135" s="755"/>
      <c r="B135" s="755"/>
      <c r="C135" s="755"/>
      <c r="D135" s="755"/>
      <c r="E135" s="755"/>
      <c r="F135" s="755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55"/>
      <c r="R135" s="755"/>
    </row>
    <row r="136" spans="1:18" hidden="1" x14ac:dyDescent="0.2">
      <c r="A136" s="755"/>
      <c r="B136" s="755"/>
      <c r="C136" s="755"/>
      <c r="D136" s="755"/>
      <c r="E136" s="755"/>
      <c r="F136" s="755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55"/>
      <c r="R136" s="755"/>
    </row>
    <row r="137" spans="1:18" hidden="1" x14ac:dyDescent="0.2">
      <c r="A137" s="755"/>
      <c r="B137" s="755"/>
      <c r="C137" s="755"/>
      <c r="D137" s="755"/>
      <c r="E137" s="755"/>
      <c r="F137" s="755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55"/>
      <c r="R137" s="755"/>
    </row>
    <row r="138" spans="1:18" hidden="1" x14ac:dyDescent="0.2">
      <c r="A138" s="755"/>
      <c r="B138" s="755"/>
      <c r="C138" s="755"/>
      <c r="D138" s="755"/>
      <c r="E138" s="755"/>
      <c r="F138" s="755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55"/>
      <c r="R138" s="755"/>
    </row>
    <row r="139" spans="1:18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55"/>
      <c r="R139" s="755"/>
    </row>
    <row r="140" spans="1:18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55"/>
      <c r="R140" s="755"/>
    </row>
    <row r="141" spans="1:18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55"/>
      <c r="R141" s="755"/>
    </row>
    <row r="142" spans="1:18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55"/>
      <c r="R142" s="755"/>
    </row>
    <row r="143" spans="1:18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55"/>
      <c r="R143" s="755"/>
    </row>
    <row r="144" spans="1:18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55"/>
      <c r="R144" s="755"/>
    </row>
    <row r="145" spans="1:18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55"/>
      <c r="R145" s="755"/>
    </row>
    <row r="146" spans="1:18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55"/>
      <c r="R146" s="755"/>
    </row>
    <row r="147" spans="1:18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55"/>
      <c r="R147" s="755"/>
    </row>
    <row r="148" spans="1:18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55"/>
      <c r="R148" s="755"/>
    </row>
    <row r="149" spans="1:18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55"/>
      <c r="R149" s="755"/>
    </row>
    <row r="150" spans="1:18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55"/>
      <c r="R150" s="755"/>
    </row>
    <row r="151" spans="1:18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55"/>
      <c r="R151" s="755"/>
    </row>
    <row r="152" spans="1:18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55"/>
      <c r="R152" s="755"/>
    </row>
    <row r="153" spans="1:18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55"/>
      <c r="R153" s="755"/>
    </row>
    <row r="154" spans="1:18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55"/>
      <c r="R154" s="755"/>
    </row>
    <row r="155" spans="1:18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55"/>
      <c r="R155" s="755"/>
    </row>
    <row r="156" spans="1:18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55"/>
      <c r="R156" s="755"/>
    </row>
    <row r="157" spans="1:18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55"/>
      <c r="R157" s="755"/>
    </row>
    <row r="158" spans="1:18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55"/>
      <c r="R158" s="755"/>
    </row>
    <row r="159" spans="1:18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55"/>
      <c r="R159" s="755"/>
    </row>
    <row r="160" spans="1:18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55"/>
      <c r="R160" s="755"/>
    </row>
    <row r="161" spans="1:18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55"/>
      <c r="R161" s="755"/>
    </row>
    <row r="162" spans="1:18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55"/>
      <c r="R162" s="755"/>
    </row>
    <row r="163" spans="1:18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55"/>
      <c r="R163" s="755"/>
    </row>
    <row r="164" spans="1:18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55"/>
      <c r="R164" s="755"/>
    </row>
    <row r="165" spans="1:18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55"/>
      <c r="R165" s="755"/>
    </row>
    <row r="166" spans="1:18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55"/>
      <c r="R166" s="755"/>
    </row>
    <row r="167" spans="1:18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55"/>
      <c r="R167" s="755"/>
    </row>
    <row r="168" spans="1:18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55"/>
      <c r="R168" s="755"/>
    </row>
    <row r="169" spans="1:18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55"/>
      <c r="R169" s="755"/>
    </row>
    <row r="170" spans="1:18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55"/>
      <c r="R170" s="755"/>
    </row>
    <row r="171" spans="1:18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55"/>
      <c r="R171" s="755"/>
    </row>
    <row r="172" spans="1:18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55"/>
      <c r="R172" s="755"/>
    </row>
    <row r="173" spans="1:18" hidden="1" x14ac:dyDescent="0.2">
      <c r="A173" s="213"/>
      <c r="B173" s="552"/>
      <c r="C173" s="755"/>
      <c r="D173" s="755"/>
      <c r="E173" s="807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55"/>
      <c r="R173" s="755"/>
    </row>
    <row r="174" spans="1:18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55"/>
      <c r="R174" s="755"/>
    </row>
    <row r="175" spans="1:18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55"/>
      <c r="R175" s="755"/>
    </row>
    <row r="176" spans="1:18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55"/>
      <c r="R176" s="755"/>
    </row>
    <row r="177" spans="1:18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55"/>
      <c r="R177" s="755"/>
    </row>
    <row r="178" spans="1:18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55"/>
      <c r="R178" s="755"/>
    </row>
    <row r="179" spans="1:18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55"/>
      <c r="R179" s="755"/>
    </row>
    <row r="180" spans="1:18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55"/>
      <c r="R180" s="755"/>
    </row>
    <row r="181" spans="1:18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55"/>
      <c r="R181" s="755"/>
    </row>
    <row r="182" spans="1:18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55"/>
      <c r="R182" s="755"/>
    </row>
    <row r="183" spans="1:18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55"/>
      <c r="R183" s="755"/>
    </row>
    <row r="184" spans="1:18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55"/>
      <c r="R184" s="755"/>
    </row>
    <row r="185" spans="1:18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55"/>
      <c r="R185" s="755"/>
    </row>
    <row r="186" spans="1:18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55"/>
      <c r="R186" s="755"/>
    </row>
    <row r="187" spans="1:18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55"/>
      <c r="R187" s="755"/>
    </row>
    <row r="188" spans="1:18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55"/>
      <c r="R188" s="755"/>
    </row>
    <row r="189" spans="1:18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55"/>
      <c r="R189" s="755"/>
    </row>
    <row r="190" spans="1:18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55"/>
      <c r="R190" s="755"/>
    </row>
    <row r="191" spans="1:18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55"/>
      <c r="R191" s="755"/>
    </row>
    <row r="192" spans="1:18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55"/>
      <c r="R192" s="755"/>
    </row>
    <row r="193" spans="1:18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55"/>
      <c r="R193" s="755"/>
    </row>
    <row r="194" spans="1:18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55"/>
      <c r="R194" s="755"/>
    </row>
    <row r="195" spans="1:18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55"/>
      <c r="R195" s="755"/>
    </row>
    <row r="196" spans="1:18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55"/>
      <c r="R196" s="755"/>
    </row>
    <row r="197" spans="1:18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55"/>
      <c r="R197" s="755"/>
    </row>
    <row r="198" spans="1:18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55"/>
      <c r="R198" s="755"/>
    </row>
    <row r="199" spans="1:18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55"/>
      <c r="R199" s="755"/>
    </row>
    <row r="200" spans="1:18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55"/>
      <c r="R200" s="755"/>
    </row>
    <row r="201" spans="1:18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55"/>
      <c r="R201" s="755"/>
    </row>
    <row r="202" spans="1:18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55"/>
      <c r="R202" s="755"/>
    </row>
    <row r="203" spans="1:18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55"/>
      <c r="R203" s="755"/>
    </row>
    <row r="204" spans="1:18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55"/>
      <c r="R204" s="755"/>
    </row>
    <row r="205" spans="1:18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55"/>
      <c r="R205" s="755"/>
    </row>
    <row r="206" spans="1:18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55"/>
      <c r="R206" s="755"/>
    </row>
    <row r="207" spans="1:18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55"/>
      <c r="R207" s="755"/>
    </row>
    <row r="208" spans="1:18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55"/>
      <c r="R208" s="755"/>
    </row>
    <row r="209" spans="1:18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55"/>
      <c r="R209" s="755"/>
    </row>
    <row r="210" spans="1:18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55"/>
      <c r="R210" s="755"/>
    </row>
    <row r="211" spans="1:18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55"/>
      <c r="R211" s="755"/>
    </row>
    <row r="212" spans="1:18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55"/>
      <c r="R212" s="755"/>
    </row>
    <row r="213" spans="1:18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55"/>
      <c r="R213" s="755"/>
    </row>
    <row r="214" spans="1:18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55"/>
      <c r="R214" s="755"/>
    </row>
    <row r="215" spans="1:18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55"/>
      <c r="R215" s="755"/>
    </row>
    <row r="216" spans="1:18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55"/>
      <c r="R216" s="755"/>
    </row>
    <row r="217" spans="1:18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55"/>
      <c r="R217" s="755"/>
    </row>
    <row r="218" spans="1:18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55"/>
      <c r="R218" s="755"/>
    </row>
    <row r="219" spans="1:18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55"/>
      <c r="R219" s="755"/>
    </row>
    <row r="220" spans="1:18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55"/>
      <c r="R220" s="755"/>
    </row>
    <row r="221" spans="1:18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55"/>
      <c r="R221" s="755"/>
    </row>
    <row r="222" spans="1:18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55"/>
      <c r="R222" s="755"/>
    </row>
    <row r="223" spans="1:18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55"/>
      <c r="R223" s="755"/>
    </row>
    <row r="224" spans="1:18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55"/>
      <c r="R224" s="755"/>
    </row>
    <row r="225" spans="1:18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55"/>
      <c r="R225" s="755"/>
    </row>
    <row r="226" spans="1:18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55"/>
      <c r="R226" s="755"/>
    </row>
    <row r="227" spans="1:18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55"/>
      <c r="R227" s="755"/>
    </row>
    <row r="228" spans="1:18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55"/>
      <c r="R228" s="755"/>
    </row>
    <row r="229" spans="1:18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55"/>
      <c r="R229" s="755"/>
    </row>
    <row r="230" spans="1:18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55"/>
      <c r="R230" s="755"/>
    </row>
    <row r="231" spans="1:18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55"/>
      <c r="R231" s="755"/>
    </row>
    <row r="232" spans="1:18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55"/>
      <c r="R232" s="755"/>
    </row>
    <row r="233" spans="1:18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55"/>
      <c r="R233" s="755"/>
    </row>
    <row r="234" spans="1:18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55"/>
      <c r="R234" s="755"/>
    </row>
    <row r="235" spans="1:18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55"/>
      <c r="R235" s="755"/>
    </row>
    <row r="236" spans="1:18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55"/>
      <c r="R236" s="755"/>
    </row>
    <row r="237" spans="1:18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55"/>
      <c r="R237" s="755"/>
    </row>
    <row r="238" spans="1:18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55"/>
      <c r="R238" s="755"/>
    </row>
    <row r="239" spans="1:18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55"/>
      <c r="R239" s="755"/>
    </row>
    <row r="240" spans="1:18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55"/>
      <c r="R240" s="755"/>
    </row>
    <row r="241" spans="1:18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55"/>
      <c r="R241" s="755"/>
    </row>
    <row r="242" spans="1:18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55"/>
      <c r="R242" s="755"/>
    </row>
    <row r="243" spans="1:18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55"/>
      <c r="R243" s="755"/>
    </row>
    <row r="244" spans="1:18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55"/>
      <c r="R244" s="755"/>
    </row>
    <row r="245" spans="1:18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55"/>
      <c r="R245" s="755"/>
    </row>
    <row r="246" spans="1:18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55"/>
      <c r="R246" s="755"/>
    </row>
    <row r="247" spans="1:18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55"/>
      <c r="R247" s="755"/>
    </row>
    <row r="248" spans="1:18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55"/>
      <c r="R248" s="755"/>
    </row>
    <row r="249" spans="1:18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55"/>
      <c r="R249" s="755"/>
    </row>
    <row r="250" spans="1:18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55"/>
      <c r="R250" s="755"/>
    </row>
    <row r="251" spans="1:18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55"/>
      <c r="R251" s="755"/>
    </row>
    <row r="252" spans="1:18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55"/>
      <c r="R252" s="755"/>
    </row>
    <row r="253" spans="1:18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55"/>
      <c r="R253" s="755"/>
    </row>
    <row r="254" spans="1:18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55"/>
      <c r="R254" s="755"/>
    </row>
    <row r="255" spans="1:18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55"/>
      <c r="R255" s="755"/>
    </row>
    <row r="256" spans="1:18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55"/>
      <c r="R256" s="755"/>
    </row>
    <row r="257" spans="1:18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55"/>
      <c r="R257" s="755"/>
    </row>
    <row r="258" spans="1:18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55"/>
      <c r="R258" s="755"/>
    </row>
    <row r="259" spans="1:18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55"/>
      <c r="R259" s="755"/>
    </row>
    <row r="260" spans="1:18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55"/>
      <c r="R260" s="755"/>
    </row>
    <row r="261" spans="1:18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55"/>
      <c r="R261" s="755"/>
    </row>
    <row r="262" spans="1:18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55"/>
      <c r="R262" s="755"/>
    </row>
    <row r="263" spans="1:18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55"/>
      <c r="R263" s="755"/>
    </row>
    <row r="264" spans="1:18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55"/>
      <c r="R264" s="755"/>
    </row>
    <row r="265" spans="1:18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55"/>
      <c r="R265" s="755"/>
    </row>
    <row r="266" spans="1:18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55"/>
      <c r="R266" s="755"/>
    </row>
    <row r="267" spans="1:18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55"/>
      <c r="R267" s="755"/>
    </row>
    <row r="268" spans="1:18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55"/>
      <c r="R268" s="755"/>
    </row>
    <row r="269" spans="1:18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55"/>
      <c r="R269" s="755"/>
    </row>
    <row r="270" spans="1:18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55"/>
      <c r="R270" s="755"/>
    </row>
    <row r="271" spans="1:18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55"/>
      <c r="R271" s="755"/>
    </row>
    <row r="272" spans="1:18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55"/>
      <c r="R272" s="755"/>
    </row>
    <row r="273" spans="1:18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55"/>
      <c r="R273" s="755"/>
    </row>
    <row r="274" spans="1:18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55"/>
      <c r="R274" s="755"/>
    </row>
    <row r="275" spans="1:18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55"/>
      <c r="R275" s="755"/>
    </row>
    <row r="276" spans="1:18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55"/>
      <c r="R276" s="755"/>
    </row>
    <row r="277" spans="1:18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55"/>
      <c r="R277" s="755"/>
    </row>
    <row r="278" spans="1:18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55"/>
      <c r="R278" s="755"/>
    </row>
    <row r="279" spans="1:18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55"/>
      <c r="R279" s="755"/>
    </row>
    <row r="280" spans="1:18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55"/>
      <c r="R280" s="755"/>
    </row>
    <row r="281" spans="1:18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55"/>
      <c r="R281" s="755"/>
    </row>
    <row r="282" spans="1:18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55"/>
      <c r="R282" s="755"/>
    </row>
    <row r="283" spans="1:18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55"/>
      <c r="R283" s="755"/>
    </row>
    <row r="284" spans="1:18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55"/>
      <c r="R284" s="755"/>
    </row>
    <row r="285" spans="1:18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55"/>
      <c r="R285" s="755"/>
    </row>
    <row r="286" spans="1:18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55"/>
      <c r="R286" s="755"/>
    </row>
    <row r="287" spans="1:18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55"/>
      <c r="R287" s="755"/>
    </row>
    <row r="288" spans="1:18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55"/>
      <c r="R288" s="755"/>
    </row>
    <row r="289" spans="1:18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55"/>
      <c r="R289" s="755"/>
    </row>
    <row r="290" spans="1:18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55"/>
      <c r="R290" s="755"/>
    </row>
    <row r="291" spans="1:18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55"/>
      <c r="R291" s="755"/>
    </row>
    <row r="292" spans="1:18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55"/>
      <c r="R292" s="755"/>
    </row>
    <row r="293" spans="1:18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55"/>
      <c r="R293" s="755"/>
    </row>
    <row r="294" spans="1:18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55"/>
      <c r="R294" s="755"/>
    </row>
    <row r="295" spans="1:18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55"/>
      <c r="R295" s="755"/>
    </row>
    <row r="296" spans="1:18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55"/>
      <c r="R296" s="755"/>
    </row>
    <row r="297" spans="1:18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55"/>
      <c r="R297" s="755"/>
    </row>
    <row r="298" spans="1:18" x14ac:dyDescent="0.2">
      <c r="A298" s="760"/>
      <c r="B298" s="760"/>
      <c r="C298" s="814"/>
      <c r="D298" s="814"/>
      <c r="E298" s="755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55"/>
      <c r="R298" s="755"/>
    </row>
    <row r="299" spans="1:18" x14ac:dyDescent="0.2">
      <c r="A299" s="815">
        <v>1</v>
      </c>
      <c r="B299" s="816" t="str">
        <f t="shared" ref="B299:B302" si="2">IFERROR(INDEX(H$99:H$299,MATCH(A299&amp;". koht",H$100:H$300,0)),"")</f>
        <v>Kristiin-Marleen Neiland</v>
      </c>
      <c r="C299" s="755"/>
      <c r="D299" s="817"/>
      <c r="E299" s="817"/>
      <c r="F299" s="760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55"/>
      <c r="R299" s="755"/>
    </row>
    <row r="300" spans="1:18" x14ac:dyDescent="0.2">
      <c r="A300" s="815">
        <v>2</v>
      </c>
      <c r="B300" s="816" t="str">
        <f t="shared" si="2"/>
        <v>Kaspar Mänd</v>
      </c>
      <c r="C300" s="755"/>
      <c r="D300" s="817"/>
      <c r="E300" s="817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55"/>
      <c r="R300" s="755"/>
    </row>
    <row r="301" spans="1:18" x14ac:dyDescent="0.2">
      <c r="A301" s="815">
        <v>3</v>
      </c>
      <c r="B301" s="816" t="str">
        <f t="shared" si="2"/>
        <v>Veroonika Mendes</v>
      </c>
      <c r="C301" s="755"/>
      <c r="D301" s="817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55"/>
      <c r="R301" s="755"/>
    </row>
    <row r="302" spans="1:18" x14ac:dyDescent="0.2">
      <c r="A302" s="815">
        <v>4</v>
      </c>
      <c r="B302" s="816" t="str">
        <f t="shared" si="2"/>
        <v>Aurelia Meldre</v>
      </c>
      <c r="C302" s="755"/>
      <c r="D302" s="817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55"/>
      <c r="R302" s="755"/>
    </row>
    <row r="303" spans="1:18" x14ac:dyDescent="0.2">
      <c r="A303" s="755"/>
      <c r="B303" s="818"/>
      <c r="C303" s="755"/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</row>
    <row r="304" spans="1:18" x14ac:dyDescent="0.2">
      <c r="A304" s="755"/>
      <c r="B304" s="755"/>
      <c r="C304" s="755"/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</row>
    <row r="305" spans="1:18" x14ac:dyDescent="0.2">
      <c r="A305" s="755"/>
      <c r="B305" s="755"/>
      <c r="C305" s="755"/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</row>
    <row r="306" spans="1:18" x14ac:dyDescent="0.2">
      <c r="A306" s="755"/>
      <c r="B306" s="755"/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</row>
  </sheetData>
  <conditionalFormatting sqref="D7 C8">
    <cfRule type="aboveAverage" dxfId="2675" priority="35"/>
  </conditionalFormatting>
  <conditionalFormatting sqref="E7 C9">
    <cfRule type="aboveAverage" dxfId="2674" priority="34"/>
  </conditionalFormatting>
  <conditionalFormatting sqref="F7 C10">
    <cfRule type="aboveAverage" dxfId="2673" priority="33"/>
  </conditionalFormatting>
  <conditionalFormatting sqref="E8 D9">
    <cfRule type="aboveAverage" dxfId="2672" priority="32"/>
  </conditionalFormatting>
  <conditionalFormatting sqref="G7 C11">
    <cfRule type="aboveAverage" dxfId="2671" priority="31"/>
  </conditionalFormatting>
  <conditionalFormatting sqref="F8 D10">
    <cfRule type="aboveAverage" dxfId="2670" priority="30"/>
  </conditionalFormatting>
  <conditionalFormatting sqref="G8 D11">
    <cfRule type="aboveAverage" dxfId="2669" priority="29"/>
  </conditionalFormatting>
  <conditionalFormatting sqref="F9 E10">
    <cfRule type="aboveAverage" dxfId="2668" priority="28"/>
  </conditionalFormatting>
  <conditionalFormatting sqref="G9 E11">
    <cfRule type="aboveAverage" dxfId="2667" priority="27"/>
  </conditionalFormatting>
  <conditionalFormatting sqref="F11 G10">
    <cfRule type="aboveAverage" dxfId="2666" priority="26"/>
  </conditionalFormatting>
  <conditionalFormatting sqref="C16:C17 C68">
    <cfRule type="aboveAverage" dxfId="2665" priority="25"/>
  </conditionalFormatting>
  <conditionalFormatting sqref="D16:D17 D68">
    <cfRule type="aboveAverage" dxfId="2664" priority="24"/>
  </conditionalFormatting>
  <conditionalFormatting sqref="N20:N23">
    <cfRule type="duplicateValues" dxfId="2663" priority="23"/>
  </conditionalFormatting>
  <conditionalFormatting sqref="N25:N30">
    <cfRule type="duplicateValues" dxfId="2662" priority="22"/>
  </conditionalFormatting>
  <conditionalFormatting sqref="N14:N16 N18:N19">
    <cfRule type="duplicateValues" dxfId="2661" priority="36"/>
  </conditionalFormatting>
  <conditionalFormatting sqref="N13 N5">
    <cfRule type="duplicateValues" dxfId="2660" priority="37"/>
  </conditionalFormatting>
  <conditionalFormatting sqref="N48:N51">
    <cfRule type="duplicateValues" dxfId="2659" priority="19"/>
  </conditionalFormatting>
  <conditionalFormatting sqref="N53:N58">
    <cfRule type="duplicateValues" dxfId="2658" priority="18"/>
  </conditionalFormatting>
  <conditionalFormatting sqref="N42:N44 N46:N47">
    <cfRule type="duplicateValues" dxfId="2657" priority="20"/>
  </conditionalFormatting>
  <conditionalFormatting sqref="N37 N39:N41">
    <cfRule type="duplicateValues" dxfId="2656" priority="21"/>
  </conditionalFormatting>
  <conditionalFormatting sqref="B299">
    <cfRule type="expression" dxfId="2655" priority="13">
      <formula>A299=3</formula>
    </cfRule>
    <cfRule type="expression" dxfId="2654" priority="14">
      <formula>A299=2</formula>
    </cfRule>
    <cfRule type="expression" dxfId="2653" priority="15">
      <formula>A299=1</formula>
    </cfRule>
    <cfRule type="containsBlanks" dxfId="2652" priority="16">
      <formula>LEN(TRIM(B299))=0</formula>
    </cfRule>
    <cfRule type="duplicateValues" dxfId="2651" priority="17"/>
  </conditionalFormatting>
  <conditionalFormatting sqref="B11">
    <cfRule type="duplicateValues" dxfId="2650" priority="38"/>
  </conditionalFormatting>
  <conditionalFormatting sqref="K7:K11">
    <cfRule type="expression" dxfId="2649" priority="7">
      <formula>AND(J7=3,IF(COUNTIF(J$7:J$11,"=3")&gt;=2,TRUE))</formula>
    </cfRule>
    <cfRule type="expression" dxfId="2648" priority="8">
      <formula>AND(J7=1,IF(COUNTIF(J$7:J$11,"=1")&gt;=2,TRUE))</formula>
    </cfRule>
    <cfRule type="expression" dxfId="2647" priority="9">
      <formula>AND(J7=2,IF(COUNTIF(J$7:J$11,"=2")&gt;=2,TRUE))</formula>
    </cfRule>
  </conditionalFormatting>
  <conditionalFormatting sqref="H7:H11">
    <cfRule type="expression" dxfId="2646" priority="4">
      <formula>AND(J7=1,IF(COUNTIF(J$7:J$11,"=1")&gt;=2,TRUE))</formula>
    </cfRule>
    <cfRule type="expression" dxfId="2645" priority="5">
      <formula>AND(J7=3,IF(COUNTIF(J$7:J$11,"=3")&gt;=2,TRUE))</formula>
    </cfRule>
    <cfRule type="expression" dxfId="2644" priority="6">
      <formula>AND(J7=2,IF(COUNTIF(J$7:J$11,"=2")&gt;=2,TRUE))</formula>
    </cfRule>
  </conditionalFormatting>
  <conditionalFormatting sqref="L7:L11">
    <cfRule type="expression" dxfId="2643" priority="1">
      <formula>OR(J7=0,J7=4)</formula>
    </cfRule>
    <cfRule type="expression" dxfId="2642" priority="2">
      <formula>AND(J7=1,IF(COUNTIF(J$7:J$11,"=1")=1,TRUE))</formula>
    </cfRule>
    <cfRule type="expression" dxfId="2641" priority="3">
      <formula>AND(J7=3,IF(COUNTIF(J$7:J$11,"=3")=1,TRUE))</formula>
    </cfRule>
  </conditionalFormatting>
  <conditionalFormatting sqref="B300:B306">
    <cfRule type="expression" dxfId="2640" priority="39">
      <formula>A300=3</formula>
    </cfRule>
    <cfRule type="expression" dxfId="2639" priority="40">
      <formula>A300=2</formula>
    </cfRule>
    <cfRule type="expression" dxfId="2638" priority="41">
      <formula>A300=1</formula>
    </cfRule>
    <cfRule type="containsBlanks" dxfId="2637" priority="42">
      <formula>LEN(TRIM(B300))=0</formula>
    </cfRule>
    <cfRule type="duplicateValues" dxfId="2636" priority="43"/>
  </conditionalFormatting>
  <pageMargins left="0.78740157480314965" right="0.39370078740157483" top="0.78740157480314965" bottom="0.27559055118110237" header="0.59055118110236227" footer="0"/>
  <pageSetup paperSize="9" fitToHeight="0" orientation="portrait" verticalDpi="0" r:id="rId1"/>
  <headerFooter>
    <oddHeader>&amp;R&amp;9Page &amp;P of &amp;N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R316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3.2851562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7.7109375" style="1" hidden="1" customWidth="1"/>
    <col min="35" max="35" width="6" style="1" hidden="1" customWidth="1"/>
    <col min="36" max="36" width="17" style="1" hidden="1" customWidth="1"/>
    <col min="37" max="37" width="6" style="1" hidden="1" customWidth="1"/>
    <col min="38" max="38" width="18.7109375" style="1" hidden="1" customWidth="1"/>
    <col min="39" max="39" width="0" style="1" hidden="1" customWidth="1"/>
    <col min="40" max="40" width="17.28515625" style="1" hidden="1" customWidth="1"/>
    <col min="41" max="41" width="0" style="1" hidden="1" customWidth="1"/>
    <col min="42" max="42" width="13.85546875" style="1" hidden="1" customWidth="1"/>
    <col min="43" max="16384" width="9.140625" style="1"/>
  </cols>
  <sheetData>
    <row r="1" spans="1:44" x14ac:dyDescent="0.2">
      <c r="A1" s="753" t="str">
        <f>UPPER((Kalend!E25)&amp;" - "&amp;(Kalend!C25)&amp;" - "&amp;(Kalend!D25))</f>
        <v>V9 - VOKA 2. SISE-KV 9.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760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  <c r="AR1" s="760"/>
    </row>
    <row r="2" spans="1:44" x14ac:dyDescent="0.2">
      <c r="A2" s="757" t="str">
        <f>"Toimumisaeg: "&amp;(Kalend!A25)&amp;" kell "&amp;(Kalend!B25)</f>
        <v>Toimumisaeg: L, 05.01.2019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  <c r="AR2" s="760"/>
    </row>
    <row r="3" spans="1:44" x14ac:dyDescent="0.2">
      <c r="A3" s="757" t="str">
        <f>"Toimumiskoht: "&amp;(Kalend!F25)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  <c r="AR3" s="760"/>
    </row>
    <row r="4" spans="1:44" x14ac:dyDescent="0.2">
      <c r="A4" s="757" t="str">
        <f>"Korraldaja: "&amp;(Kalend!G25)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  <c r="AR4" s="760"/>
    </row>
    <row r="5" spans="1:44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  <c r="AR5" s="760"/>
    </row>
    <row r="6" spans="1:44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  <c r="AR6" s="760"/>
    </row>
    <row r="7" spans="1:44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  <c r="AR7" s="760"/>
    </row>
    <row r="8" spans="1:44" x14ac:dyDescent="0.2">
      <c r="A8" s="897">
        <v>1</v>
      </c>
      <c r="B8" s="940" t="s">
        <v>368</v>
      </c>
      <c r="C8" s="900"/>
      <c r="D8" s="901" t="s">
        <v>450</v>
      </c>
      <c r="E8" s="902"/>
      <c r="F8" s="903"/>
      <c r="G8" s="900"/>
      <c r="H8" s="901" t="s">
        <v>450</v>
      </c>
      <c r="I8" s="902"/>
      <c r="J8" s="903"/>
      <c r="K8" s="900"/>
      <c r="L8" s="901" t="s">
        <v>450</v>
      </c>
      <c r="M8" s="902"/>
      <c r="N8" s="903"/>
      <c r="O8" s="900"/>
      <c r="P8" s="901" t="s">
        <v>450</v>
      </c>
      <c r="Q8" s="902"/>
      <c r="R8" s="903"/>
      <c r="S8" s="900"/>
      <c r="T8" s="901" t="s">
        <v>450</v>
      </c>
      <c r="U8" s="902"/>
      <c r="V8" s="903"/>
      <c r="W8" s="900"/>
      <c r="X8" s="901" t="s">
        <v>450</v>
      </c>
      <c r="Y8" s="902"/>
      <c r="Z8" s="903"/>
      <c r="AA8" s="904">
        <f t="shared" ref="AA8:AA20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0</v>
      </c>
      <c r="AB8" s="905"/>
      <c r="AC8" s="900">
        <f t="shared" ref="AC8:AC20" si="1">C8+G8+K8+O8+S8+W8</f>
        <v>0</v>
      </c>
      <c r="AD8" s="901" t="s">
        <v>450</v>
      </c>
      <c r="AE8" s="906">
        <f t="shared" ref="AE8:AE20" si="2">E8+I8+M8+Q8+U8+Y8</f>
        <v>0</v>
      </c>
      <c r="AF8" s="907">
        <f t="shared" ref="AF8:AF20" si="3">AC8-AE8</f>
        <v>0</v>
      </c>
      <c r="AG8" s="908"/>
      <c r="AH8" s="764">
        <f t="shared" ref="AH8:AH20" si="4">SUM(AI8:AP8)</f>
        <v>317</v>
      </c>
      <c r="AI8" s="784">
        <f>IFERROR(INDEX(V!$R:$R,MATCH(AJ8,V!$L:$L,0)),"")</f>
        <v>159</v>
      </c>
      <c r="AJ8" s="783" t="str">
        <f>IFERROR(LEFT(B8,(FIND(",",B8,1)-1)),"")</f>
        <v>Jaan Sepp</v>
      </c>
      <c r="AK8" s="784">
        <f>IFERROR(INDEX(V!$R:$R,MATCH(AL8,V!$L:$L,0)),"")</f>
        <v>158</v>
      </c>
      <c r="AL8" s="783" t="str">
        <f>IFERROR(MID(B8,FIND(", ",B8)+2,256),"")</f>
        <v>Oskar Sepp</v>
      </c>
      <c r="AM8" s="784" t="str">
        <f>IFERROR(INDEX(V!$R:$R,MATCH(AN8,V!$L:$L,0)),"")</f>
        <v/>
      </c>
      <c r="AN8" s="785" t="str">
        <f>IFERROR(MID(B8,FIND("^",SUBSTITUTE(B8,", ","^",1))+2,FIND("^",SUBSTITUTE(B8,", ","^",2))-FIND("^",SUBSTITUTE(B8,", ","^",1))-2),"")</f>
        <v/>
      </c>
      <c r="AO8" s="784" t="str">
        <f>IFERROR(INDEX(V!$R:$R,MATCH(AP8,V!$L:$L,0)),"")</f>
        <v/>
      </c>
      <c r="AP8" s="785" t="str">
        <f>IFERROR(MID(B8,FIND(", ",B8,FIND(", ",B8,FIND(", ",B8))+1)+2,700),"")</f>
        <v/>
      </c>
      <c r="AQ8" s="760"/>
      <c r="AR8" s="760"/>
    </row>
    <row r="9" spans="1:44" x14ac:dyDescent="0.2">
      <c r="A9" s="897">
        <v>2</v>
      </c>
      <c r="B9" s="940" t="s">
        <v>485</v>
      </c>
      <c r="C9" s="900"/>
      <c r="D9" s="901" t="s">
        <v>450</v>
      </c>
      <c r="E9" s="902"/>
      <c r="F9" s="903"/>
      <c r="G9" s="900"/>
      <c r="H9" s="901" t="s">
        <v>450</v>
      </c>
      <c r="I9" s="902"/>
      <c r="J9" s="903"/>
      <c r="K9" s="900"/>
      <c r="L9" s="901" t="s">
        <v>450</v>
      </c>
      <c r="M9" s="902"/>
      <c r="N9" s="903"/>
      <c r="O9" s="900"/>
      <c r="P9" s="901" t="s">
        <v>450</v>
      </c>
      <c r="Q9" s="902"/>
      <c r="R9" s="903"/>
      <c r="S9" s="900"/>
      <c r="T9" s="901" t="s">
        <v>450</v>
      </c>
      <c r="U9" s="902"/>
      <c r="V9" s="903"/>
      <c r="W9" s="900"/>
      <c r="X9" s="901" t="s">
        <v>450</v>
      </c>
      <c r="Y9" s="902"/>
      <c r="Z9" s="903"/>
      <c r="AA9" s="904">
        <f t="shared" si="0"/>
        <v>0</v>
      </c>
      <c r="AB9" s="905"/>
      <c r="AC9" s="900">
        <f t="shared" si="1"/>
        <v>0</v>
      </c>
      <c r="AD9" s="901" t="s">
        <v>450</v>
      </c>
      <c r="AE9" s="906">
        <f t="shared" si="2"/>
        <v>0</v>
      </c>
      <c r="AF9" s="907">
        <f t="shared" si="3"/>
        <v>0</v>
      </c>
      <c r="AG9" s="908"/>
      <c r="AH9" s="764">
        <f t="shared" si="4"/>
        <v>192</v>
      </c>
      <c r="AI9" s="784">
        <f>IFERROR(INDEX(V!$R:$R,MATCH(AJ9,V!$L:$L,0)),"")</f>
        <v>61</v>
      </c>
      <c r="AJ9" s="783" t="str">
        <f t="shared" ref="AJ9:AJ20" si="5">IFERROR(LEFT(B9,(FIND(",",B9,1)-1)),"")</f>
        <v>Henri Mitt</v>
      </c>
      <c r="AK9" s="784">
        <f>IFERROR(INDEX(V!$R:$R,MATCH(AL9,V!$L:$L,0)),"")</f>
        <v>131</v>
      </c>
      <c r="AL9" s="783" t="str">
        <f t="shared" ref="AL9:AL20" si="6">IFERROR(MID(B9,FIND(", ",B9)+2,256),"")</f>
        <v>Kenneth Muusikus</v>
      </c>
      <c r="AM9" s="784" t="str">
        <f>IFERROR(INDEX(V!$R:$R,MATCH(AN9,V!$L:$L,0)),"")</f>
        <v/>
      </c>
      <c r="AN9" s="785" t="str">
        <f t="shared" ref="AN9:AN20" si="7">IFERROR(MID(B9,FIND("^",SUBSTITUTE(B9,", ","^",1))+2,FIND("^",SUBSTITUTE(B9,", ","^",2))-FIND("^",SUBSTITUTE(B9,", ","^",1))-2),"")</f>
        <v/>
      </c>
      <c r="AO9" s="784" t="str">
        <f>IFERROR(INDEX(V!$R:$R,MATCH(AP9,V!$L:$L,0)),"")</f>
        <v/>
      </c>
      <c r="AP9" s="785" t="str">
        <f t="shared" ref="AP9:AP20" si="8">IFERROR(MID(B9,FIND(", ",B9,FIND(", ",B9,FIND(", ",B9))+1)+2,700),"")</f>
        <v/>
      </c>
      <c r="AQ9" s="760"/>
      <c r="AR9" s="760"/>
    </row>
    <row r="10" spans="1:44" x14ac:dyDescent="0.2">
      <c r="A10" s="897">
        <v>3</v>
      </c>
      <c r="B10" s="940" t="s">
        <v>486</v>
      </c>
      <c r="C10" s="900"/>
      <c r="D10" s="901" t="s">
        <v>450</v>
      </c>
      <c r="E10" s="902"/>
      <c r="F10" s="903"/>
      <c r="G10" s="900"/>
      <c r="H10" s="901" t="s">
        <v>450</v>
      </c>
      <c r="I10" s="902"/>
      <c r="J10" s="903"/>
      <c r="K10" s="900"/>
      <c r="L10" s="901" t="s">
        <v>450</v>
      </c>
      <c r="M10" s="902"/>
      <c r="N10" s="903"/>
      <c r="O10" s="900"/>
      <c r="P10" s="901" t="s">
        <v>450</v>
      </c>
      <c r="Q10" s="902"/>
      <c r="R10" s="903"/>
      <c r="S10" s="900"/>
      <c r="T10" s="901" t="s">
        <v>450</v>
      </c>
      <c r="U10" s="902"/>
      <c r="V10" s="903"/>
      <c r="W10" s="900"/>
      <c r="X10" s="901" t="s">
        <v>450</v>
      </c>
      <c r="Y10" s="902"/>
      <c r="Z10" s="903"/>
      <c r="AA10" s="904">
        <f t="shared" si="0"/>
        <v>0</v>
      </c>
      <c r="AB10" s="905"/>
      <c r="AC10" s="900">
        <f t="shared" si="1"/>
        <v>0</v>
      </c>
      <c r="AD10" s="901" t="s">
        <v>450</v>
      </c>
      <c r="AE10" s="906">
        <f t="shared" si="2"/>
        <v>0</v>
      </c>
      <c r="AF10" s="907">
        <f t="shared" si="3"/>
        <v>0</v>
      </c>
      <c r="AG10" s="908"/>
      <c r="AH10" s="764">
        <f t="shared" si="4"/>
        <v>176</v>
      </c>
      <c r="AI10" s="784">
        <f>IFERROR(INDEX(V!$R:$R,MATCH(AJ10,V!$L:$L,0)),"")</f>
        <v>51</v>
      </c>
      <c r="AJ10" s="783" t="str">
        <f t="shared" si="5"/>
        <v>Janek Tarto</v>
      </c>
      <c r="AK10" s="784">
        <f>IFERROR(INDEX(V!$R:$R,MATCH(AL10,V!$L:$L,0)),"")</f>
        <v>125</v>
      </c>
      <c r="AL10" s="783" t="str">
        <f t="shared" si="6"/>
        <v>Meelis Luud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  <c r="AR10" s="760"/>
    </row>
    <row r="11" spans="1:44" x14ac:dyDescent="0.2">
      <c r="A11" s="897">
        <v>4</v>
      </c>
      <c r="B11" s="940" t="s">
        <v>399</v>
      </c>
      <c r="C11" s="900"/>
      <c r="D11" s="901" t="s">
        <v>450</v>
      </c>
      <c r="E11" s="902"/>
      <c r="F11" s="903"/>
      <c r="G11" s="900"/>
      <c r="H11" s="901" t="s">
        <v>450</v>
      </c>
      <c r="I11" s="902"/>
      <c r="J11" s="903"/>
      <c r="K11" s="900"/>
      <c r="L11" s="901" t="s">
        <v>450</v>
      </c>
      <c r="M11" s="902"/>
      <c r="N11" s="903"/>
      <c r="O11" s="900"/>
      <c r="P11" s="901" t="s">
        <v>450</v>
      </c>
      <c r="Q11" s="902"/>
      <c r="R11" s="903"/>
      <c r="S11" s="900"/>
      <c r="T11" s="901" t="s">
        <v>450</v>
      </c>
      <c r="U11" s="902"/>
      <c r="V11" s="903"/>
      <c r="W11" s="900"/>
      <c r="X11" s="901" t="s">
        <v>450</v>
      </c>
      <c r="Y11" s="902"/>
      <c r="Z11" s="903"/>
      <c r="AA11" s="904">
        <f t="shared" si="0"/>
        <v>0</v>
      </c>
      <c r="AB11" s="905"/>
      <c r="AC11" s="900">
        <f t="shared" si="1"/>
        <v>0</v>
      </c>
      <c r="AD11" s="901" t="s">
        <v>450</v>
      </c>
      <c r="AE11" s="906">
        <f t="shared" si="2"/>
        <v>0</v>
      </c>
      <c r="AF11" s="907">
        <f t="shared" si="3"/>
        <v>0</v>
      </c>
      <c r="AG11" s="908"/>
      <c r="AH11" s="764">
        <f t="shared" si="4"/>
        <v>200</v>
      </c>
      <c r="AI11" s="784">
        <f>IFERROR(INDEX(V!$R:$R,MATCH(AJ11,V!$L:$L,0)),"")</f>
        <v>123.5</v>
      </c>
      <c r="AJ11" s="783" t="str">
        <f t="shared" si="5"/>
        <v>Karla Purgats</v>
      </c>
      <c r="AK11" s="784">
        <f>IFERROR(INDEX(V!$R:$R,MATCH(AL11,V!$L:$L,0)),"")</f>
        <v>76.5</v>
      </c>
      <c r="AL11" s="783" t="str">
        <f t="shared" si="6"/>
        <v>Lemmit Toomra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  <c r="AR11" s="760"/>
    </row>
    <row r="12" spans="1:44" x14ac:dyDescent="0.2">
      <c r="A12" s="897">
        <v>4</v>
      </c>
      <c r="B12" s="940" t="s">
        <v>396</v>
      </c>
      <c r="C12" s="900"/>
      <c r="D12" s="901" t="s">
        <v>450</v>
      </c>
      <c r="E12" s="902"/>
      <c r="F12" s="903"/>
      <c r="G12" s="900"/>
      <c r="H12" s="901" t="s">
        <v>450</v>
      </c>
      <c r="I12" s="902"/>
      <c r="J12" s="903"/>
      <c r="K12" s="900"/>
      <c r="L12" s="901" t="s">
        <v>450</v>
      </c>
      <c r="M12" s="902"/>
      <c r="N12" s="903"/>
      <c r="O12" s="900"/>
      <c r="P12" s="901" t="s">
        <v>450</v>
      </c>
      <c r="Q12" s="902"/>
      <c r="R12" s="903"/>
      <c r="S12" s="900"/>
      <c r="T12" s="901" t="s">
        <v>450</v>
      </c>
      <c r="U12" s="902"/>
      <c r="V12" s="903"/>
      <c r="W12" s="900"/>
      <c r="X12" s="901" t="s">
        <v>450</v>
      </c>
      <c r="Y12" s="902"/>
      <c r="Z12" s="903"/>
      <c r="AA12" s="904">
        <f t="shared" si="0"/>
        <v>0</v>
      </c>
      <c r="AB12" s="905"/>
      <c r="AC12" s="900">
        <f t="shared" si="1"/>
        <v>0</v>
      </c>
      <c r="AD12" s="901" t="s">
        <v>450</v>
      </c>
      <c r="AE12" s="906">
        <f t="shared" si="2"/>
        <v>0</v>
      </c>
      <c r="AF12" s="907">
        <f t="shared" si="3"/>
        <v>0</v>
      </c>
      <c r="AG12" s="908"/>
      <c r="AH12" s="764">
        <f t="shared" si="4"/>
        <v>164.5</v>
      </c>
      <c r="AI12" s="784">
        <f>IFERROR(INDEX(V!$R:$R,MATCH(AJ12,V!$L:$L,0)),"")</f>
        <v>57</v>
      </c>
      <c r="AJ12" s="783" t="str">
        <f t="shared" si="5"/>
        <v>Tõnu Kapper</v>
      </c>
      <c r="AK12" s="784">
        <f>IFERROR(INDEX(V!$R:$R,MATCH(AL12,V!$L:$L,0)),"")</f>
        <v>107.5</v>
      </c>
      <c r="AL12" s="783" t="str">
        <f t="shared" si="6"/>
        <v>Vladimir Ogneštšikov</v>
      </c>
      <c r="AM12" s="784" t="str">
        <f>IFERROR(INDEX(V!$R:$R,MATCH(AN12,V!$L:$L,0)),"")</f>
        <v/>
      </c>
      <c r="AN12" s="785" t="str">
        <f t="shared" si="7"/>
        <v/>
      </c>
      <c r="AO12" s="784" t="str">
        <f>IFERROR(INDEX(V!$R:$R,MATCH(AP12,V!$L:$L,0)),"")</f>
        <v/>
      </c>
      <c r="AP12" s="785" t="str">
        <f t="shared" si="8"/>
        <v/>
      </c>
      <c r="AQ12" s="760"/>
      <c r="AR12" s="760"/>
    </row>
    <row r="13" spans="1:44" x14ac:dyDescent="0.2">
      <c r="A13" s="897">
        <v>6</v>
      </c>
      <c r="B13" s="940" t="s">
        <v>370</v>
      </c>
      <c r="C13" s="900"/>
      <c r="D13" s="901" t="s">
        <v>450</v>
      </c>
      <c r="E13" s="902"/>
      <c r="F13" s="903"/>
      <c r="G13" s="900"/>
      <c r="H13" s="901" t="s">
        <v>450</v>
      </c>
      <c r="I13" s="902"/>
      <c r="J13" s="903"/>
      <c r="K13" s="900"/>
      <c r="L13" s="901" t="s">
        <v>450</v>
      </c>
      <c r="M13" s="902"/>
      <c r="N13" s="903"/>
      <c r="O13" s="900"/>
      <c r="P13" s="901" t="s">
        <v>450</v>
      </c>
      <c r="Q13" s="902"/>
      <c r="R13" s="903"/>
      <c r="S13" s="900"/>
      <c r="T13" s="901" t="s">
        <v>450</v>
      </c>
      <c r="U13" s="902"/>
      <c r="V13" s="903"/>
      <c r="W13" s="900"/>
      <c r="X13" s="901" t="s">
        <v>450</v>
      </c>
      <c r="Y13" s="902"/>
      <c r="Z13" s="903"/>
      <c r="AA13" s="904">
        <f t="shared" si="0"/>
        <v>0</v>
      </c>
      <c r="AB13" s="905"/>
      <c r="AC13" s="900">
        <f t="shared" si="1"/>
        <v>0</v>
      </c>
      <c r="AD13" s="901" t="s">
        <v>450</v>
      </c>
      <c r="AE13" s="906">
        <f t="shared" si="2"/>
        <v>0</v>
      </c>
      <c r="AF13" s="907">
        <f t="shared" si="3"/>
        <v>0</v>
      </c>
      <c r="AG13" s="908"/>
      <c r="AH13" s="764">
        <f t="shared" si="4"/>
        <v>240</v>
      </c>
      <c r="AI13" s="784">
        <f>IFERROR(INDEX(V!$R:$R,MATCH(AJ13,V!$L:$L,0)),"")</f>
        <v>117</v>
      </c>
      <c r="AJ13" s="783" t="str">
        <f t="shared" si="5"/>
        <v>Elmo Lageda</v>
      </c>
      <c r="AK13" s="784">
        <f>IFERROR(INDEX(V!$R:$R,MATCH(AL13,V!$L:$L,0)),"")</f>
        <v>123</v>
      </c>
      <c r="AL13" s="783" t="str">
        <f t="shared" si="6"/>
        <v>Tõnu Piik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  <c r="AR13" s="760"/>
    </row>
    <row r="14" spans="1:44" x14ac:dyDescent="0.2">
      <c r="A14" s="897">
        <v>7</v>
      </c>
      <c r="B14" s="941" t="s">
        <v>459</v>
      </c>
      <c r="C14" s="900"/>
      <c r="D14" s="901" t="s">
        <v>450</v>
      </c>
      <c r="E14" s="902"/>
      <c r="F14" s="903"/>
      <c r="G14" s="900"/>
      <c r="H14" s="901" t="s">
        <v>450</v>
      </c>
      <c r="I14" s="902"/>
      <c r="J14" s="903"/>
      <c r="K14" s="900"/>
      <c r="L14" s="901" t="s">
        <v>450</v>
      </c>
      <c r="M14" s="902"/>
      <c r="N14" s="903"/>
      <c r="O14" s="900"/>
      <c r="P14" s="901" t="s">
        <v>450</v>
      </c>
      <c r="Q14" s="902"/>
      <c r="R14" s="903"/>
      <c r="S14" s="900"/>
      <c r="T14" s="901" t="s">
        <v>450</v>
      </c>
      <c r="U14" s="902"/>
      <c r="V14" s="903"/>
      <c r="W14" s="900"/>
      <c r="X14" s="901" t="s">
        <v>450</v>
      </c>
      <c r="Y14" s="902"/>
      <c r="Z14" s="903"/>
      <c r="AA14" s="904">
        <f t="shared" si="0"/>
        <v>0</v>
      </c>
      <c r="AB14" s="905"/>
      <c r="AC14" s="900">
        <f t="shared" si="1"/>
        <v>0</v>
      </c>
      <c r="AD14" s="901" t="s">
        <v>450</v>
      </c>
      <c r="AE14" s="906">
        <f t="shared" si="2"/>
        <v>0</v>
      </c>
      <c r="AF14" s="907">
        <f t="shared" si="3"/>
        <v>0</v>
      </c>
      <c r="AG14" s="908"/>
      <c r="AH14" s="764">
        <f t="shared" si="4"/>
        <v>215.5</v>
      </c>
      <c r="AI14" s="784">
        <f>IFERROR(INDEX(V!$R:$R,MATCH(AJ14,V!$L:$L,0)),"")</f>
        <v>105.5</v>
      </c>
      <c r="AJ14" s="783" t="str">
        <f t="shared" si="5"/>
        <v>Mait Metsla</v>
      </c>
      <c r="AK14" s="784">
        <f>IFERROR(INDEX(V!$R:$R,MATCH(AL14,V!$L:$L,0)),"")</f>
        <v>110</v>
      </c>
      <c r="AL14" s="783" t="str">
        <f t="shared" si="6"/>
        <v>Matti Vinni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  <c r="AR14" s="760"/>
    </row>
    <row r="15" spans="1:44" x14ac:dyDescent="0.2">
      <c r="A15" s="897">
        <v>8</v>
      </c>
      <c r="B15" s="941" t="s">
        <v>404</v>
      </c>
      <c r="C15" s="900"/>
      <c r="D15" s="901" t="s">
        <v>450</v>
      </c>
      <c r="E15" s="902"/>
      <c r="F15" s="903"/>
      <c r="G15" s="900"/>
      <c r="H15" s="901" t="s">
        <v>450</v>
      </c>
      <c r="I15" s="902"/>
      <c r="J15" s="903"/>
      <c r="K15" s="900"/>
      <c r="L15" s="901" t="s">
        <v>450</v>
      </c>
      <c r="M15" s="902"/>
      <c r="N15" s="903"/>
      <c r="O15" s="900"/>
      <c r="P15" s="901" t="s">
        <v>450</v>
      </c>
      <c r="Q15" s="902"/>
      <c r="R15" s="903"/>
      <c r="S15" s="900"/>
      <c r="T15" s="901" t="s">
        <v>450</v>
      </c>
      <c r="U15" s="902"/>
      <c r="V15" s="903"/>
      <c r="W15" s="900"/>
      <c r="X15" s="901" t="s">
        <v>450</v>
      </c>
      <c r="Y15" s="902"/>
      <c r="Z15" s="903"/>
      <c r="AA15" s="904">
        <f t="shared" si="0"/>
        <v>0</v>
      </c>
      <c r="AB15" s="905"/>
      <c r="AC15" s="900">
        <f t="shared" si="1"/>
        <v>0</v>
      </c>
      <c r="AD15" s="901" t="s">
        <v>450</v>
      </c>
      <c r="AE15" s="906">
        <f t="shared" si="2"/>
        <v>0</v>
      </c>
      <c r="AF15" s="907">
        <f t="shared" si="3"/>
        <v>0</v>
      </c>
      <c r="AG15" s="908"/>
      <c r="AH15" s="764">
        <f t="shared" si="4"/>
        <v>190.5</v>
      </c>
      <c r="AI15" s="784">
        <f>IFERROR(INDEX(V!$R:$R,MATCH(AJ15,V!$L:$L,0)),"")</f>
        <v>98.5</v>
      </c>
      <c r="AJ15" s="783" t="str">
        <f t="shared" si="5"/>
        <v>Illar Tõnurist</v>
      </c>
      <c r="AK15" s="784">
        <f>IFERROR(INDEX(V!$R:$R,MATCH(AL15,V!$L:$L,0)),"")</f>
        <v>92</v>
      </c>
      <c r="AL15" s="783" t="str">
        <f t="shared" si="6"/>
        <v>Jaan Saar</v>
      </c>
      <c r="AM15" s="784" t="str">
        <f>IFERROR(INDEX(V!$R:$R,MATCH(AN15,V!$L:$L,0)),"")</f>
        <v/>
      </c>
      <c r="AN15" s="785" t="str">
        <f t="shared" si="7"/>
        <v/>
      </c>
      <c r="AO15" s="784" t="str">
        <f>IFERROR(INDEX(V!$R:$R,MATCH(AP15,V!$L:$L,0)),"")</f>
        <v/>
      </c>
      <c r="AP15" s="785" t="str">
        <f t="shared" si="8"/>
        <v/>
      </c>
      <c r="AQ15" s="760"/>
      <c r="AR15" s="760"/>
    </row>
    <row r="16" spans="1:44" x14ac:dyDescent="0.2">
      <c r="A16" s="897">
        <v>9</v>
      </c>
      <c r="B16" s="940" t="s">
        <v>487</v>
      </c>
      <c r="C16" s="900"/>
      <c r="D16" s="901" t="s">
        <v>450</v>
      </c>
      <c r="E16" s="902"/>
      <c r="F16" s="903"/>
      <c r="G16" s="900"/>
      <c r="H16" s="901" t="s">
        <v>450</v>
      </c>
      <c r="I16" s="902"/>
      <c r="J16" s="903"/>
      <c r="K16" s="900"/>
      <c r="L16" s="901" t="s">
        <v>450</v>
      </c>
      <c r="M16" s="902"/>
      <c r="N16" s="903"/>
      <c r="O16" s="900"/>
      <c r="P16" s="901" t="s">
        <v>450</v>
      </c>
      <c r="Q16" s="902"/>
      <c r="R16" s="903"/>
      <c r="S16" s="900"/>
      <c r="T16" s="901" t="s">
        <v>450</v>
      </c>
      <c r="U16" s="902"/>
      <c r="V16" s="903"/>
      <c r="W16" s="900"/>
      <c r="X16" s="901" t="s">
        <v>450</v>
      </c>
      <c r="Y16" s="902"/>
      <c r="Z16" s="903"/>
      <c r="AA16" s="904">
        <f t="shared" si="0"/>
        <v>0</v>
      </c>
      <c r="AB16" s="905"/>
      <c r="AC16" s="900">
        <f t="shared" si="1"/>
        <v>0</v>
      </c>
      <c r="AD16" s="901" t="s">
        <v>450</v>
      </c>
      <c r="AE16" s="906">
        <f t="shared" si="2"/>
        <v>0</v>
      </c>
      <c r="AF16" s="907">
        <f t="shared" si="3"/>
        <v>0</v>
      </c>
      <c r="AG16" s="908"/>
      <c r="AH16" s="764">
        <f t="shared" si="4"/>
        <v>119.5</v>
      </c>
      <c r="AI16" s="784">
        <f>IFERROR(INDEX(V!$R:$R,MATCH(AJ16,V!$L:$L,0)),"")</f>
        <v>97.5</v>
      </c>
      <c r="AJ16" s="783" t="str">
        <f t="shared" si="5"/>
        <v>Klavdia Piik</v>
      </c>
      <c r="AK16" s="784">
        <f>IFERROR(INDEX(V!$R:$R,MATCH(AL16,V!$L:$L,0)),"")</f>
        <v>22</v>
      </c>
      <c r="AL16" s="783" t="str">
        <f t="shared" si="6"/>
        <v>Melika Lehtla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  <c r="AR16" s="760"/>
    </row>
    <row r="17" spans="1:44" x14ac:dyDescent="0.2">
      <c r="A17" s="897">
        <v>10</v>
      </c>
      <c r="B17" s="940" t="s">
        <v>488</v>
      </c>
      <c r="C17" s="900"/>
      <c r="D17" s="901" t="s">
        <v>450</v>
      </c>
      <c r="E17" s="902"/>
      <c r="F17" s="903"/>
      <c r="G17" s="900"/>
      <c r="H17" s="901" t="s">
        <v>450</v>
      </c>
      <c r="I17" s="902"/>
      <c r="J17" s="903"/>
      <c r="K17" s="900"/>
      <c r="L17" s="901" t="s">
        <v>450</v>
      </c>
      <c r="M17" s="902"/>
      <c r="N17" s="903"/>
      <c r="O17" s="900"/>
      <c r="P17" s="901" t="s">
        <v>450</v>
      </c>
      <c r="Q17" s="902"/>
      <c r="R17" s="903"/>
      <c r="S17" s="900"/>
      <c r="T17" s="901" t="s">
        <v>450</v>
      </c>
      <c r="U17" s="902"/>
      <c r="V17" s="903"/>
      <c r="W17" s="900"/>
      <c r="X17" s="901" t="s">
        <v>450</v>
      </c>
      <c r="Y17" s="902"/>
      <c r="Z17" s="903"/>
      <c r="AA17" s="904">
        <f t="shared" si="0"/>
        <v>0</v>
      </c>
      <c r="AB17" s="905"/>
      <c r="AC17" s="900">
        <f t="shared" si="1"/>
        <v>0</v>
      </c>
      <c r="AD17" s="901" t="s">
        <v>450</v>
      </c>
      <c r="AE17" s="906">
        <f t="shared" si="2"/>
        <v>0</v>
      </c>
      <c r="AF17" s="907">
        <f t="shared" si="3"/>
        <v>0</v>
      </c>
      <c r="AG17" s="908"/>
      <c r="AH17" s="764">
        <f t="shared" si="4"/>
        <v>31</v>
      </c>
      <c r="AI17" s="784">
        <f>IFERROR(INDEX(V!$R:$R,MATCH(AJ17,V!$L:$L,0)),"")</f>
        <v>15</v>
      </c>
      <c r="AJ17" s="783" t="str">
        <f t="shared" si="5"/>
        <v>Veroonika Mendes</v>
      </c>
      <c r="AK17" s="784">
        <f>IFERROR(INDEX(V!$R:$R,MATCH(AL17,V!$L:$L,0)),"")</f>
        <v>16</v>
      </c>
      <c r="AL17" s="783" t="str">
        <f t="shared" si="6"/>
        <v>Ksenija Matšneva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  <c r="AR17" s="760"/>
    </row>
    <row r="18" spans="1:44" x14ac:dyDescent="0.2">
      <c r="A18" s="897">
        <v>11</v>
      </c>
      <c r="B18" s="941" t="s">
        <v>489</v>
      </c>
      <c r="C18" s="900"/>
      <c r="D18" s="901" t="s">
        <v>450</v>
      </c>
      <c r="E18" s="902"/>
      <c r="F18" s="903"/>
      <c r="G18" s="900"/>
      <c r="H18" s="901" t="s">
        <v>450</v>
      </c>
      <c r="I18" s="902"/>
      <c r="J18" s="903"/>
      <c r="K18" s="900"/>
      <c r="L18" s="901" t="s">
        <v>450</v>
      </c>
      <c r="M18" s="902"/>
      <c r="N18" s="903"/>
      <c r="O18" s="900"/>
      <c r="P18" s="901" t="s">
        <v>450</v>
      </c>
      <c r="Q18" s="902"/>
      <c r="R18" s="903"/>
      <c r="S18" s="900"/>
      <c r="T18" s="901" t="s">
        <v>450</v>
      </c>
      <c r="U18" s="902"/>
      <c r="V18" s="903"/>
      <c r="W18" s="900"/>
      <c r="X18" s="901" t="s">
        <v>450</v>
      </c>
      <c r="Y18" s="902"/>
      <c r="Z18" s="903"/>
      <c r="AA18" s="904">
        <f t="shared" si="0"/>
        <v>0</v>
      </c>
      <c r="AB18" s="905"/>
      <c r="AC18" s="900">
        <f t="shared" si="1"/>
        <v>0</v>
      </c>
      <c r="AD18" s="901" t="s">
        <v>450</v>
      </c>
      <c r="AE18" s="906">
        <f t="shared" si="2"/>
        <v>0</v>
      </c>
      <c r="AF18" s="907">
        <f t="shared" si="3"/>
        <v>0</v>
      </c>
      <c r="AG18" s="908"/>
      <c r="AH18" s="764">
        <f t="shared" si="4"/>
        <v>42</v>
      </c>
      <c r="AI18" s="784">
        <f>IFERROR(INDEX(V!$R:$R,MATCH(AJ18,V!$L:$L,0)),"")</f>
        <v>22</v>
      </c>
      <c r="AJ18" s="783" t="str">
        <f t="shared" si="5"/>
        <v>Kaspar Mänd</v>
      </c>
      <c r="AK18" s="784">
        <f>IFERROR(INDEX(V!$R:$R,MATCH(AL18,V!$L:$L,0)),"")</f>
        <v>20</v>
      </c>
      <c r="AL18" s="783" t="str">
        <f t="shared" si="6"/>
        <v>Reimo Lõhmus</v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  <c r="AR18" s="760"/>
    </row>
    <row r="19" spans="1:44" x14ac:dyDescent="0.2">
      <c r="A19" s="897">
        <v>12</v>
      </c>
      <c r="B19" s="941" t="s">
        <v>490</v>
      </c>
      <c r="C19" s="900"/>
      <c r="D19" s="901" t="s">
        <v>450</v>
      </c>
      <c r="E19" s="902"/>
      <c r="F19" s="903"/>
      <c r="G19" s="900"/>
      <c r="H19" s="901" t="s">
        <v>450</v>
      </c>
      <c r="I19" s="902"/>
      <c r="J19" s="903"/>
      <c r="K19" s="900"/>
      <c r="L19" s="901" t="s">
        <v>450</v>
      </c>
      <c r="M19" s="902"/>
      <c r="N19" s="903"/>
      <c r="O19" s="900"/>
      <c r="P19" s="901" t="s">
        <v>450</v>
      </c>
      <c r="Q19" s="902"/>
      <c r="R19" s="903"/>
      <c r="S19" s="900"/>
      <c r="T19" s="901" t="s">
        <v>450</v>
      </c>
      <c r="U19" s="902"/>
      <c r="V19" s="903"/>
      <c r="W19" s="900"/>
      <c r="X19" s="901" t="s">
        <v>450</v>
      </c>
      <c r="Y19" s="902"/>
      <c r="Z19" s="903"/>
      <c r="AA19" s="904">
        <f t="shared" si="0"/>
        <v>0</v>
      </c>
      <c r="AB19" s="905"/>
      <c r="AC19" s="900">
        <f t="shared" si="1"/>
        <v>0</v>
      </c>
      <c r="AD19" s="901" t="s">
        <v>450</v>
      </c>
      <c r="AE19" s="906">
        <f t="shared" si="2"/>
        <v>0</v>
      </c>
      <c r="AF19" s="907">
        <f t="shared" si="3"/>
        <v>0</v>
      </c>
      <c r="AG19" s="908"/>
      <c r="AH19" s="764">
        <f t="shared" si="4"/>
        <v>92</v>
      </c>
      <c r="AI19" s="784">
        <f>IFERROR(INDEX(V!$R:$R,MATCH(AJ19,V!$L:$L,0)),"")</f>
        <v>4</v>
      </c>
      <c r="AJ19" s="783" t="str">
        <f t="shared" si="5"/>
        <v>Aleksander Korikov</v>
      </c>
      <c r="AK19" s="784">
        <f>IFERROR(INDEX(V!$R:$R,MATCH(AL19,V!$L:$L,0)),"")</f>
        <v>88</v>
      </c>
      <c r="AL19" s="783" t="str">
        <f t="shared" si="6"/>
        <v>Enn Tokman</v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  <c r="AR19" s="760"/>
    </row>
    <row r="20" spans="1:44" x14ac:dyDescent="0.2">
      <c r="A20" s="897">
        <v>13</v>
      </c>
      <c r="B20" s="940" t="s">
        <v>460</v>
      </c>
      <c r="C20" s="900"/>
      <c r="D20" s="901" t="s">
        <v>450</v>
      </c>
      <c r="E20" s="902"/>
      <c r="F20" s="903"/>
      <c r="G20" s="900"/>
      <c r="H20" s="901" t="s">
        <v>450</v>
      </c>
      <c r="I20" s="902"/>
      <c r="J20" s="903"/>
      <c r="K20" s="900"/>
      <c r="L20" s="901" t="s">
        <v>450</v>
      </c>
      <c r="M20" s="902"/>
      <c r="N20" s="903"/>
      <c r="O20" s="900"/>
      <c r="P20" s="901" t="s">
        <v>450</v>
      </c>
      <c r="Q20" s="902"/>
      <c r="R20" s="903"/>
      <c r="S20" s="900"/>
      <c r="T20" s="901" t="s">
        <v>450</v>
      </c>
      <c r="U20" s="902"/>
      <c r="V20" s="903"/>
      <c r="W20" s="900"/>
      <c r="X20" s="901" t="s">
        <v>450</v>
      </c>
      <c r="Y20" s="902"/>
      <c r="Z20" s="903"/>
      <c r="AA20" s="904">
        <f t="shared" si="0"/>
        <v>0</v>
      </c>
      <c r="AB20" s="905"/>
      <c r="AC20" s="900">
        <f t="shared" si="1"/>
        <v>0</v>
      </c>
      <c r="AD20" s="901" t="s">
        <v>450</v>
      </c>
      <c r="AE20" s="906">
        <f t="shared" si="2"/>
        <v>0</v>
      </c>
      <c r="AF20" s="907">
        <f t="shared" si="3"/>
        <v>0</v>
      </c>
      <c r="AG20" s="908"/>
      <c r="AH20" s="764">
        <f t="shared" si="4"/>
        <v>93</v>
      </c>
      <c r="AI20" s="784">
        <f>IFERROR(INDEX(V!$R:$R,MATCH(AJ20,V!$L:$L,0)),"")</f>
        <v>46.5</v>
      </c>
      <c r="AJ20" s="783" t="str">
        <f t="shared" si="5"/>
        <v>Ljudmila Varendi</v>
      </c>
      <c r="AK20" s="784">
        <f>IFERROR(INDEX(V!$R:$R,MATCH(AL20,V!$L:$L,0)),"")</f>
        <v>46.5</v>
      </c>
      <c r="AL20" s="783" t="str">
        <f t="shared" si="6"/>
        <v>Viktor Švarõgin</v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  <c r="AR20" s="760"/>
    </row>
    <row r="21" spans="1:44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  <c r="AR21" s="760"/>
    </row>
    <row r="22" spans="1:44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  <c r="AR22" s="760"/>
    </row>
    <row r="23" spans="1:44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  <c r="AR23" s="760"/>
    </row>
    <row r="24" spans="1:44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</row>
    <row r="25" spans="1:44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  <c r="AR25" s="760"/>
    </row>
    <row r="26" spans="1:44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</row>
    <row r="27" spans="1:44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</row>
    <row r="28" spans="1:44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  <c r="AR28" s="760"/>
    </row>
    <row r="29" spans="1:44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</row>
    <row r="30" spans="1:44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</row>
    <row r="31" spans="1:44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  <c r="AR31" s="760"/>
    </row>
    <row r="32" spans="1:44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  <c r="AR32" s="760"/>
    </row>
    <row r="33" spans="1:44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</row>
    <row r="34" spans="1:44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  <c r="AR34" s="760"/>
    </row>
    <row r="35" spans="1:44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</row>
    <row r="36" spans="1:44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  <c r="AR36" s="760"/>
    </row>
    <row r="37" spans="1:44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  <c r="AR37" s="760"/>
    </row>
    <row r="38" spans="1:44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</row>
    <row r="39" spans="1:44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</row>
    <row r="40" spans="1:44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  <c r="AR40" s="760"/>
    </row>
    <row r="41" spans="1:44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</row>
    <row r="42" spans="1:44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  <c r="AR42" s="760"/>
    </row>
    <row r="43" spans="1:44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  <c r="AR43" s="760"/>
    </row>
    <row r="44" spans="1:44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</row>
    <row r="45" spans="1:44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  <c r="AR45" s="760"/>
    </row>
    <row r="46" spans="1:44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</row>
    <row r="47" spans="1:44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</row>
    <row r="48" spans="1:44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</row>
    <row r="49" spans="1:44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</row>
    <row r="50" spans="1:44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</row>
    <row r="51" spans="1:44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  <c r="AR51" s="760"/>
    </row>
    <row r="52" spans="1:44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</row>
    <row r="53" spans="1:44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</row>
    <row r="54" spans="1:44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</row>
    <row r="55" spans="1:44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  <c r="AR55" s="760"/>
    </row>
    <row r="56" spans="1:44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  <c r="AR56" s="760"/>
    </row>
    <row r="57" spans="1:44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</row>
    <row r="58" spans="1:44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  <c r="AR58" s="760"/>
    </row>
    <row r="59" spans="1:44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  <c r="AR59" s="760"/>
    </row>
    <row r="60" spans="1:44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</row>
    <row r="61" spans="1:44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  <c r="AR61" s="760"/>
    </row>
    <row r="62" spans="1:44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</row>
    <row r="63" spans="1:44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</row>
    <row r="64" spans="1:44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</row>
    <row r="65" spans="1:44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  <c r="AR65" s="760"/>
    </row>
    <row r="66" spans="1:44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  <c r="AR66" s="760"/>
    </row>
    <row r="67" spans="1:44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  <c r="AR67" s="760"/>
    </row>
    <row r="68" spans="1:44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</row>
    <row r="69" spans="1:44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  <c r="AR69" s="760"/>
    </row>
    <row r="70" spans="1:44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  <c r="AR70" s="760"/>
    </row>
    <row r="71" spans="1:44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</row>
    <row r="72" spans="1:44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  <c r="AR72" s="760"/>
    </row>
    <row r="73" spans="1:44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  <c r="AR73" s="760"/>
    </row>
    <row r="74" spans="1:44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  <c r="AR74" s="760"/>
    </row>
    <row r="75" spans="1:44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  <c r="AR75" s="760"/>
    </row>
    <row r="76" spans="1:44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  <c r="AR76" s="760"/>
    </row>
    <row r="77" spans="1:44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  <c r="AR77" s="760"/>
    </row>
    <row r="78" spans="1:44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  <c r="AR78" s="760"/>
    </row>
    <row r="79" spans="1:44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  <c r="AR79" s="760"/>
    </row>
    <row r="80" spans="1:44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  <c r="AR80" s="760"/>
    </row>
    <row r="81" spans="1:44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  <c r="AR81" s="760"/>
    </row>
    <row r="82" spans="1:44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  <c r="AR82" s="760"/>
    </row>
    <row r="83" spans="1:44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  <c r="AR83" s="760"/>
    </row>
    <row r="84" spans="1:44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  <c r="AR84" s="760"/>
    </row>
    <row r="85" spans="1:44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  <c r="AR85" s="760"/>
    </row>
    <row r="86" spans="1:44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  <c r="AR86" s="760"/>
    </row>
    <row r="87" spans="1:44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  <c r="AR87" s="760"/>
    </row>
    <row r="88" spans="1:44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  <c r="AR88" s="760"/>
    </row>
    <row r="89" spans="1:44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  <c r="AR89" s="760"/>
    </row>
    <row r="90" spans="1:44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  <c r="AR90" s="760"/>
    </row>
    <row r="91" spans="1:44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  <c r="AR91" s="760"/>
    </row>
    <row r="92" spans="1:44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  <c r="AR92" s="760"/>
    </row>
    <row r="93" spans="1:44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  <c r="AR93" s="760"/>
    </row>
    <row r="94" spans="1:44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  <c r="AR94" s="760"/>
    </row>
    <row r="95" spans="1:44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  <c r="AR95" s="760"/>
    </row>
    <row r="96" spans="1:44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  <c r="AR96" s="760"/>
    </row>
    <row r="97" spans="1:44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  <c r="AR97" s="760"/>
    </row>
    <row r="98" spans="1:44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  <c r="AR98" s="760"/>
    </row>
    <row r="99" spans="1:44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  <c r="AR99" s="760"/>
    </row>
    <row r="100" spans="1:44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  <c r="AR100" s="760"/>
    </row>
    <row r="101" spans="1:44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  <c r="AR101" s="760"/>
    </row>
    <row r="102" spans="1:44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  <c r="AR102" s="760"/>
    </row>
    <row r="103" spans="1:44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  <c r="AR103" s="760"/>
    </row>
    <row r="104" spans="1:44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  <c r="AR104" s="760"/>
    </row>
    <row r="105" spans="1:44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  <c r="AR105" s="760"/>
    </row>
    <row r="106" spans="1:44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  <c r="AR106" s="760"/>
    </row>
    <row r="107" spans="1:44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  <c r="AR107" s="760"/>
    </row>
    <row r="108" spans="1:44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  <c r="AR108" s="760"/>
    </row>
    <row r="109" spans="1:44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  <c r="AR109" s="760"/>
    </row>
    <row r="110" spans="1:44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  <c r="AR110" s="760"/>
    </row>
    <row r="111" spans="1:44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  <c r="AR111" s="760"/>
    </row>
    <row r="112" spans="1:44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  <c r="AR112" s="760"/>
    </row>
    <row r="113" spans="1:44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  <c r="AR113" s="760"/>
    </row>
    <row r="114" spans="1:44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  <c r="AR114" s="760"/>
    </row>
    <row r="115" spans="1:44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  <c r="AR115" s="760"/>
    </row>
    <row r="116" spans="1:44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  <c r="AR116" s="760"/>
    </row>
    <row r="117" spans="1:44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  <c r="AR117" s="760"/>
    </row>
    <row r="118" spans="1:44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  <c r="AR118" s="760"/>
    </row>
    <row r="119" spans="1:44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  <c r="AR119" s="760"/>
    </row>
    <row r="120" spans="1:44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</row>
    <row r="121" spans="1:44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  <c r="AR121" s="760"/>
    </row>
    <row r="122" spans="1:44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</row>
    <row r="123" spans="1:44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</row>
    <row r="124" spans="1:44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  <c r="AR124" s="760"/>
    </row>
    <row r="125" spans="1:44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</row>
    <row r="126" spans="1:44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  <c r="AR126" s="760"/>
    </row>
    <row r="127" spans="1:44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  <c r="AR127" s="760"/>
    </row>
    <row r="128" spans="1:44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  <c r="AR128" s="760"/>
    </row>
    <row r="129" spans="1:44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  <c r="AR129" s="760"/>
    </row>
    <row r="130" spans="1:44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  <c r="AR130" s="760"/>
    </row>
    <row r="131" spans="1:44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  <c r="AR131" s="760"/>
    </row>
    <row r="132" spans="1:44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  <c r="AR132" s="760"/>
    </row>
    <row r="133" spans="1:44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  <c r="AR133" s="760"/>
    </row>
    <row r="134" spans="1:44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  <c r="AR134" s="760"/>
    </row>
    <row r="135" spans="1:44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  <c r="AR135" s="760"/>
    </row>
    <row r="136" spans="1:44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</row>
    <row r="137" spans="1:44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</row>
    <row r="138" spans="1:44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</row>
    <row r="139" spans="1:44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  <c r="AR139" s="760"/>
    </row>
    <row r="140" spans="1:44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</row>
    <row r="141" spans="1:44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  <c r="AR141" s="760"/>
    </row>
    <row r="142" spans="1:44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  <c r="AR142" s="760"/>
    </row>
    <row r="143" spans="1:44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  <c r="AR143" s="760"/>
    </row>
    <row r="144" spans="1:44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  <c r="AR144" s="760"/>
    </row>
    <row r="145" spans="1:44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  <c r="AR145" s="760"/>
    </row>
    <row r="146" spans="1:44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  <c r="AR146" s="760"/>
    </row>
    <row r="147" spans="1:44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  <c r="AR147" s="760"/>
    </row>
    <row r="148" spans="1:44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  <c r="AR148" s="760"/>
    </row>
    <row r="149" spans="1:44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  <c r="AR149" s="760"/>
    </row>
    <row r="150" spans="1:44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  <c r="AR150" s="760"/>
    </row>
    <row r="151" spans="1:44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  <c r="AR151" s="760"/>
    </row>
    <row r="152" spans="1:44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</row>
    <row r="153" spans="1:44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  <c r="AR153" s="760"/>
    </row>
    <row r="154" spans="1:44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  <c r="AR154" s="760"/>
    </row>
    <row r="155" spans="1:44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  <c r="AR155" s="760"/>
    </row>
    <row r="156" spans="1:44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  <c r="AR156" s="760"/>
    </row>
    <row r="157" spans="1:44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  <c r="AR157" s="760"/>
    </row>
    <row r="158" spans="1:44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  <c r="AR158" s="760"/>
    </row>
    <row r="159" spans="1:44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  <c r="AR159" s="760"/>
    </row>
    <row r="160" spans="1:44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  <c r="AR160" s="760"/>
    </row>
    <row r="161" spans="1:44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  <c r="AR161" s="760"/>
    </row>
    <row r="162" spans="1:44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  <c r="AR162" s="760"/>
    </row>
    <row r="163" spans="1:44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  <c r="AR163" s="760"/>
    </row>
    <row r="164" spans="1:44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  <c r="AR164" s="760"/>
    </row>
    <row r="165" spans="1:44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  <c r="AR165" s="760"/>
    </row>
    <row r="166" spans="1:44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  <c r="AR166" s="760"/>
    </row>
    <row r="167" spans="1:44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  <c r="AR167" s="760"/>
    </row>
    <row r="168" spans="1:44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  <c r="AR168" s="760"/>
    </row>
    <row r="169" spans="1:44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  <c r="AR169" s="760"/>
    </row>
    <row r="170" spans="1:44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  <c r="AR170" s="760"/>
    </row>
    <row r="171" spans="1:44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  <c r="AR171" s="760"/>
    </row>
    <row r="172" spans="1:44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  <c r="AR172" s="760"/>
    </row>
    <row r="173" spans="1:44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  <c r="AR173" s="760"/>
    </row>
    <row r="174" spans="1:44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  <c r="AR174" s="760"/>
    </row>
    <row r="175" spans="1:44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  <c r="AR175" s="760"/>
    </row>
    <row r="176" spans="1:44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  <c r="AR176" s="760"/>
    </row>
    <row r="177" spans="1:44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  <c r="AR177" s="760"/>
    </row>
    <row r="178" spans="1:44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  <c r="AR178" s="760"/>
    </row>
    <row r="179" spans="1:44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  <c r="AR179" s="760"/>
    </row>
    <row r="180" spans="1:44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  <c r="AR180" s="760"/>
    </row>
    <row r="181" spans="1:44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  <c r="AR181" s="760"/>
    </row>
    <row r="182" spans="1:44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  <c r="AR182" s="760"/>
    </row>
    <row r="183" spans="1:44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  <c r="AR183" s="760"/>
    </row>
    <row r="184" spans="1:44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  <c r="AR184" s="760"/>
    </row>
    <row r="185" spans="1:44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  <c r="AR185" s="760"/>
    </row>
    <row r="186" spans="1:44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  <c r="AR186" s="760"/>
    </row>
    <row r="187" spans="1:44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  <c r="AR187" s="760"/>
    </row>
    <row r="188" spans="1:44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  <c r="AR188" s="760"/>
    </row>
    <row r="189" spans="1:44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  <c r="AR189" s="760"/>
    </row>
    <row r="190" spans="1:44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  <c r="AR190" s="760"/>
    </row>
    <row r="191" spans="1:44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  <c r="AR191" s="760"/>
    </row>
    <row r="192" spans="1:44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  <c r="AR192" s="760"/>
    </row>
    <row r="193" spans="1:44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  <c r="AR193" s="760"/>
    </row>
    <row r="194" spans="1:44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  <c r="AR194" s="760"/>
    </row>
    <row r="195" spans="1:44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  <c r="AR195" s="760"/>
    </row>
    <row r="196" spans="1:44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  <c r="AR196" s="760"/>
    </row>
    <row r="197" spans="1:44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  <c r="AR197" s="760"/>
    </row>
    <row r="198" spans="1:44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  <c r="AR198" s="760"/>
    </row>
    <row r="199" spans="1:44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  <c r="AR199" s="760"/>
    </row>
    <row r="200" spans="1:44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  <c r="AR200" s="760"/>
    </row>
    <row r="201" spans="1:44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  <c r="AR201" s="760"/>
    </row>
    <row r="202" spans="1:44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  <c r="AR202" s="760"/>
    </row>
    <row r="203" spans="1:44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  <c r="AR203" s="760"/>
    </row>
    <row r="204" spans="1:44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  <c r="AR204" s="760"/>
    </row>
    <row r="205" spans="1:44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  <c r="AR205" s="760"/>
    </row>
    <row r="206" spans="1:44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  <c r="AR206" s="760"/>
    </row>
    <row r="207" spans="1:44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  <c r="AR207" s="760"/>
    </row>
    <row r="208" spans="1:44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  <c r="AR208" s="760"/>
    </row>
    <row r="209" spans="1:44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  <c r="AR209" s="760"/>
    </row>
    <row r="210" spans="1:44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  <c r="AR210" s="760"/>
    </row>
    <row r="211" spans="1:44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  <c r="AR211" s="760"/>
    </row>
    <row r="212" spans="1:44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  <c r="AR212" s="760"/>
    </row>
    <row r="213" spans="1:44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  <c r="AR213" s="760"/>
    </row>
    <row r="214" spans="1:44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  <c r="AR214" s="760"/>
    </row>
    <row r="215" spans="1:44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  <c r="AR215" s="760"/>
    </row>
    <row r="216" spans="1:44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  <c r="AR216" s="760"/>
    </row>
    <row r="217" spans="1:44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  <c r="AR217" s="760"/>
    </row>
    <row r="218" spans="1:44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  <c r="AR218" s="760"/>
    </row>
    <row r="219" spans="1:44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  <c r="AR219" s="760"/>
    </row>
    <row r="220" spans="1:44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  <c r="AR220" s="760"/>
    </row>
    <row r="221" spans="1:44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  <c r="AR221" s="760"/>
    </row>
    <row r="222" spans="1:44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  <c r="AR222" s="760"/>
    </row>
    <row r="223" spans="1:44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  <c r="AR223" s="760"/>
    </row>
    <row r="224" spans="1:44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  <c r="AR224" s="760"/>
    </row>
    <row r="225" spans="1:44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  <c r="AR225" s="760"/>
    </row>
    <row r="226" spans="1:44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  <c r="AR226" s="760"/>
    </row>
    <row r="227" spans="1:44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  <c r="AR227" s="760"/>
    </row>
    <row r="228" spans="1:44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  <c r="AR228" s="760"/>
    </row>
    <row r="229" spans="1:44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  <c r="AR229" s="760"/>
    </row>
    <row r="230" spans="1:44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  <c r="AR230" s="760"/>
    </row>
    <row r="231" spans="1:44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  <c r="AR231" s="760"/>
    </row>
    <row r="232" spans="1:44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  <c r="AR232" s="760"/>
    </row>
    <row r="233" spans="1:44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  <c r="AR233" s="760"/>
    </row>
    <row r="234" spans="1:44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  <c r="AR234" s="760"/>
    </row>
    <row r="235" spans="1:44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  <c r="AR235" s="760"/>
    </row>
    <row r="236" spans="1:44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  <c r="AR236" s="760"/>
    </row>
    <row r="237" spans="1:44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  <c r="AR237" s="760"/>
    </row>
    <row r="238" spans="1:44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  <c r="AR238" s="760"/>
    </row>
    <row r="239" spans="1:44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  <c r="AR239" s="760"/>
    </row>
    <row r="240" spans="1:44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  <c r="AR240" s="760"/>
    </row>
    <row r="241" spans="1:44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  <c r="AR241" s="760"/>
    </row>
    <row r="242" spans="1:44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  <c r="AR242" s="760"/>
    </row>
    <row r="243" spans="1:44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  <c r="AR243" s="760"/>
    </row>
    <row r="244" spans="1:44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  <c r="AR244" s="760"/>
    </row>
    <row r="245" spans="1:44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  <c r="AR245" s="760"/>
    </row>
    <row r="246" spans="1:44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  <c r="AR246" s="760"/>
    </row>
    <row r="247" spans="1:44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  <c r="AR247" s="760"/>
    </row>
    <row r="248" spans="1:44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  <c r="AR248" s="760"/>
    </row>
    <row r="249" spans="1:44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  <c r="AR249" s="760"/>
    </row>
    <row r="250" spans="1:44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  <c r="AR250" s="760"/>
    </row>
    <row r="251" spans="1:44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  <c r="AR251" s="760"/>
    </row>
    <row r="252" spans="1:44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  <c r="AR252" s="760"/>
    </row>
    <row r="253" spans="1:44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  <c r="AR253" s="760"/>
    </row>
    <row r="254" spans="1:44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  <c r="AR254" s="760"/>
    </row>
    <row r="255" spans="1:44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  <c r="AR255" s="760"/>
    </row>
    <row r="256" spans="1:44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  <c r="AR256" s="760"/>
    </row>
    <row r="257" spans="1:44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  <c r="AR257" s="760"/>
    </row>
    <row r="258" spans="1:44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  <c r="AR258" s="760"/>
    </row>
    <row r="259" spans="1:44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  <c r="AR259" s="760"/>
    </row>
    <row r="260" spans="1:44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  <c r="AR260" s="760"/>
    </row>
    <row r="261" spans="1:44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  <c r="AR261" s="760"/>
    </row>
    <row r="262" spans="1:44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  <c r="AR262" s="760"/>
    </row>
    <row r="263" spans="1:44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  <c r="AR263" s="760"/>
    </row>
    <row r="264" spans="1:44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  <c r="AR264" s="760"/>
    </row>
    <row r="265" spans="1:44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  <c r="AR265" s="760"/>
    </row>
    <row r="266" spans="1:44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  <c r="AR266" s="760"/>
    </row>
    <row r="267" spans="1:44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  <c r="AR267" s="760"/>
    </row>
    <row r="268" spans="1:44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  <c r="AR268" s="760"/>
    </row>
    <row r="269" spans="1:44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  <c r="AR269" s="760"/>
    </row>
    <row r="270" spans="1:44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  <c r="AR270" s="760"/>
    </row>
    <row r="271" spans="1:44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  <c r="AR271" s="760"/>
    </row>
    <row r="272" spans="1:44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  <c r="AR272" s="760"/>
    </row>
    <row r="273" spans="1:44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  <c r="AR273" s="760"/>
    </row>
    <row r="274" spans="1:44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  <c r="AR274" s="760"/>
    </row>
    <row r="275" spans="1:44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  <c r="AR275" s="760"/>
    </row>
    <row r="276" spans="1:44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  <c r="AR276" s="760"/>
    </row>
    <row r="277" spans="1:44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  <c r="AR277" s="760"/>
    </row>
    <row r="278" spans="1:44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  <c r="AR278" s="760"/>
    </row>
    <row r="279" spans="1:44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  <c r="AR279" s="760"/>
    </row>
    <row r="280" spans="1:44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  <c r="AR280" s="760"/>
    </row>
    <row r="281" spans="1:44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  <c r="AR281" s="760"/>
    </row>
    <row r="282" spans="1:44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  <c r="AR282" s="760"/>
    </row>
    <row r="283" spans="1:44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  <c r="AR283" s="760"/>
    </row>
    <row r="284" spans="1:44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  <c r="AR284" s="760"/>
    </row>
    <row r="285" spans="1:44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  <c r="AR285" s="760"/>
    </row>
    <row r="286" spans="1:44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  <c r="AR286" s="760"/>
    </row>
    <row r="287" spans="1:44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  <c r="AR287" s="760"/>
    </row>
    <row r="288" spans="1:44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  <c r="AR288" s="760"/>
    </row>
    <row r="289" spans="1:44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  <c r="AR289" s="760"/>
    </row>
    <row r="290" spans="1:44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  <c r="AR290" s="760"/>
    </row>
    <row r="291" spans="1:44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  <c r="AR291" s="760"/>
    </row>
    <row r="292" spans="1:44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  <c r="AR292" s="760"/>
    </row>
    <row r="293" spans="1:44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  <c r="AR293" s="760"/>
    </row>
    <row r="294" spans="1:44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  <c r="AR294" s="760"/>
    </row>
    <row r="295" spans="1:44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  <c r="AR295" s="760"/>
    </row>
    <row r="296" spans="1:44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  <c r="AR296" s="760"/>
    </row>
    <row r="297" spans="1:44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  <c r="AR297" s="760"/>
    </row>
    <row r="298" spans="1:44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  <c r="AR298" s="760"/>
    </row>
    <row r="299" spans="1:44" x14ac:dyDescent="0.2">
      <c r="A299" s="760"/>
      <c r="B299" s="760"/>
      <c r="C299" s="912" t="s">
        <v>232</v>
      </c>
      <c r="D299" s="814"/>
      <c r="E299" s="814"/>
      <c r="F299" s="919" t="s">
        <v>244</v>
      </c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60"/>
      <c r="R299" s="760"/>
      <c r="S299" s="760"/>
      <c r="T299" s="760"/>
      <c r="U299" s="760"/>
      <c r="V299" s="76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  <c r="AR299" s="760"/>
    </row>
    <row r="300" spans="1:44" x14ac:dyDescent="0.2">
      <c r="A300" s="815">
        <v>1</v>
      </c>
      <c r="B300" s="816" t="str">
        <f>IFERROR(INDEX(B$1:B$100,MATCH(A300,A$1:A$100,0)),"")</f>
        <v>Jaan Sepp, Oskar Sepp</v>
      </c>
      <c r="C300" s="760">
        <f>IF(16-A300&gt;0,IF(OR(A300=A301,A299=A300),16-A300-0.5,16-A300),1)</f>
        <v>15</v>
      </c>
      <c r="D300" s="755"/>
      <c r="E300" s="755"/>
      <c r="F300" s="832">
        <v>5</v>
      </c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60"/>
      <c r="R300" s="760"/>
      <c r="S300" s="760"/>
      <c r="T300" s="760"/>
      <c r="U300" s="760"/>
      <c r="V300" s="76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  <c r="AR300" s="760"/>
    </row>
    <row r="301" spans="1:44" x14ac:dyDescent="0.2">
      <c r="A301" s="815">
        <v>2</v>
      </c>
      <c r="B301" s="816" t="str">
        <f t="shared" ref="B301:B312" si="9">IFERROR(INDEX(B$1:B$100,MATCH(A301,A$1:A$100,0)),"")</f>
        <v>Henri Mitt, Kenneth Muusikus</v>
      </c>
      <c r="C301" s="760">
        <f t="shared" ref="C301:C312" si="10">IF(16-A301&gt;0,IF(OR(A301=A302,A300=A301),16-A301-0.5,16-A301),1)</f>
        <v>14</v>
      </c>
      <c r="D301" s="817"/>
      <c r="E301" s="817"/>
      <c r="F301" s="832">
        <v>4</v>
      </c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60"/>
      <c r="R301" s="760"/>
      <c r="S301" s="760"/>
      <c r="T301" s="760"/>
      <c r="U301" s="760"/>
      <c r="V301" s="760"/>
      <c r="W301" s="880"/>
      <c r="X301" s="760"/>
      <c r="Y301" s="760"/>
      <c r="Z301" s="760"/>
      <c r="AA301" s="942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  <c r="AR301" s="760"/>
    </row>
    <row r="302" spans="1:44" x14ac:dyDescent="0.2">
      <c r="A302" s="815">
        <v>3</v>
      </c>
      <c r="B302" s="816" t="str">
        <f t="shared" si="9"/>
        <v>Janek Tarto, Meelis Luud</v>
      </c>
      <c r="C302" s="760">
        <f t="shared" si="10"/>
        <v>13</v>
      </c>
      <c r="D302" s="817"/>
      <c r="E302" s="817"/>
      <c r="F302" s="832">
        <v>4</v>
      </c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60"/>
      <c r="R302" s="760"/>
      <c r="S302" s="760"/>
      <c r="T302" s="760"/>
      <c r="U302" s="760"/>
      <c r="V302" s="76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  <c r="AR302" s="760"/>
    </row>
    <row r="303" spans="1:44" x14ac:dyDescent="0.2">
      <c r="A303" s="815">
        <v>4</v>
      </c>
      <c r="B303" s="816" t="str">
        <f t="shared" si="9"/>
        <v>Karla Purgats, Lemmit Toomra</v>
      </c>
      <c r="C303" s="760">
        <f t="shared" si="10"/>
        <v>11.5</v>
      </c>
      <c r="D303" s="817"/>
      <c r="E303" s="817"/>
      <c r="F303" s="832">
        <v>3</v>
      </c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60"/>
      <c r="S303" s="760"/>
      <c r="T303" s="760"/>
      <c r="U303" s="760"/>
      <c r="V303" s="76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  <c r="AR303" s="760"/>
    </row>
    <row r="304" spans="1:44" x14ac:dyDescent="0.2">
      <c r="A304" s="815">
        <v>4</v>
      </c>
      <c r="B304" s="816" t="str">
        <f>B12</f>
        <v>Tõnu Kapper, Vladimir Ogneštšikov</v>
      </c>
      <c r="C304" s="760">
        <f t="shared" si="10"/>
        <v>11.5</v>
      </c>
      <c r="D304" s="817"/>
      <c r="E304" s="817"/>
      <c r="F304" s="832">
        <v>3</v>
      </c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60"/>
      <c r="R304" s="760"/>
      <c r="S304" s="760"/>
      <c r="T304" s="760"/>
      <c r="U304" s="760"/>
      <c r="V304" s="76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  <c r="AR304" s="760"/>
    </row>
    <row r="305" spans="1:44" x14ac:dyDescent="0.2">
      <c r="A305" s="815">
        <v>6</v>
      </c>
      <c r="B305" s="816" t="str">
        <f t="shared" si="9"/>
        <v>Elmo Lageda, Tõnu Piik</v>
      </c>
      <c r="C305" s="760">
        <f t="shared" si="10"/>
        <v>10</v>
      </c>
      <c r="D305" s="817"/>
      <c r="E305" s="817"/>
      <c r="F305" s="832">
        <v>3</v>
      </c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60"/>
      <c r="R305" s="760"/>
      <c r="S305" s="760"/>
      <c r="T305" s="760"/>
      <c r="U305" s="760"/>
      <c r="V305" s="76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  <c r="AR305" s="760"/>
    </row>
    <row r="306" spans="1:44" x14ac:dyDescent="0.2">
      <c r="A306" s="815">
        <v>7</v>
      </c>
      <c r="B306" s="816" t="str">
        <f t="shared" si="9"/>
        <v>Mait Metsla, Matti Vinni</v>
      </c>
      <c r="C306" s="760">
        <f t="shared" si="10"/>
        <v>9</v>
      </c>
      <c r="D306" s="817"/>
      <c r="E306" s="817"/>
      <c r="F306" s="832">
        <v>3</v>
      </c>
      <c r="G306" s="760"/>
      <c r="H306" s="760"/>
      <c r="I306" s="760"/>
      <c r="J306" s="760"/>
      <c r="K306" s="760"/>
      <c r="L306" s="760"/>
      <c r="M306" s="760"/>
      <c r="N306" s="760"/>
      <c r="O306" s="760"/>
      <c r="P306" s="760"/>
      <c r="Q306" s="760"/>
      <c r="R306" s="760"/>
      <c r="S306" s="760"/>
      <c r="T306" s="760"/>
      <c r="U306" s="760"/>
      <c r="V306" s="760"/>
      <c r="W306" s="880"/>
      <c r="X306" s="760"/>
      <c r="Y306" s="760"/>
      <c r="Z306" s="760"/>
      <c r="AA306" s="942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  <c r="AR306" s="760"/>
    </row>
    <row r="307" spans="1:44" x14ac:dyDescent="0.2">
      <c r="A307" s="815">
        <v>8</v>
      </c>
      <c r="B307" s="816" t="str">
        <f t="shared" si="9"/>
        <v>Illar Tõnurist, Jaan Saar</v>
      </c>
      <c r="C307" s="760">
        <f t="shared" si="10"/>
        <v>8</v>
      </c>
      <c r="D307" s="817"/>
      <c r="E307" s="817"/>
      <c r="F307" s="832">
        <v>2</v>
      </c>
      <c r="G307" s="760"/>
      <c r="H307" s="760"/>
      <c r="I307" s="760"/>
      <c r="J307" s="760"/>
      <c r="K307" s="760"/>
      <c r="L307" s="760"/>
      <c r="M307" s="760"/>
      <c r="N307" s="760"/>
      <c r="O307" s="760"/>
      <c r="P307" s="760"/>
      <c r="Q307" s="760"/>
      <c r="R307" s="760"/>
      <c r="S307" s="760"/>
      <c r="T307" s="760"/>
      <c r="U307" s="760"/>
      <c r="V307" s="76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  <c r="AR307" s="760"/>
    </row>
    <row r="308" spans="1:44" x14ac:dyDescent="0.2">
      <c r="A308" s="815">
        <v>9</v>
      </c>
      <c r="B308" s="816" t="str">
        <f t="shared" si="9"/>
        <v>Klavdia Piik, Melika Lehtla</v>
      </c>
      <c r="C308" s="760">
        <f t="shared" si="10"/>
        <v>7</v>
      </c>
      <c r="D308" s="817"/>
      <c r="E308" s="817"/>
      <c r="F308" s="832">
        <v>2</v>
      </c>
      <c r="G308" s="760"/>
      <c r="H308" s="760"/>
      <c r="I308" s="760"/>
      <c r="J308" s="760"/>
      <c r="K308" s="760"/>
      <c r="L308" s="760"/>
      <c r="M308" s="760"/>
      <c r="N308" s="760"/>
      <c r="O308" s="760"/>
      <c r="P308" s="760"/>
      <c r="Q308" s="760"/>
      <c r="R308" s="760"/>
      <c r="S308" s="760"/>
      <c r="T308" s="760"/>
      <c r="U308" s="760"/>
      <c r="V308" s="76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  <c r="AR308" s="760"/>
    </row>
    <row r="309" spans="1:44" x14ac:dyDescent="0.2">
      <c r="A309" s="815">
        <v>10</v>
      </c>
      <c r="B309" s="816" t="str">
        <f t="shared" si="9"/>
        <v>Veroonika Mendes, Ksenija Matšneva</v>
      </c>
      <c r="C309" s="760">
        <f t="shared" si="10"/>
        <v>6</v>
      </c>
      <c r="D309" s="817"/>
      <c r="E309" s="817"/>
      <c r="F309" s="832">
        <v>2</v>
      </c>
      <c r="G309" s="760"/>
      <c r="H309" s="760"/>
      <c r="I309" s="760"/>
      <c r="J309" s="760"/>
      <c r="K309" s="760"/>
      <c r="L309" s="760"/>
      <c r="M309" s="760"/>
      <c r="N309" s="760"/>
      <c r="O309" s="760"/>
      <c r="P309" s="760"/>
      <c r="Q309" s="760"/>
      <c r="R309" s="760"/>
      <c r="S309" s="760"/>
      <c r="T309" s="760"/>
      <c r="U309" s="760"/>
      <c r="V309" s="76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  <c r="AR309" s="760"/>
    </row>
    <row r="310" spans="1:44" x14ac:dyDescent="0.2">
      <c r="A310" s="815">
        <v>11</v>
      </c>
      <c r="B310" s="816" t="str">
        <f t="shared" si="9"/>
        <v>Kaspar Mänd, Reimo Lõhmus</v>
      </c>
      <c r="C310" s="760">
        <f t="shared" si="10"/>
        <v>5</v>
      </c>
      <c r="D310" s="760"/>
      <c r="E310" s="760"/>
      <c r="F310" s="832">
        <v>2</v>
      </c>
      <c r="G310" s="760"/>
      <c r="H310" s="760"/>
      <c r="I310" s="760"/>
      <c r="J310" s="760"/>
      <c r="K310" s="760"/>
      <c r="L310" s="760"/>
      <c r="M310" s="760"/>
      <c r="N310" s="760"/>
      <c r="O310" s="760"/>
      <c r="P310" s="760"/>
      <c r="Q310" s="760"/>
      <c r="R310" s="760"/>
      <c r="S310" s="760"/>
      <c r="T310" s="760"/>
      <c r="U310" s="760"/>
      <c r="V310" s="76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  <c r="AR310" s="760"/>
    </row>
    <row r="311" spans="1:44" x14ac:dyDescent="0.2">
      <c r="A311" s="815">
        <v>12</v>
      </c>
      <c r="B311" s="816" t="str">
        <f t="shared" si="9"/>
        <v>Aleksander Korikov, Enn Tokman</v>
      </c>
      <c r="C311" s="760">
        <f t="shared" si="10"/>
        <v>4</v>
      </c>
      <c r="D311" s="760"/>
      <c r="E311" s="760"/>
      <c r="F311" s="832">
        <v>1</v>
      </c>
      <c r="G311" s="760"/>
      <c r="H311" s="760"/>
      <c r="I311" s="760"/>
      <c r="J311" s="760"/>
      <c r="K311" s="760"/>
      <c r="L311" s="760"/>
      <c r="M311" s="760"/>
      <c r="N311" s="760"/>
      <c r="O311" s="760"/>
      <c r="P311" s="760"/>
      <c r="Q311" s="760"/>
      <c r="R311" s="760"/>
      <c r="S311" s="760"/>
      <c r="T311" s="760"/>
      <c r="U311" s="760"/>
      <c r="V311" s="760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  <c r="AR311" s="760"/>
    </row>
    <row r="312" spans="1:44" x14ac:dyDescent="0.2">
      <c r="A312" s="815">
        <v>13</v>
      </c>
      <c r="B312" s="816" t="str">
        <f t="shared" si="9"/>
        <v>Ljudmila Varendi, Viktor Švarõgin</v>
      </c>
      <c r="C312" s="760">
        <f t="shared" si="10"/>
        <v>3</v>
      </c>
      <c r="D312" s="760"/>
      <c r="E312" s="760"/>
      <c r="F312" s="832">
        <v>1</v>
      </c>
      <c r="G312" s="760"/>
      <c r="H312" s="760"/>
      <c r="I312" s="760"/>
      <c r="J312" s="760"/>
      <c r="K312" s="760"/>
      <c r="L312" s="760"/>
      <c r="M312" s="760"/>
      <c r="N312" s="760"/>
      <c r="O312" s="760"/>
      <c r="P312" s="760"/>
      <c r="Q312" s="760"/>
      <c r="R312" s="760"/>
      <c r="S312" s="760"/>
      <c r="T312" s="760"/>
      <c r="U312" s="760"/>
      <c r="V312" s="760"/>
      <c r="W312" s="88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  <c r="AJ312" s="760"/>
      <c r="AK312" s="760"/>
      <c r="AL312" s="760"/>
      <c r="AM312" s="760"/>
      <c r="AN312" s="760"/>
      <c r="AO312" s="760"/>
      <c r="AP312" s="760"/>
      <c r="AQ312" s="760"/>
      <c r="AR312" s="760"/>
    </row>
    <row r="313" spans="1:44" x14ac:dyDescent="0.2">
      <c r="A313" s="760"/>
      <c r="B313" s="760"/>
      <c r="C313" s="760"/>
      <c r="D313" s="760"/>
      <c r="E313" s="760"/>
      <c r="F313" s="760"/>
      <c r="G313" s="760"/>
      <c r="H313" s="760"/>
      <c r="I313" s="760"/>
      <c r="J313" s="760"/>
      <c r="K313" s="760"/>
      <c r="L313" s="760"/>
      <c r="M313" s="760"/>
      <c r="N313" s="760"/>
      <c r="O313" s="760"/>
      <c r="P313" s="760"/>
      <c r="Q313" s="760"/>
      <c r="R313" s="760"/>
      <c r="S313" s="760"/>
      <c r="T313" s="760"/>
      <c r="U313" s="760"/>
      <c r="V313" s="760"/>
      <c r="W313" s="88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  <c r="AJ313" s="760"/>
      <c r="AK313" s="760"/>
      <c r="AL313" s="760"/>
      <c r="AM313" s="760"/>
      <c r="AN313" s="760"/>
      <c r="AO313" s="760"/>
      <c r="AP313" s="760"/>
      <c r="AQ313" s="760"/>
      <c r="AR313" s="760"/>
    </row>
    <row r="314" spans="1:44" x14ac:dyDescent="0.2">
      <c r="A314" s="760"/>
      <c r="B314" s="760"/>
      <c r="C314" s="760"/>
      <c r="D314" s="760"/>
      <c r="E314" s="760"/>
      <c r="F314" s="760"/>
      <c r="G314" s="760"/>
      <c r="H314" s="760"/>
      <c r="I314" s="760"/>
      <c r="J314" s="760"/>
      <c r="K314" s="760"/>
      <c r="L314" s="760"/>
      <c r="M314" s="760"/>
      <c r="N314" s="760"/>
      <c r="O314" s="760"/>
      <c r="P314" s="760"/>
      <c r="Q314" s="760"/>
      <c r="R314" s="760"/>
      <c r="S314" s="760"/>
      <c r="T314" s="760"/>
      <c r="U314" s="760"/>
      <c r="V314" s="760"/>
      <c r="W314" s="880"/>
      <c r="X314" s="760"/>
      <c r="Y314" s="760"/>
      <c r="Z314" s="760"/>
      <c r="AA314" s="760"/>
      <c r="AB314" s="760"/>
      <c r="AC314" s="760"/>
      <c r="AD314" s="760"/>
      <c r="AE314" s="760"/>
      <c r="AF314" s="760"/>
      <c r="AG314" s="760"/>
      <c r="AH314" s="760"/>
      <c r="AI314" s="760"/>
      <c r="AJ314" s="760"/>
      <c r="AK314" s="760"/>
      <c r="AL314" s="760"/>
      <c r="AM314" s="760"/>
      <c r="AN314" s="760"/>
      <c r="AO314" s="760"/>
      <c r="AP314" s="760"/>
      <c r="AQ314" s="760"/>
      <c r="AR314" s="760"/>
    </row>
    <row r="315" spans="1:44" x14ac:dyDescent="0.2">
      <c r="A315" s="760"/>
      <c r="B315" s="760"/>
      <c r="C315" s="760"/>
      <c r="D315" s="760"/>
      <c r="E315" s="760"/>
      <c r="F315" s="760"/>
      <c r="G315" s="760"/>
      <c r="H315" s="760"/>
      <c r="I315" s="760"/>
      <c r="J315" s="760"/>
      <c r="K315" s="760"/>
      <c r="L315" s="760"/>
      <c r="M315" s="760"/>
      <c r="N315" s="760"/>
      <c r="O315" s="760"/>
      <c r="P315" s="760"/>
      <c r="Q315" s="760"/>
      <c r="R315" s="760"/>
      <c r="S315" s="760"/>
      <c r="T315" s="760"/>
      <c r="U315" s="760"/>
      <c r="V315" s="760"/>
      <c r="W315" s="880"/>
      <c r="X315" s="760"/>
      <c r="Y315" s="760"/>
      <c r="Z315" s="760"/>
      <c r="AA315" s="760"/>
      <c r="AB315" s="760"/>
      <c r="AC315" s="760"/>
      <c r="AD315" s="760"/>
      <c r="AE315" s="760"/>
      <c r="AF315" s="760"/>
      <c r="AG315" s="760"/>
      <c r="AH315" s="760"/>
      <c r="AI315" s="760"/>
      <c r="AJ315" s="760"/>
      <c r="AK315" s="760"/>
      <c r="AL315" s="760"/>
      <c r="AM315" s="760"/>
      <c r="AN315" s="760"/>
      <c r="AO315" s="760"/>
      <c r="AP315" s="760"/>
      <c r="AQ315" s="760"/>
      <c r="AR315" s="760"/>
    </row>
    <row r="316" spans="1:44" x14ac:dyDescent="0.2">
      <c r="A316" s="760"/>
      <c r="B316" s="760"/>
      <c r="C316" s="760"/>
      <c r="D316" s="760"/>
      <c r="E316" s="760"/>
      <c r="F316" s="760"/>
      <c r="G316" s="760"/>
      <c r="H316" s="760"/>
      <c r="I316" s="760"/>
      <c r="J316" s="760"/>
      <c r="K316" s="760"/>
      <c r="L316" s="760"/>
      <c r="M316" s="760"/>
      <c r="N316" s="760"/>
      <c r="O316" s="760"/>
      <c r="P316" s="760"/>
      <c r="Q316" s="760"/>
      <c r="R316" s="760"/>
      <c r="S316" s="760"/>
      <c r="T316" s="880"/>
      <c r="U316" s="880"/>
      <c r="V316" s="880"/>
      <c r="W316" s="880"/>
      <c r="X316" s="760"/>
      <c r="Y316" s="760"/>
      <c r="Z316" s="760"/>
      <c r="AA316" s="760"/>
      <c r="AB316" s="760"/>
      <c r="AC316" s="760"/>
      <c r="AD316" s="760"/>
      <c r="AE316" s="760"/>
      <c r="AF316" s="760"/>
      <c r="AG316" s="760"/>
      <c r="AH316" s="760"/>
      <c r="AI316" s="760"/>
      <c r="AJ316" s="760"/>
      <c r="AK316" s="760"/>
      <c r="AL316" s="760"/>
      <c r="AM316" s="760"/>
      <c r="AN316" s="760"/>
      <c r="AO316" s="760"/>
      <c r="AP316" s="760"/>
      <c r="AQ316" s="760"/>
      <c r="AR316" s="760"/>
    </row>
  </sheetData>
  <conditionalFormatting sqref="A300:A312">
    <cfRule type="duplicateValues" dxfId="2635" priority="51"/>
  </conditionalFormatting>
  <conditionalFormatting sqref="B300:B312">
    <cfRule type="expression" dxfId="2634" priority="43">
      <formula>A300=3</formula>
    </cfRule>
    <cfRule type="expression" dxfId="2633" priority="44">
      <formula>A300=2</formula>
    </cfRule>
    <cfRule type="expression" dxfId="2632" priority="45">
      <formula>A300=1</formula>
    </cfRule>
    <cfRule type="containsBlanks" dxfId="2631" priority="46">
      <formula>LEN(TRIM(B300))=0</formula>
    </cfRule>
    <cfRule type="duplicateValues" dxfId="2630" priority="47"/>
  </conditionalFormatting>
  <conditionalFormatting sqref="A8:A20">
    <cfRule type="duplicateValues" dxfId="2629" priority="42"/>
  </conditionalFormatting>
  <conditionalFormatting sqref="C8:C20">
    <cfRule type="expression" dxfId="2628" priority="24">
      <formula>IF($C8&gt;$E8,TRUE)</formula>
    </cfRule>
  </conditionalFormatting>
  <conditionalFormatting sqref="E8:E20">
    <cfRule type="expression" dxfId="2627" priority="25">
      <formula>IF($C8&lt;$E8,TRUE)</formula>
    </cfRule>
  </conditionalFormatting>
  <conditionalFormatting sqref="K8:K20">
    <cfRule type="expression" dxfId="2626" priority="32">
      <formula>IF($K8&gt;$M8,TRUE)</formula>
    </cfRule>
  </conditionalFormatting>
  <conditionalFormatting sqref="M8:M20">
    <cfRule type="expression" dxfId="2625" priority="33">
      <formula>IF($K8&lt;$M8,TRUE)</formula>
    </cfRule>
  </conditionalFormatting>
  <conditionalFormatting sqref="O8:O20">
    <cfRule type="expression" dxfId="2624" priority="36">
      <formula>IF($O8&gt;$Q8,TRUE)</formula>
    </cfRule>
  </conditionalFormatting>
  <conditionalFormatting sqref="Q8:Q20">
    <cfRule type="expression" dxfId="2623" priority="37">
      <formula>IF($O8&lt;$Q8,TRUE)</formula>
    </cfRule>
  </conditionalFormatting>
  <conditionalFormatting sqref="S8:S20">
    <cfRule type="expression" dxfId="2622" priority="40">
      <formula>IF($S8&gt;$U8,TRUE)</formula>
    </cfRule>
  </conditionalFormatting>
  <conditionalFormatting sqref="U8:U20">
    <cfRule type="expression" dxfId="2621" priority="41">
      <formula>IF($S8&lt;$U8,TRUE)</formula>
    </cfRule>
  </conditionalFormatting>
  <conditionalFormatting sqref="G8:G20">
    <cfRule type="expression" dxfId="2620" priority="28">
      <formula>IF($G8&gt;$I8,TRUE)</formula>
    </cfRule>
  </conditionalFormatting>
  <conditionalFormatting sqref="I8:I20">
    <cfRule type="expression" dxfId="2619" priority="29">
      <formula>IF($G8&lt;$I8,TRUE)</formula>
    </cfRule>
  </conditionalFormatting>
  <conditionalFormatting sqref="F8:F20">
    <cfRule type="containsText" dxfId="2618" priority="10" operator="containsText" text="vaba voor">
      <formula>NOT(ISERROR(SEARCH("vaba voor",F8)))</formula>
    </cfRule>
  </conditionalFormatting>
  <conditionalFormatting sqref="N8:N20">
    <cfRule type="containsText" dxfId="2617" priority="8" operator="containsText" text="vaba voor">
      <formula>NOT(ISERROR(SEARCH("vaba voor",N8)))</formula>
    </cfRule>
  </conditionalFormatting>
  <conditionalFormatting sqref="R8:R20">
    <cfRule type="containsText" dxfId="2616" priority="11" operator="containsText" text="vaba voor">
      <formula>NOT(ISERROR(SEARCH("vaba voor",R8)))</formula>
    </cfRule>
  </conditionalFormatting>
  <conditionalFormatting sqref="V8:V20">
    <cfRule type="containsText" dxfId="2615" priority="7" operator="containsText" text="vaba voor">
      <formula>NOT(ISERROR(SEARCH("vaba voor",V8)))</formula>
    </cfRule>
  </conditionalFormatting>
  <conditionalFormatting sqref="Z8:Z20">
    <cfRule type="containsText" dxfId="2614" priority="6" operator="containsText" text="vaba voor">
      <formula>NOT(ISERROR(SEARCH("vaba voor",Z8)))</formula>
    </cfRule>
  </conditionalFormatting>
  <conditionalFormatting sqref="W8:W20">
    <cfRule type="expression" dxfId="2613" priority="15">
      <formula>IF($W8&gt;$Y8,TRUE)</formula>
    </cfRule>
  </conditionalFormatting>
  <conditionalFormatting sqref="Y8:Y20">
    <cfRule type="expression" dxfId="2612" priority="16">
      <formula>IF($W8&lt;$Y8,TRUE)</formula>
    </cfRule>
  </conditionalFormatting>
  <conditionalFormatting sqref="J8:J20">
    <cfRule type="containsText" dxfId="2611" priority="9" operator="containsText" text="vaba voor">
      <formula>NOT(ISERROR(SEARCH("vaba voor",J8)))</formula>
    </cfRule>
  </conditionalFormatting>
  <conditionalFormatting sqref="C8:F20">
    <cfRule type="expression" dxfId="2610" priority="20">
      <formula>IF(AND(ISNUMBER($C8),$C8=$E8),TRUE)</formula>
    </cfRule>
    <cfRule type="expression" dxfId="2609" priority="22">
      <formula>IF($C8&gt;$E8,TRUE)</formula>
    </cfRule>
    <cfRule type="expression" dxfId="2608" priority="23">
      <formula>IF($C8&lt;$E8,TRUE)</formula>
    </cfRule>
  </conditionalFormatting>
  <conditionalFormatting sqref="G8:J20">
    <cfRule type="expression" dxfId="2607" priority="21">
      <formula>IF(AND(ISNUMBER($G8),$G8=$I8),TRUE)</formula>
    </cfRule>
    <cfRule type="expression" dxfId="2606" priority="26">
      <formula>IF($G8&gt;$I8,TRUE)</formula>
    </cfRule>
    <cfRule type="expression" dxfId="2605" priority="27">
      <formula>IF($G8&lt;$I8,TRUE)</formula>
    </cfRule>
  </conditionalFormatting>
  <conditionalFormatting sqref="K8:N20">
    <cfRule type="expression" dxfId="2604" priority="19">
      <formula>IF(AND(ISNUMBER($K8),$K8=$M8),TRUE)</formula>
    </cfRule>
    <cfRule type="expression" dxfId="2603" priority="30">
      <formula>IF($K8&gt;$M8,TRUE)</formula>
    </cfRule>
    <cfRule type="expression" dxfId="2602" priority="31">
      <formula>IF($K8&lt;$M8,TRUE)</formula>
    </cfRule>
  </conditionalFormatting>
  <conditionalFormatting sqref="O8:R20">
    <cfRule type="expression" dxfId="2601" priority="18">
      <formula>IF(AND(ISNUMBER($O8),$O8=$Q8),TRUE)</formula>
    </cfRule>
    <cfRule type="expression" dxfId="2600" priority="34">
      <formula>IF($O8&gt;$Q8,TRUE)</formula>
    </cfRule>
    <cfRule type="expression" dxfId="2599" priority="35">
      <formula>IF($O8&lt;$Q8,TRUE)</formula>
    </cfRule>
  </conditionalFormatting>
  <conditionalFormatting sqref="S8:V20">
    <cfRule type="expression" dxfId="2598" priority="17">
      <formula>IF(AND(ISNUMBER($S8),$S8=$U8),TRUE)</formula>
    </cfRule>
    <cfRule type="expression" dxfId="2597" priority="38">
      <formula>IF($S8&gt;$U8,TRUE)</formula>
    </cfRule>
    <cfRule type="expression" dxfId="2596" priority="39">
      <formula>IF($S8&lt;$U8,TRUE)</formula>
    </cfRule>
  </conditionalFormatting>
  <conditionalFormatting sqref="W8:Z20">
    <cfRule type="expression" dxfId="2595" priority="12">
      <formula>IF(AND(ISNUMBER($W8),$W8=$Y8),TRUE)</formula>
    </cfRule>
    <cfRule type="expression" dxfId="2594" priority="13">
      <formula>IF($W8&gt;$Y8,TRUE)</formula>
    </cfRule>
    <cfRule type="expression" dxfId="2593" priority="14">
      <formula>IF($W8&lt;$Y8,TRUE)</formula>
    </cfRule>
  </conditionalFormatting>
  <conditionalFormatting sqref="C8:C20 G8:G20 K8:K20 O8:O20 S8:S20 W8:W20">
    <cfRule type="expression" dxfId="2592" priority="4">
      <formula>AND(C8=0,E8=13)</formula>
    </cfRule>
  </conditionalFormatting>
  <conditionalFormatting sqref="E8:E20 I8:I20 M8:M20 Q8:Q20 U8:U20 Y8:Y20">
    <cfRule type="expression" dxfId="2591" priority="5">
      <formula>AND(E8=0,C8=13)</formula>
    </cfRule>
  </conditionalFormatting>
  <conditionalFormatting sqref="AJ8:AJ20 AN8:AN20 AP8:AP20">
    <cfRule type="expression" dxfId="2590" priority="1">
      <formula>AND(AI8="",COUNTIF(AJ8,"*,*")=0)</formula>
    </cfRule>
  </conditionalFormatting>
  <conditionalFormatting sqref="AL8:AL20">
    <cfRule type="expression" dxfId="2589" priority="2">
      <formula>AND(AK8="",FIND(",",AL8))</formula>
    </cfRule>
    <cfRule type="expression" dxfId="2588" priority="3">
      <formula>AND(AK8="",COUNTIF(AL8,"*,*")=0)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FF99"/>
    <pageSetUpPr fitToPage="1"/>
  </sheetPr>
  <dimension ref="A1:R306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42.42578125" style="1" customWidth="1"/>
    <col min="3" max="10" width="6.7109375" style="1" customWidth="1"/>
    <col min="11" max="12" width="4.7109375" style="1" customWidth="1"/>
    <col min="13" max="15" width="9.140625" style="1"/>
    <col min="16" max="19" width="1.7109375" style="1" customWidth="1"/>
    <col min="20" max="16384" width="9.140625" style="1"/>
  </cols>
  <sheetData>
    <row r="1" spans="1:18" x14ac:dyDescent="0.2">
      <c r="A1" s="753" t="str">
        <f>UPPER((Kalend!E27)&amp;" - "&amp;(Kalend!C27)&amp;" - "&amp;(Kalend!D27))</f>
        <v>VI-T - VIRU SK 1. SISE-MV - TRIO</v>
      </c>
      <c r="B1" s="754"/>
      <c r="C1" s="756" t="str">
        <f>HYPERLINK("#'Kalend'!I1","Kalender")</f>
        <v>Kalender</v>
      </c>
      <c r="D1" s="755"/>
      <c r="E1" s="756" t="str">
        <f>HYPERLINK("#'V'!AE1","Reiting")</f>
        <v>Reiting</v>
      </c>
      <c r="F1" s="757"/>
      <c r="I1" s="755"/>
      <c r="J1" s="755"/>
      <c r="K1" s="755"/>
      <c r="L1" s="755"/>
      <c r="M1" s="755"/>
      <c r="N1" s="755"/>
      <c r="O1" s="755"/>
      <c r="P1" s="755"/>
      <c r="Q1" s="755"/>
      <c r="R1" s="755"/>
    </row>
    <row r="2" spans="1:18" x14ac:dyDescent="0.2">
      <c r="A2" s="757" t="str">
        <f>"Toimumisaeg: "&amp;(Kalend!A27)&amp;" kell "&amp;(Kalend!B27)</f>
        <v>Toimumisaeg: P, 13.01.2019 kell 16:00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</row>
    <row r="3" spans="1:18" x14ac:dyDescent="0.2">
      <c r="A3" s="757" t="str">
        <f>"Toimumiskoht: "&amp;(Kalend!F27)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</row>
    <row r="4" spans="1:18" x14ac:dyDescent="0.2">
      <c r="A4" s="757" t="str">
        <f>"Korraldaja: "&amp;(Kalend!G27)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9" t="s">
        <v>357</v>
      </c>
      <c r="K4" s="757"/>
      <c r="L4" s="757"/>
      <c r="M4" s="757"/>
      <c r="N4" s="757"/>
      <c r="O4" s="757"/>
      <c r="P4" s="757"/>
      <c r="Q4" s="757"/>
      <c r="R4" s="757"/>
    </row>
    <row r="5" spans="1:18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O5" s="760"/>
      <c r="P5" s="760"/>
      <c r="Q5" s="757"/>
      <c r="R5" s="757"/>
    </row>
    <row r="6" spans="1:18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>
        <v>6</v>
      </c>
      <c r="I6" s="767" t="s">
        <v>363</v>
      </c>
      <c r="J6" s="766" t="s">
        <v>364</v>
      </c>
      <c r="K6" s="768" t="s">
        <v>21</v>
      </c>
      <c r="L6" s="769" t="s">
        <v>365</v>
      </c>
      <c r="M6" s="924"/>
      <c r="N6" s="755"/>
      <c r="O6" s="755"/>
      <c r="P6" s="755"/>
      <c r="Q6" s="755"/>
      <c r="R6" s="212"/>
    </row>
    <row r="7" spans="1:18" x14ac:dyDescent="0.2">
      <c r="A7" s="765">
        <v>1</v>
      </c>
      <c r="B7" s="925" t="s">
        <v>491</v>
      </c>
      <c r="C7" s="776"/>
      <c r="D7" s="926">
        <v>13</v>
      </c>
      <c r="E7" s="778">
        <v>13</v>
      </c>
      <c r="F7" s="778">
        <v>13</v>
      </c>
      <c r="G7" s="778">
        <v>13</v>
      </c>
      <c r="H7" s="778">
        <v>13</v>
      </c>
      <c r="I7" s="796" t="str">
        <f>(IF(D7-C8&gt;0,1)+IF(E7-C9&gt;0,1)+IF(F7-C10&gt;0,1)+IF(G7-C11&gt;0,1)+IF(H7-C12&gt;0,1))&amp;"-"&amp;(IF(D7-C8&lt;0,1)+IF(E7-C9&lt;0,1)+IF(F7-C10&lt;0,1)+IF(G7-C11&lt;0,1)+IF(H7-C12&lt;0,1))</f>
        <v>5-0</v>
      </c>
      <c r="J7" s="766">
        <v>1</v>
      </c>
      <c r="K7" s="843"/>
      <c r="L7" s="927"/>
      <c r="M7" s="930"/>
      <c r="N7" s="945"/>
      <c r="O7" s="818"/>
      <c r="P7" s="818"/>
      <c r="Q7" s="755"/>
      <c r="R7" s="212"/>
    </row>
    <row r="8" spans="1:18" x14ac:dyDescent="0.2">
      <c r="A8" s="765">
        <v>2</v>
      </c>
      <c r="B8" s="775" t="s">
        <v>492</v>
      </c>
      <c r="C8" s="778">
        <v>1</v>
      </c>
      <c r="D8" s="776"/>
      <c r="E8" s="778">
        <v>9</v>
      </c>
      <c r="F8" s="778">
        <v>13</v>
      </c>
      <c r="G8" s="778">
        <v>2</v>
      </c>
      <c r="H8" s="778">
        <v>12</v>
      </c>
      <c r="I8" s="796" t="str">
        <f>(IF(C8-D7&gt;0,1)+IF(E8-D9&gt;0,1)+IF(F8-D10&gt;0,1)+IF(G8-D11&gt;0,1)+IF(H8-D12&gt;0,1))&amp;"-"&amp;(IF(C8-D7&lt;0,1)+IF(E8-D9&lt;0,1)+IF(F8-D10&lt;0,1)+IF(G8-D11&lt;0,1)+IF(H8-D12&lt;0,1))</f>
        <v>1-4</v>
      </c>
      <c r="J8" s="766">
        <v>5</v>
      </c>
      <c r="K8" s="843"/>
      <c r="L8" s="927"/>
      <c r="M8" s="930"/>
      <c r="N8" s="843"/>
      <c r="O8" s="818"/>
      <c r="P8" s="818"/>
      <c r="Q8" s="755"/>
      <c r="R8" s="212"/>
    </row>
    <row r="9" spans="1:18" x14ac:dyDescent="0.2">
      <c r="A9" s="765">
        <v>3</v>
      </c>
      <c r="B9" s="925" t="s">
        <v>493</v>
      </c>
      <c r="C9" s="778">
        <v>6</v>
      </c>
      <c r="D9" s="787">
        <v>13</v>
      </c>
      <c r="E9" s="776"/>
      <c r="F9" s="778">
        <v>13</v>
      </c>
      <c r="G9" s="778">
        <v>2</v>
      </c>
      <c r="H9" s="778">
        <v>9</v>
      </c>
      <c r="I9" s="796" t="str">
        <f>(IF(C9-E7&gt;0,1)+IF(D9-E8&gt;0,1)+IF(F9-E10&gt;0,1)+IF(G9-E11&gt;0,1)+IF(H9-E12&gt;0,1))&amp;"-"&amp;(IF(C9-E7&lt;0,1)+IF(D9-E8&lt;0,1)+IF(F9-E10&lt;0,1)+IF(G9-E11&lt;0,1)+IF(H9-E12&lt;0,1))</f>
        <v>2-3</v>
      </c>
      <c r="J9" s="766">
        <v>4</v>
      </c>
      <c r="K9" s="843"/>
      <c r="L9" s="927"/>
      <c r="M9" s="930"/>
      <c r="N9" s="843"/>
      <c r="O9" s="818"/>
      <c r="P9" s="818"/>
      <c r="Q9" s="755"/>
      <c r="R9" s="212"/>
    </row>
    <row r="10" spans="1:18" ht="25.5" x14ac:dyDescent="0.2">
      <c r="A10" s="1032">
        <v>4</v>
      </c>
      <c r="B10" s="1058" t="s">
        <v>494</v>
      </c>
      <c r="C10" s="1042">
        <v>7</v>
      </c>
      <c r="D10" s="1059">
        <v>10</v>
      </c>
      <c r="E10" s="1042">
        <v>7</v>
      </c>
      <c r="F10" s="1043"/>
      <c r="G10" s="1042">
        <v>5</v>
      </c>
      <c r="H10" s="1042">
        <v>2</v>
      </c>
      <c r="I10" s="1038" t="str">
        <f>(IF(C10-F7&gt;0,1)+IF(D10-F8&gt;0,1)+IF(E10-F9&gt;0,1)+IF(G10-F11&gt;0,1)+IF(H10-F12&gt;0,1))&amp;"-"&amp;(IF(C10-F7&lt;0,1)+IF(D10-F8&lt;0,1)+IF(E10-F9&lt;0,1)+IF(G10-F11&lt;0,1)+IF(H10-F12&lt;0,1))</f>
        <v>0-5</v>
      </c>
      <c r="J10" s="1039">
        <v>6</v>
      </c>
      <c r="K10" s="1060"/>
      <c r="L10" s="1061"/>
      <c r="M10" s="946"/>
      <c r="N10" s="945"/>
      <c r="O10" s="818"/>
      <c r="P10" s="818"/>
      <c r="Q10" s="755"/>
      <c r="R10" s="212"/>
    </row>
    <row r="11" spans="1:18" ht="25.5" x14ac:dyDescent="0.2">
      <c r="A11" s="1032">
        <v>5</v>
      </c>
      <c r="B11" s="1062" t="s">
        <v>495</v>
      </c>
      <c r="C11" s="1042">
        <v>5</v>
      </c>
      <c r="D11" s="1042">
        <v>13</v>
      </c>
      <c r="E11" s="1042">
        <v>13</v>
      </c>
      <c r="F11" s="1042">
        <v>13</v>
      </c>
      <c r="G11" s="1043"/>
      <c r="H11" s="1042">
        <v>13</v>
      </c>
      <c r="I11" s="1038" t="str">
        <f>(IF(C11-G7&gt;0,1)+IF(D11-G8&gt;0,1)+IF(E11-G9&gt;0,1)+IF(F11-G10&gt;0,1)+IF(H11-G12&gt;0,1))&amp;"-"&amp;(IF(C11-G7&lt;0,1)+IF(D11-G8&lt;0,1)+IF(E11-G9&lt;0,1)+IF(F11-G10&lt;0,1)+IF(H11-G12&lt;0,1))</f>
        <v>4-1</v>
      </c>
      <c r="J11" s="1039">
        <v>2</v>
      </c>
      <c r="K11" s="1060"/>
      <c r="L11" s="1061"/>
      <c r="M11" s="930"/>
      <c r="N11" s="945"/>
      <c r="O11" s="818"/>
      <c r="P11" s="818"/>
      <c r="Q11" s="755"/>
      <c r="R11" s="212"/>
    </row>
    <row r="12" spans="1:18" x14ac:dyDescent="0.2">
      <c r="A12" s="765">
        <v>6</v>
      </c>
      <c r="B12" s="925" t="s">
        <v>496</v>
      </c>
      <c r="C12" s="794">
        <v>10</v>
      </c>
      <c r="D12" s="794">
        <v>13</v>
      </c>
      <c r="E12" s="794">
        <v>13</v>
      </c>
      <c r="F12" s="794">
        <v>13</v>
      </c>
      <c r="G12" s="794">
        <v>12</v>
      </c>
      <c r="H12" s="776"/>
      <c r="I12" s="796" t="str">
        <f>(IF(C12-H7&gt;0,1)+IF(D12-H8&gt;0,1)+IF(E12-H9&gt;0,1)+IF(F12-H10&gt;0,1)+IF(G12-H11&gt;0,1))&amp;"-"&amp;(IF(C12-H7&lt;0,1)+IF(D12-H8&lt;0,1)+IF(E12-H9&lt;0,1)+IF(F12-H10&lt;0,1)+IF(G12-H11&lt;0,1))</f>
        <v>3-2</v>
      </c>
      <c r="J12" s="766">
        <v>3</v>
      </c>
      <c r="K12" s="797"/>
      <c r="L12" s="936"/>
      <c r="M12" s="930"/>
      <c r="N12" s="945"/>
      <c r="O12" s="818"/>
      <c r="P12" s="818"/>
      <c r="Q12" s="755"/>
      <c r="R12" s="757"/>
    </row>
    <row r="13" spans="1:18" x14ac:dyDescent="0.2">
      <c r="A13" s="770"/>
      <c r="B13" s="770"/>
      <c r="C13" s="770"/>
      <c r="D13" s="770"/>
      <c r="E13" s="770"/>
      <c r="F13" s="770"/>
      <c r="G13" s="770"/>
      <c r="H13" s="770"/>
      <c r="I13" s="770"/>
      <c r="J13" s="770"/>
      <c r="K13" s="770"/>
      <c r="L13" s="770"/>
      <c r="M13" s="770"/>
      <c r="N13" s="755"/>
      <c r="O13" s="755"/>
      <c r="P13" s="755"/>
      <c r="Q13" s="755"/>
      <c r="R13" s="757"/>
    </row>
    <row r="14" spans="1:18" x14ac:dyDescent="0.2">
      <c r="A14" s="757"/>
      <c r="B14" s="799" t="s">
        <v>373</v>
      </c>
      <c r="C14" s="947" t="s">
        <v>497</v>
      </c>
      <c r="D14" s="947" t="s">
        <v>380</v>
      </c>
      <c r="E14" s="947" t="s">
        <v>381</v>
      </c>
      <c r="F14" s="770"/>
      <c r="G14" s="770"/>
      <c r="H14" s="770"/>
      <c r="I14" s="770"/>
      <c r="J14" s="770"/>
      <c r="K14" s="770"/>
      <c r="L14" s="770"/>
      <c r="M14" s="770"/>
      <c r="N14" s="755"/>
      <c r="O14" s="755"/>
      <c r="P14" s="755"/>
      <c r="Q14" s="755"/>
      <c r="R14" s="757"/>
    </row>
    <row r="15" spans="1:18" x14ac:dyDescent="0.2">
      <c r="A15" s="757"/>
      <c r="B15" s="799" t="s">
        <v>376</v>
      </c>
      <c r="C15" s="947" t="s">
        <v>408</v>
      </c>
      <c r="D15" s="947" t="s">
        <v>384</v>
      </c>
      <c r="E15" s="947" t="s">
        <v>498</v>
      </c>
      <c r="F15" s="770"/>
      <c r="G15" s="770"/>
      <c r="H15" s="770"/>
      <c r="I15" s="770"/>
      <c r="J15" s="770"/>
      <c r="K15" s="770"/>
      <c r="L15" s="770"/>
      <c r="M15" s="770"/>
      <c r="N15" s="755"/>
      <c r="O15" s="755"/>
      <c r="P15" s="755"/>
      <c r="Q15" s="755"/>
      <c r="R15" s="757"/>
    </row>
    <row r="16" spans="1:18" x14ac:dyDescent="0.2">
      <c r="A16" s="757"/>
      <c r="B16" s="799" t="s">
        <v>379</v>
      </c>
      <c r="C16" s="947" t="s">
        <v>374</v>
      </c>
      <c r="D16" s="947" t="s">
        <v>375</v>
      </c>
      <c r="E16" s="947" t="s">
        <v>499</v>
      </c>
      <c r="F16" s="770"/>
      <c r="G16" s="770"/>
      <c r="H16" s="770"/>
      <c r="I16" s="770"/>
      <c r="J16" s="770"/>
      <c r="K16" s="770"/>
      <c r="L16" s="770"/>
      <c r="M16" s="770"/>
      <c r="O16" s="771"/>
      <c r="P16" s="770"/>
      <c r="Q16" s="757"/>
      <c r="R16" s="757"/>
    </row>
    <row r="17" spans="1:18" x14ac:dyDescent="0.2">
      <c r="A17" s="757"/>
      <c r="B17" s="799" t="s">
        <v>382</v>
      </c>
      <c r="C17" s="947" t="s">
        <v>377</v>
      </c>
      <c r="D17" s="947" t="s">
        <v>500</v>
      </c>
      <c r="E17" s="947" t="s">
        <v>378</v>
      </c>
      <c r="F17" s="770"/>
      <c r="G17" s="770"/>
      <c r="H17" s="770"/>
      <c r="I17" s="770"/>
      <c r="J17" s="770"/>
      <c r="K17" s="770"/>
      <c r="L17" s="770"/>
      <c r="M17" s="770"/>
      <c r="O17" s="770"/>
      <c r="P17" s="770"/>
      <c r="Q17" s="757"/>
      <c r="R17" s="757"/>
    </row>
    <row r="18" spans="1:18" x14ac:dyDescent="0.2">
      <c r="A18" s="212"/>
      <c r="B18" s="799" t="s">
        <v>385</v>
      </c>
      <c r="C18" s="947" t="s">
        <v>387</v>
      </c>
      <c r="D18" s="947" t="s">
        <v>386</v>
      </c>
      <c r="E18" s="947" t="s">
        <v>501</v>
      </c>
      <c r="F18" s="770"/>
      <c r="G18" s="770"/>
      <c r="H18" s="770"/>
      <c r="I18" s="770"/>
      <c r="J18" s="770"/>
      <c r="K18" s="770"/>
      <c r="L18" s="770"/>
      <c r="M18" s="770"/>
      <c r="O18" s="770"/>
      <c r="P18" s="770"/>
      <c r="Q18" s="212"/>
      <c r="R18" s="212"/>
    </row>
    <row r="19" spans="1:18" hidden="1" x14ac:dyDescent="0.2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O19" s="212"/>
      <c r="P19" s="770"/>
      <c r="Q19" s="212"/>
      <c r="R19" s="212"/>
    </row>
    <row r="20" spans="1:18" hidden="1" x14ac:dyDescent="0.2">
      <c r="A20" s="770"/>
      <c r="B20" s="770"/>
      <c r="C20" s="770"/>
      <c r="D20" s="770"/>
      <c r="E20" s="770"/>
      <c r="F20" s="770"/>
      <c r="G20" s="770"/>
      <c r="H20" s="212"/>
      <c r="I20" s="212"/>
      <c r="J20" s="212"/>
      <c r="K20" s="770"/>
      <c r="L20" s="770"/>
      <c r="M20" s="770"/>
      <c r="N20" s="770"/>
      <c r="O20" s="770"/>
      <c r="P20" s="770"/>
      <c r="Q20" s="212"/>
      <c r="R20" s="212"/>
    </row>
    <row r="21" spans="1:18" hidden="1" x14ac:dyDescent="0.2">
      <c r="A21" s="770"/>
      <c r="B21" s="770"/>
      <c r="C21" s="770"/>
      <c r="D21" s="770"/>
      <c r="E21" s="770"/>
      <c r="F21" s="770"/>
      <c r="G21" s="770"/>
      <c r="H21" s="212"/>
      <c r="I21" s="212"/>
      <c r="J21" s="212"/>
      <c r="K21" s="770"/>
      <c r="L21" s="770"/>
      <c r="M21" s="770"/>
      <c r="O21" s="770"/>
      <c r="P21" s="770"/>
      <c r="Q21" s="212"/>
      <c r="R21" s="212"/>
    </row>
    <row r="22" spans="1:18" hidden="1" x14ac:dyDescent="0.2">
      <c r="A22" s="770"/>
      <c r="B22" s="770"/>
      <c r="C22" s="770"/>
      <c r="D22" s="770"/>
      <c r="E22" s="770"/>
      <c r="F22" s="770"/>
      <c r="G22" s="770"/>
      <c r="H22" s="212"/>
      <c r="I22" s="212"/>
      <c r="J22" s="212"/>
      <c r="K22" s="770"/>
      <c r="L22" s="770"/>
      <c r="M22" s="770"/>
      <c r="N22" s="770"/>
      <c r="O22" s="770"/>
      <c r="P22" s="770"/>
      <c r="Q22" s="212"/>
      <c r="R22" s="212"/>
    </row>
    <row r="23" spans="1:18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770"/>
      <c r="L23" s="770"/>
      <c r="M23" s="770"/>
      <c r="N23" s="771"/>
      <c r="O23" s="770"/>
      <c r="P23" s="770"/>
      <c r="Q23" s="212"/>
      <c r="R23" s="212"/>
    </row>
    <row r="24" spans="1:18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770"/>
      <c r="L24" s="770"/>
      <c r="M24" s="770"/>
      <c r="O24" s="770"/>
      <c r="P24" s="770"/>
      <c r="Q24" s="212"/>
      <c r="R24" s="212"/>
    </row>
    <row r="25" spans="1:18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770"/>
      <c r="L25" s="770"/>
      <c r="M25" s="770"/>
      <c r="N25" s="770"/>
      <c r="O25" s="770"/>
      <c r="P25" s="770"/>
      <c r="Q25" s="212"/>
      <c r="R25" s="212"/>
    </row>
    <row r="26" spans="1:18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770"/>
      <c r="L26" s="770"/>
      <c r="M26" s="770"/>
      <c r="N26" s="801"/>
      <c r="O26" s="770"/>
      <c r="P26" s="770"/>
      <c r="Q26" s="212"/>
      <c r="R26" s="212"/>
    </row>
    <row r="27" spans="1:18" hidden="1" x14ac:dyDescent="0.2">
      <c r="A27" s="770"/>
      <c r="B27" s="770"/>
      <c r="C27" s="770"/>
      <c r="D27" s="770"/>
      <c r="E27" s="770"/>
      <c r="F27" s="770"/>
      <c r="G27" s="770"/>
      <c r="H27" s="212"/>
      <c r="I27" s="212"/>
      <c r="J27" s="212"/>
      <c r="K27" s="770"/>
      <c r="L27" s="770"/>
      <c r="M27" s="770"/>
      <c r="O27" s="770"/>
      <c r="P27" s="770"/>
      <c r="Q27" s="212"/>
      <c r="R27" s="212"/>
    </row>
    <row r="28" spans="1:18" hidden="1" x14ac:dyDescent="0.2">
      <c r="A28" s="770"/>
      <c r="B28" s="770"/>
      <c r="C28" s="770"/>
      <c r="D28" s="770"/>
      <c r="E28" s="770"/>
      <c r="F28" s="770"/>
      <c r="G28" s="770"/>
      <c r="H28" s="802"/>
      <c r="I28" s="802"/>
      <c r="J28" s="802"/>
      <c r="K28" s="770"/>
      <c r="L28" s="770"/>
      <c r="M28" s="770"/>
      <c r="O28" s="771"/>
      <c r="P28" s="770"/>
      <c r="Q28" s="802"/>
      <c r="R28" s="802"/>
    </row>
    <row r="29" spans="1:18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770"/>
      <c r="L29" s="770"/>
      <c r="M29" s="770"/>
      <c r="O29" s="771"/>
      <c r="P29" s="770"/>
      <c r="Q29" s="802"/>
      <c r="R29" s="802"/>
    </row>
    <row r="30" spans="1:18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770"/>
      <c r="L30" s="770"/>
      <c r="M30" s="770"/>
      <c r="N30" s="801"/>
      <c r="O30" s="212"/>
      <c r="P30" s="770"/>
      <c r="Q30" s="802"/>
      <c r="R30" s="802"/>
    </row>
    <row r="31" spans="1:18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770"/>
      <c r="L31" s="770"/>
      <c r="M31" s="770"/>
      <c r="O31" s="212"/>
      <c r="P31" s="770"/>
      <c r="Q31" s="802"/>
      <c r="R31" s="802"/>
    </row>
    <row r="32" spans="1:18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770"/>
      <c r="L32" s="770"/>
      <c r="M32" s="770"/>
      <c r="N32" s="770"/>
      <c r="O32" s="212"/>
      <c r="P32" s="770"/>
      <c r="Q32" s="802"/>
      <c r="R32" s="802"/>
    </row>
    <row r="33" spans="1:18" hidden="1" x14ac:dyDescent="0.2">
      <c r="A33" s="770"/>
      <c r="B33" s="770"/>
      <c r="C33" s="770"/>
      <c r="D33" s="770"/>
      <c r="E33" s="770"/>
      <c r="F33" s="770"/>
      <c r="G33" s="770"/>
      <c r="H33" s="802"/>
      <c r="I33" s="802"/>
      <c r="J33" s="802"/>
      <c r="K33" s="770"/>
      <c r="L33" s="770"/>
      <c r="M33" s="770"/>
      <c r="N33" s="770"/>
      <c r="O33" s="770"/>
      <c r="P33" s="770"/>
      <c r="Q33" s="802"/>
      <c r="R33" s="802"/>
    </row>
    <row r="34" spans="1:18" hidden="1" x14ac:dyDescent="0.2">
      <c r="A34" s="770"/>
      <c r="B34" s="770"/>
      <c r="C34" s="770"/>
      <c r="D34" s="770"/>
      <c r="E34" s="770"/>
      <c r="F34" s="770"/>
      <c r="G34" s="770"/>
      <c r="H34" s="770"/>
      <c r="I34" s="802"/>
      <c r="J34" s="802"/>
      <c r="K34" s="770"/>
      <c r="L34" s="770"/>
      <c r="M34" s="770"/>
      <c r="N34" s="212"/>
      <c r="O34" s="770"/>
      <c r="P34" s="770"/>
      <c r="Q34" s="802"/>
      <c r="R34" s="802"/>
    </row>
    <row r="35" spans="1:18" hidden="1" x14ac:dyDescent="0.2">
      <c r="A35" s="770"/>
      <c r="B35" s="770"/>
      <c r="C35" s="770"/>
      <c r="D35" s="770"/>
      <c r="E35" s="770"/>
      <c r="F35" s="770"/>
      <c r="G35" s="770"/>
      <c r="H35" s="770"/>
      <c r="I35" s="802"/>
      <c r="J35" s="802"/>
      <c r="K35" s="770"/>
      <c r="L35" s="770"/>
      <c r="M35" s="770"/>
      <c r="N35" s="803"/>
      <c r="O35" s="212"/>
      <c r="P35" s="770"/>
      <c r="Q35" s="802"/>
      <c r="R35" s="802"/>
    </row>
    <row r="36" spans="1:18" hidden="1" x14ac:dyDescent="0.2">
      <c r="A36" s="770"/>
      <c r="B36" s="770"/>
      <c r="C36" s="770"/>
      <c r="D36" s="770"/>
      <c r="E36" s="770"/>
      <c r="F36" s="770"/>
      <c r="G36" s="770"/>
      <c r="H36" s="770"/>
      <c r="I36" s="802"/>
      <c r="J36" s="802"/>
      <c r="K36" s="770"/>
      <c r="L36" s="770"/>
      <c r="M36" s="770"/>
      <c r="N36" s="212"/>
      <c r="O36" s="212"/>
      <c r="P36" s="770"/>
      <c r="Q36" s="802"/>
      <c r="R36" s="802"/>
    </row>
    <row r="37" spans="1:18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  <c r="N37" s="212"/>
      <c r="O37" s="212"/>
      <c r="P37" s="770"/>
      <c r="Q37" s="802"/>
      <c r="R37" s="802"/>
    </row>
    <row r="38" spans="1:18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O38" s="212"/>
      <c r="P38" s="770"/>
      <c r="Q38" s="802"/>
      <c r="R38" s="802"/>
    </row>
    <row r="39" spans="1:18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212"/>
      <c r="O39" s="212"/>
      <c r="P39" s="770"/>
      <c r="Q39" s="802"/>
      <c r="R39" s="802"/>
    </row>
    <row r="40" spans="1:18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801"/>
      <c r="O40" s="212"/>
      <c r="P40" s="770"/>
      <c r="Q40" s="802"/>
      <c r="R40" s="802"/>
    </row>
    <row r="41" spans="1:18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N41" s="771"/>
      <c r="O41" s="770"/>
      <c r="P41" s="770"/>
      <c r="Q41" s="802"/>
      <c r="R41" s="802"/>
    </row>
    <row r="42" spans="1:18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O42" s="770"/>
      <c r="P42" s="770"/>
      <c r="Q42" s="802"/>
      <c r="R42" s="802"/>
    </row>
    <row r="43" spans="1:18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O43" s="770"/>
      <c r="P43" s="770"/>
      <c r="Q43" s="802"/>
      <c r="R43" s="802"/>
    </row>
    <row r="44" spans="1:18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O44" s="770"/>
      <c r="P44" s="770"/>
      <c r="Q44" s="802"/>
      <c r="R44" s="802"/>
    </row>
    <row r="45" spans="1:18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802"/>
      <c r="R45" s="802"/>
    </row>
    <row r="46" spans="1:18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  <c r="P46" s="770"/>
      <c r="Q46" s="802"/>
      <c r="R46" s="802"/>
    </row>
    <row r="47" spans="1:18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O47" s="212"/>
      <c r="P47" s="770"/>
      <c r="Q47" s="802"/>
      <c r="R47" s="802"/>
    </row>
    <row r="48" spans="1:18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0"/>
      <c r="O48" s="770"/>
      <c r="P48" s="770"/>
      <c r="Q48" s="802"/>
      <c r="R48" s="802"/>
    </row>
    <row r="49" spans="1:18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O49" s="770"/>
      <c r="P49" s="770"/>
      <c r="Q49" s="802"/>
      <c r="R49" s="802"/>
    </row>
    <row r="50" spans="1:18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770"/>
      <c r="P50" s="770"/>
      <c r="Q50" s="802"/>
      <c r="R50" s="802"/>
    </row>
    <row r="51" spans="1:18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1"/>
      <c r="O51" s="770"/>
      <c r="P51" s="770"/>
      <c r="Q51" s="802"/>
      <c r="R51" s="802"/>
    </row>
    <row r="52" spans="1:18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O52" s="770"/>
      <c r="P52" s="770"/>
      <c r="Q52" s="802"/>
      <c r="R52" s="802"/>
    </row>
    <row r="53" spans="1:18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P53" s="770"/>
      <c r="Q53" s="802"/>
      <c r="R53" s="802"/>
    </row>
    <row r="54" spans="1:18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801"/>
      <c r="O54" s="770"/>
      <c r="P54" s="770"/>
      <c r="Q54" s="802"/>
      <c r="R54" s="802"/>
    </row>
    <row r="55" spans="1:18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O55" s="770"/>
      <c r="P55" s="770"/>
      <c r="Q55" s="802"/>
      <c r="R55" s="802"/>
    </row>
    <row r="56" spans="1:18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O56" s="771"/>
      <c r="P56" s="770"/>
      <c r="Q56" s="802"/>
      <c r="R56" s="802"/>
    </row>
    <row r="57" spans="1:18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O57" s="771"/>
      <c r="P57" s="770"/>
      <c r="Q57" s="802"/>
      <c r="R57" s="802"/>
    </row>
    <row r="58" spans="1:18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801"/>
      <c r="O58" s="212"/>
      <c r="P58" s="770"/>
      <c r="Q58" s="802"/>
      <c r="R58" s="802"/>
    </row>
    <row r="59" spans="1:18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O59" s="212"/>
      <c r="P59" s="770"/>
      <c r="Q59" s="802"/>
      <c r="R59" s="802"/>
    </row>
    <row r="60" spans="1:18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0"/>
      <c r="O60" s="212"/>
      <c r="P60" s="770"/>
      <c r="Q60" s="802"/>
      <c r="R60" s="802"/>
    </row>
    <row r="61" spans="1:18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55"/>
      <c r="O61" s="755"/>
      <c r="P61" s="755"/>
      <c r="Q61" s="802"/>
      <c r="R61" s="802"/>
    </row>
    <row r="62" spans="1:18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55"/>
      <c r="O62" s="755"/>
      <c r="P62" s="755"/>
      <c r="Q62" s="802"/>
      <c r="R62" s="802"/>
    </row>
    <row r="63" spans="1:18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55"/>
      <c r="O63" s="755"/>
      <c r="P63" s="755"/>
      <c r="Q63" s="802"/>
      <c r="R63" s="802"/>
    </row>
    <row r="64" spans="1:18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55"/>
      <c r="O64" s="755"/>
      <c r="P64" s="755"/>
      <c r="Q64" s="802"/>
      <c r="R64" s="802"/>
    </row>
    <row r="65" spans="1:18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55"/>
      <c r="O65" s="755"/>
      <c r="P65" s="755"/>
      <c r="Q65" s="802"/>
      <c r="R65" s="802"/>
    </row>
    <row r="66" spans="1:18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55"/>
      <c r="O66" s="755"/>
      <c r="P66" s="755"/>
      <c r="Q66" s="802"/>
      <c r="R66" s="802"/>
    </row>
    <row r="67" spans="1:18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55"/>
      <c r="O67" s="755"/>
      <c r="P67" s="755"/>
      <c r="Q67" s="212"/>
      <c r="R67" s="212"/>
    </row>
    <row r="68" spans="1:18" hidden="1" x14ac:dyDescent="0.2">
      <c r="A68" s="770"/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55"/>
      <c r="O68" s="755"/>
      <c r="P68" s="755"/>
      <c r="Q68" s="212"/>
      <c r="R68" s="212"/>
    </row>
    <row r="69" spans="1:18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212"/>
      <c r="R69" s="212"/>
    </row>
    <row r="70" spans="1:18" hidden="1" x14ac:dyDescent="0.2">
      <c r="A70" s="755"/>
      <c r="B70" s="212"/>
      <c r="C70" s="212"/>
      <c r="D70" s="212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212"/>
      <c r="R70" s="212"/>
    </row>
    <row r="71" spans="1:18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212"/>
      <c r="R71" s="212"/>
    </row>
    <row r="72" spans="1:18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212"/>
      <c r="R72" s="212"/>
    </row>
    <row r="73" spans="1:18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212"/>
      <c r="R73" s="212"/>
    </row>
    <row r="74" spans="1:18" hidden="1" x14ac:dyDescent="0.2">
      <c r="A74" s="755"/>
      <c r="B74" s="212"/>
      <c r="C74" s="212"/>
      <c r="D74" s="212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212"/>
      <c r="R74" s="212"/>
    </row>
    <row r="75" spans="1:18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212"/>
      <c r="R75" s="212"/>
    </row>
    <row r="76" spans="1:18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212"/>
      <c r="R76" s="212"/>
    </row>
    <row r="77" spans="1:18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</row>
    <row r="78" spans="1:18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</row>
    <row r="79" spans="1:18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</row>
    <row r="80" spans="1:18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</row>
    <row r="81" spans="1:18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</row>
    <row r="82" spans="1:18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</row>
    <row r="83" spans="1:18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</row>
    <row r="84" spans="1:18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</row>
    <row r="85" spans="1:18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</row>
    <row r="86" spans="1:18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</row>
    <row r="87" spans="1:18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</row>
    <row r="88" spans="1:18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</row>
    <row r="89" spans="1:18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</row>
    <row r="90" spans="1:18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</row>
    <row r="91" spans="1:18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</row>
    <row r="92" spans="1:18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</row>
    <row r="93" spans="1:18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</row>
    <row r="94" spans="1:18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</row>
    <row r="95" spans="1:18" hidden="1" x14ac:dyDescent="0.2">
      <c r="A95" s="755"/>
      <c r="B95" s="802"/>
      <c r="C95" s="802"/>
      <c r="D95" s="802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55"/>
      <c r="R95" s="755"/>
    </row>
    <row r="96" spans="1:18" hidden="1" x14ac:dyDescent="0.2">
      <c r="A96" s="755"/>
      <c r="B96" s="760"/>
      <c r="C96" s="760"/>
      <c r="D96" s="760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55"/>
      <c r="R96" s="755"/>
    </row>
    <row r="97" spans="1:18" hidden="1" x14ac:dyDescent="0.2">
      <c r="A97" s="755"/>
      <c r="B97" s="760"/>
      <c r="C97" s="760"/>
      <c r="D97" s="760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55"/>
      <c r="R97" s="755"/>
    </row>
    <row r="98" spans="1:18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55"/>
      <c r="R98" s="755"/>
    </row>
    <row r="99" spans="1:18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55"/>
      <c r="R99" s="755"/>
    </row>
    <row r="100" spans="1:18" x14ac:dyDescent="0.2">
      <c r="A100" s="806" t="s">
        <v>388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55"/>
      <c r="R100" s="755"/>
    </row>
    <row r="101" spans="1:18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55"/>
      <c r="R101" s="755"/>
    </row>
    <row r="102" spans="1:18" ht="13.5" thickBot="1" x14ac:dyDescent="0.25">
      <c r="A102" s="755"/>
      <c r="B102" s="755"/>
      <c r="C102" s="755"/>
      <c r="D102" s="755"/>
      <c r="E102" s="755"/>
      <c r="F102" s="755"/>
      <c r="G102" s="755"/>
      <c r="H102" s="809" t="str">
        <f>IFERROR(INDEX(B$1:B$100,MATCH(1,J$1:J$100,0)),"")</f>
        <v>Oksana Rõndenkova, Oleg Rõndenkov, Ülo Piik</v>
      </c>
      <c r="I102" s="755"/>
      <c r="J102" s="755"/>
      <c r="K102" s="755"/>
      <c r="L102" s="755"/>
      <c r="M102" s="755"/>
      <c r="N102" s="755"/>
      <c r="O102" s="755"/>
      <c r="P102" s="760"/>
      <c r="Q102" s="755"/>
      <c r="R102" s="755"/>
    </row>
    <row r="103" spans="1:18" x14ac:dyDescent="0.2">
      <c r="A103" s="755"/>
      <c r="B103" s="755"/>
      <c r="C103" s="755"/>
      <c r="D103" s="755"/>
      <c r="E103" s="755"/>
      <c r="F103" s="755"/>
      <c r="G103" s="755"/>
      <c r="H103" s="810" t="s">
        <v>389</v>
      </c>
      <c r="I103" s="811"/>
      <c r="J103" s="755"/>
      <c r="K103" s="755"/>
      <c r="L103" s="755"/>
      <c r="M103" s="755"/>
      <c r="N103" s="755"/>
      <c r="O103" s="755"/>
      <c r="P103" s="760"/>
      <c r="Q103" s="755"/>
      <c r="R103" s="755"/>
    </row>
    <row r="104" spans="1:18" x14ac:dyDescent="0.2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55"/>
      <c r="R104" s="755"/>
    </row>
    <row r="105" spans="1:18" ht="13.5" thickBot="1" x14ac:dyDescent="0.25">
      <c r="A105" s="755"/>
      <c r="B105" s="755"/>
      <c r="C105" s="755"/>
      <c r="D105" s="755"/>
      <c r="E105" s="755"/>
      <c r="F105" s="755"/>
      <c r="G105" s="760"/>
      <c r="H105" s="809" t="str">
        <f>IFERROR(INDEX(B$1:B$100,MATCH(2,J$1:J$100,0)),"")</f>
        <v>Fredi Müür, Joana Taalberg, Kenneth Muusikus, Peep Peenema</v>
      </c>
      <c r="I105" s="938"/>
      <c r="J105" s="755"/>
      <c r="K105" s="755"/>
      <c r="L105" s="755"/>
      <c r="M105" s="755"/>
      <c r="N105" s="755"/>
      <c r="O105" s="755"/>
      <c r="P105" s="760"/>
      <c r="Q105" s="755"/>
      <c r="R105" s="755"/>
    </row>
    <row r="106" spans="1:18" x14ac:dyDescent="0.2">
      <c r="A106" s="755"/>
      <c r="B106" s="755"/>
      <c r="C106" s="755"/>
      <c r="D106" s="755"/>
      <c r="E106" s="755"/>
      <c r="F106" s="755"/>
      <c r="G106" s="760"/>
      <c r="H106" s="810" t="s">
        <v>390</v>
      </c>
      <c r="I106" s="807"/>
      <c r="J106" s="755"/>
      <c r="K106" s="755"/>
      <c r="L106" s="755"/>
      <c r="M106" s="755"/>
      <c r="N106" s="755"/>
      <c r="O106" s="755"/>
      <c r="P106" s="760"/>
      <c r="Q106" s="755"/>
      <c r="R106" s="755"/>
    </row>
    <row r="107" spans="1:18" x14ac:dyDescent="0.2">
      <c r="A107" s="755"/>
      <c r="B107" s="755"/>
      <c r="C107" s="755"/>
      <c r="D107" s="755"/>
      <c r="E107" s="755"/>
      <c r="F107" s="755"/>
      <c r="G107" s="760"/>
      <c r="H107" s="755"/>
      <c r="I107" s="755"/>
      <c r="J107" s="755"/>
      <c r="K107" s="755"/>
      <c r="L107" s="755"/>
      <c r="M107" s="755"/>
      <c r="N107" s="755"/>
      <c r="O107" s="755"/>
      <c r="P107" s="760"/>
      <c r="Q107" s="755"/>
      <c r="R107" s="755"/>
    </row>
    <row r="108" spans="1:18" ht="13.5" thickBot="1" x14ac:dyDescent="0.25">
      <c r="A108" s="755"/>
      <c r="B108" s="755"/>
      <c r="C108" s="755"/>
      <c r="D108" s="755"/>
      <c r="E108" s="755"/>
      <c r="F108" s="755"/>
      <c r="G108" s="760"/>
      <c r="H108" s="809" t="str">
        <f>IFERROR(INDEX(B$1:B$100,MATCH(3,J$1:J$100,0)),"")</f>
        <v>Aigi Orro, Elmo Lageda, Tõnu Piik</v>
      </c>
      <c r="I108" s="807"/>
      <c r="J108" s="755"/>
      <c r="K108" s="755"/>
      <c r="L108" s="755"/>
      <c r="M108" s="755"/>
      <c r="N108" s="755"/>
      <c r="O108" s="755"/>
      <c r="P108" s="760"/>
      <c r="Q108" s="755"/>
      <c r="R108" s="755"/>
    </row>
    <row r="109" spans="1:18" x14ac:dyDescent="0.2">
      <c r="A109" s="755"/>
      <c r="B109" s="755"/>
      <c r="C109" s="755"/>
      <c r="D109" s="755"/>
      <c r="E109" s="755"/>
      <c r="F109" s="755"/>
      <c r="G109" s="760"/>
      <c r="H109" s="810" t="s">
        <v>391</v>
      </c>
      <c r="I109" s="811"/>
      <c r="J109" s="755"/>
      <c r="K109" s="755"/>
      <c r="L109" s="755"/>
      <c r="M109" s="755"/>
      <c r="N109" s="755"/>
      <c r="O109" s="755"/>
      <c r="P109" s="760"/>
      <c r="Q109" s="755"/>
      <c r="R109" s="755"/>
    </row>
    <row r="110" spans="1:18" x14ac:dyDescent="0.2">
      <c r="A110" s="755"/>
      <c r="B110" s="755"/>
      <c r="C110" s="755"/>
      <c r="D110" s="755"/>
      <c r="E110" s="755"/>
      <c r="F110" s="755"/>
      <c r="G110" s="760"/>
      <c r="H110" s="807"/>
      <c r="I110" s="807"/>
      <c r="J110" s="755"/>
      <c r="K110" s="755"/>
      <c r="L110" s="755"/>
      <c r="M110" s="755"/>
      <c r="N110" s="755"/>
      <c r="O110" s="755"/>
      <c r="P110" s="760"/>
      <c r="Q110" s="755"/>
      <c r="R110" s="755"/>
    </row>
    <row r="111" spans="1:18" ht="13.5" thickBot="1" x14ac:dyDescent="0.25">
      <c r="A111" s="755"/>
      <c r="B111" s="755"/>
      <c r="C111" s="755"/>
      <c r="D111" s="755"/>
      <c r="E111" s="755"/>
      <c r="F111" s="755"/>
      <c r="G111" s="760"/>
      <c r="H111" s="939" t="str">
        <f>IFERROR(INDEX(B$1:B$100,MATCH(4,J$1:J$100,0)),"")</f>
        <v>Enn Tokman, Illar Tõnurist, Tarmo Bombe</v>
      </c>
      <c r="I111" s="938"/>
      <c r="J111" s="755"/>
      <c r="K111" s="755"/>
      <c r="L111" s="755"/>
      <c r="M111" s="755"/>
      <c r="N111" s="755"/>
      <c r="O111" s="755"/>
      <c r="P111" s="760"/>
      <c r="Q111" s="755"/>
      <c r="R111" s="755"/>
    </row>
    <row r="112" spans="1:18" x14ac:dyDescent="0.2">
      <c r="A112" s="755"/>
      <c r="B112" s="755"/>
      <c r="C112" s="755"/>
      <c r="D112" s="755"/>
      <c r="E112" s="755"/>
      <c r="F112" s="755"/>
      <c r="G112" s="760"/>
      <c r="H112" s="754" t="s">
        <v>392</v>
      </c>
      <c r="I112" s="755"/>
      <c r="J112" s="755"/>
      <c r="K112" s="755"/>
      <c r="L112" s="755"/>
      <c r="M112" s="755"/>
      <c r="N112" s="755"/>
      <c r="O112" s="755"/>
      <c r="P112" s="760"/>
      <c r="Q112" s="755"/>
      <c r="R112" s="755"/>
    </row>
    <row r="113" spans="1:18" x14ac:dyDescent="0.2">
      <c r="A113" s="755"/>
      <c r="B113" s="755"/>
      <c r="C113" s="755"/>
      <c r="D113" s="755"/>
      <c r="E113" s="755"/>
      <c r="F113" s="755"/>
      <c r="G113" s="760"/>
      <c r="H113" s="760"/>
      <c r="I113" s="760"/>
      <c r="J113" s="755"/>
      <c r="K113" s="755"/>
      <c r="L113" s="755"/>
      <c r="M113" s="755"/>
      <c r="N113" s="755"/>
      <c r="O113" s="755"/>
      <c r="P113" s="760"/>
      <c r="Q113" s="755"/>
      <c r="R113" s="755"/>
    </row>
    <row r="114" spans="1:18" ht="13.5" thickBot="1" x14ac:dyDescent="0.25">
      <c r="A114" s="755"/>
      <c r="B114" s="755"/>
      <c r="C114" s="755"/>
      <c r="D114" s="755"/>
      <c r="E114" s="755"/>
      <c r="F114" s="755"/>
      <c r="G114" s="760"/>
      <c r="H114" s="939" t="str">
        <f>IFERROR(INDEX(B$1:B$100,MATCH(5,J$1:J$100,0)),"")</f>
        <v>Andres Veski, Karla Purgats, Svetlana Veski</v>
      </c>
      <c r="I114" s="938"/>
      <c r="J114" s="755"/>
      <c r="K114" s="755"/>
      <c r="L114" s="755"/>
      <c r="M114" s="755"/>
      <c r="N114" s="755"/>
      <c r="O114" s="755"/>
      <c r="P114" s="760"/>
      <c r="Q114" s="755"/>
      <c r="R114" s="755"/>
    </row>
    <row r="115" spans="1:18" x14ac:dyDescent="0.2">
      <c r="A115" s="755"/>
      <c r="B115" s="755"/>
      <c r="C115" s="755"/>
      <c r="D115" s="755"/>
      <c r="E115" s="755"/>
      <c r="F115" s="755"/>
      <c r="G115" s="760"/>
      <c r="H115" s="754" t="s">
        <v>393</v>
      </c>
      <c r="I115" s="755"/>
      <c r="J115" s="755"/>
      <c r="K115" s="755"/>
      <c r="L115" s="755"/>
      <c r="M115" s="755"/>
      <c r="N115" s="755"/>
      <c r="O115" s="755"/>
      <c r="P115" s="760"/>
      <c r="Q115" s="755"/>
      <c r="R115" s="755"/>
    </row>
    <row r="116" spans="1:18" x14ac:dyDescent="0.2">
      <c r="A116" s="755"/>
      <c r="B116" s="755"/>
      <c r="C116" s="755"/>
      <c r="D116" s="755"/>
      <c r="E116" s="755"/>
      <c r="F116" s="755"/>
      <c r="G116" s="760"/>
      <c r="H116" s="770"/>
      <c r="I116" s="770"/>
      <c r="J116" s="755"/>
      <c r="K116" s="755"/>
      <c r="L116" s="755"/>
      <c r="M116" s="755"/>
      <c r="N116" s="755"/>
      <c r="O116" s="755"/>
      <c r="P116" s="760"/>
      <c r="Q116" s="755"/>
      <c r="R116" s="755"/>
    </row>
    <row r="117" spans="1:18" ht="13.5" thickBot="1" x14ac:dyDescent="0.25">
      <c r="A117" s="755"/>
      <c r="B117" s="755"/>
      <c r="C117" s="755"/>
      <c r="D117" s="755"/>
      <c r="E117" s="755"/>
      <c r="F117" s="755"/>
      <c r="G117" s="760"/>
      <c r="H117" s="939" t="str">
        <f>IFERROR(INDEX(B$1:B$100,MATCH(6,J$1:J$100,0)),"")</f>
        <v>Johannes Neiland, Kaspar Mänd, Reimo Lõhmus, Veroonika Mendes</v>
      </c>
      <c r="I117" s="938"/>
      <c r="J117" s="755"/>
      <c r="K117" s="755"/>
      <c r="L117" s="755"/>
      <c r="M117" s="755"/>
      <c r="N117" s="755"/>
      <c r="O117" s="755"/>
      <c r="P117" s="760"/>
      <c r="Q117" s="755"/>
      <c r="R117" s="755"/>
    </row>
    <row r="118" spans="1:18" x14ac:dyDescent="0.2">
      <c r="A118" s="755"/>
      <c r="B118" s="755"/>
      <c r="C118" s="755"/>
      <c r="D118" s="755"/>
      <c r="E118" s="755"/>
      <c r="F118" s="755"/>
      <c r="G118" s="760"/>
      <c r="H118" s="754" t="s">
        <v>394</v>
      </c>
      <c r="I118" s="755"/>
      <c r="J118" s="755"/>
      <c r="K118" s="755"/>
      <c r="L118" s="755"/>
      <c r="M118" s="755"/>
      <c r="N118" s="755"/>
      <c r="O118" s="755"/>
      <c r="P118" s="760"/>
      <c r="Q118" s="755"/>
      <c r="R118" s="755"/>
    </row>
    <row r="119" spans="1:18" hidden="1" x14ac:dyDescent="0.2">
      <c r="A119" s="755"/>
      <c r="B119" s="755"/>
      <c r="C119" s="755"/>
      <c r="D119" s="755"/>
      <c r="E119" s="755"/>
      <c r="F119" s="755"/>
      <c r="G119" s="760"/>
      <c r="H119" s="755"/>
      <c r="I119" s="755"/>
      <c r="J119" s="755"/>
      <c r="K119" s="755"/>
      <c r="L119" s="755"/>
      <c r="M119" s="755"/>
      <c r="N119" s="755"/>
      <c r="O119" s="755"/>
      <c r="P119" s="760"/>
      <c r="Q119" s="755"/>
      <c r="R119" s="755"/>
    </row>
    <row r="120" spans="1:18" hidden="1" x14ac:dyDescent="0.2">
      <c r="A120" s="755"/>
      <c r="B120" s="755"/>
      <c r="C120" s="755"/>
      <c r="D120" s="755"/>
      <c r="E120" s="755"/>
      <c r="F120" s="755"/>
      <c r="G120" s="760"/>
      <c r="H120" s="760"/>
      <c r="I120" s="760"/>
      <c r="J120" s="755"/>
      <c r="K120" s="755"/>
      <c r="L120" s="755"/>
      <c r="M120" s="755"/>
      <c r="N120" s="755"/>
      <c r="O120" s="755"/>
      <c r="P120" s="760"/>
      <c r="Q120" s="755"/>
      <c r="R120" s="755"/>
    </row>
    <row r="121" spans="1:18" hidden="1" x14ac:dyDescent="0.2">
      <c r="A121" s="755"/>
      <c r="B121" s="755"/>
      <c r="C121" s="755"/>
      <c r="D121" s="755"/>
      <c r="E121" s="755"/>
      <c r="F121" s="755"/>
      <c r="G121" s="760"/>
      <c r="H121" s="760"/>
      <c r="I121" s="760"/>
      <c r="J121" s="755"/>
      <c r="K121" s="755"/>
      <c r="L121" s="755"/>
      <c r="M121" s="755"/>
      <c r="N121" s="755"/>
      <c r="O121" s="755"/>
      <c r="P121" s="760"/>
      <c r="Q121" s="755"/>
      <c r="R121" s="755"/>
    </row>
    <row r="122" spans="1:18" hidden="1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55"/>
      <c r="K122" s="755"/>
      <c r="L122" s="755"/>
      <c r="M122" s="755"/>
      <c r="N122" s="755"/>
      <c r="O122" s="755"/>
      <c r="P122" s="760"/>
      <c r="Q122" s="755"/>
      <c r="R122" s="755"/>
    </row>
    <row r="123" spans="1:18" hidden="1" x14ac:dyDescent="0.2">
      <c r="A123" s="755"/>
      <c r="B123" s="755"/>
      <c r="C123" s="755"/>
      <c r="D123" s="755"/>
      <c r="E123" s="755"/>
      <c r="F123" s="755"/>
      <c r="G123" s="760"/>
      <c r="H123" s="755"/>
      <c r="I123" s="755"/>
      <c r="J123" s="755"/>
      <c r="K123" s="755"/>
      <c r="L123" s="755"/>
      <c r="M123" s="755"/>
      <c r="N123" s="755"/>
      <c r="O123" s="755"/>
      <c r="P123" s="760"/>
      <c r="Q123" s="755"/>
      <c r="R123" s="755"/>
    </row>
    <row r="124" spans="1:18" hidden="1" x14ac:dyDescent="0.2">
      <c r="A124" s="755"/>
      <c r="B124" s="755"/>
      <c r="C124" s="755"/>
      <c r="D124" s="755"/>
      <c r="E124" s="755"/>
      <c r="F124" s="755"/>
      <c r="G124" s="760"/>
      <c r="H124" s="755"/>
      <c r="I124" s="755"/>
      <c r="J124" s="755"/>
      <c r="K124" s="755"/>
      <c r="L124" s="755"/>
      <c r="M124" s="755"/>
      <c r="N124" s="755"/>
      <c r="O124" s="755"/>
      <c r="P124" s="760"/>
      <c r="Q124" s="755"/>
      <c r="R124" s="755"/>
    </row>
    <row r="125" spans="1:18" hidden="1" x14ac:dyDescent="0.2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60"/>
      <c r="Q125" s="755"/>
      <c r="R125" s="755"/>
    </row>
    <row r="126" spans="1:18" hidden="1" x14ac:dyDescent="0.2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60"/>
      <c r="Q126" s="755"/>
      <c r="R126" s="755"/>
    </row>
    <row r="127" spans="1:18" hidden="1" x14ac:dyDescent="0.2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60"/>
      <c r="Q127" s="755"/>
      <c r="R127" s="755"/>
    </row>
    <row r="128" spans="1:18" hidden="1" x14ac:dyDescent="0.2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60"/>
      <c r="Q128" s="755"/>
      <c r="R128" s="755"/>
    </row>
    <row r="129" spans="1:18" hidden="1" x14ac:dyDescent="0.2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60"/>
      <c r="Q129" s="755"/>
      <c r="R129" s="755"/>
    </row>
    <row r="130" spans="1:18" hidden="1" x14ac:dyDescent="0.2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60"/>
      <c r="Q130" s="755"/>
      <c r="R130" s="755"/>
    </row>
    <row r="131" spans="1:18" hidden="1" x14ac:dyDescent="0.2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60"/>
      <c r="L131" s="760"/>
      <c r="M131" s="760"/>
      <c r="N131" s="760"/>
      <c r="O131" s="760"/>
      <c r="P131" s="760"/>
      <c r="Q131" s="755"/>
      <c r="R131" s="755"/>
    </row>
    <row r="132" spans="1:18" hidden="1" x14ac:dyDescent="0.2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60"/>
      <c r="L132" s="760"/>
      <c r="M132" s="760"/>
      <c r="N132" s="760"/>
      <c r="O132" s="760"/>
      <c r="P132" s="760"/>
      <c r="Q132" s="755"/>
      <c r="R132" s="755"/>
    </row>
    <row r="133" spans="1:18" hidden="1" x14ac:dyDescent="0.2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60"/>
      <c r="L133" s="760"/>
      <c r="M133" s="760"/>
      <c r="N133" s="760"/>
      <c r="O133" s="760"/>
      <c r="P133" s="760"/>
      <c r="Q133" s="755"/>
      <c r="R133" s="755"/>
    </row>
    <row r="134" spans="1:18" hidden="1" x14ac:dyDescent="0.2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60"/>
      <c r="L134" s="760"/>
      <c r="M134" s="760"/>
      <c r="N134" s="760"/>
      <c r="O134" s="760"/>
      <c r="P134" s="760"/>
      <c r="Q134" s="755"/>
      <c r="R134" s="755"/>
    </row>
    <row r="135" spans="1:18" hidden="1" x14ac:dyDescent="0.2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60"/>
      <c r="L135" s="760"/>
      <c r="M135" s="760"/>
      <c r="N135" s="760"/>
      <c r="O135" s="760"/>
      <c r="P135" s="760"/>
      <c r="Q135" s="755"/>
      <c r="R135" s="755"/>
    </row>
    <row r="136" spans="1:18" hidden="1" x14ac:dyDescent="0.2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60"/>
      <c r="L136" s="760"/>
      <c r="M136" s="760"/>
      <c r="N136" s="760"/>
      <c r="O136" s="760"/>
      <c r="P136" s="760"/>
      <c r="Q136" s="755"/>
      <c r="R136" s="755"/>
    </row>
    <row r="137" spans="1:18" hidden="1" x14ac:dyDescent="0.2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60"/>
      <c r="L137" s="760"/>
      <c r="M137" s="760"/>
      <c r="N137" s="760"/>
      <c r="O137" s="760"/>
      <c r="P137" s="760"/>
      <c r="Q137" s="755"/>
      <c r="R137" s="755"/>
    </row>
    <row r="138" spans="1:18" hidden="1" x14ac:dyDescent="0.2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60"/>
      <c r="L138" s="760"/>
      <c r="M138" s="760"/>
      <c r="N138" s="760"/>
      <c r="O138" s="760"/>
      <c r="P138" s="760"/>
      <c r="Q138" s="755"/>
      <c r="R138" s="755"/>
    </row>
    <row r="139" spans="1:18" hidden="1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60"/>
      <c r="L139" s="760"/>
      <c r="M139" s="760"/>
      <c r="N139" s="760"/>
      <c r="O139" s="760"/>
      <c r="P139" s="760"/>
      <c r="Q139" s="755"/>
      <c r="R139" s="755"/>
    </row>
    <row r="140" spans="1:18" hidden="1" x14ac:dyDescent="0.2">
      <c r="A140" s="760"/>
      <c r="B140" s="760"/>
      <c r="C140" s="760"/>
      <c r="D140" s="760"/>
      <c r="E140" s="760"/>
      <c r="F140" s="760"/>
      <c r="G140" s="755"/>
      <c r="H140" s="755"/>
      <c r="I140" s="755"/>
      <c r="J140" s="755"/>
      <c r="K140" s="760"/>
      <c r="L140" s="760"/>
      <c r="M140" s="760"/>
      <c r="N140" s="760"/>
      <c r="O140" s="760"/>
      <c r="P140" s="760"/>
      <c r="Q140" s="755"/>
      <c r="R140" s="755"/>
    </row>
    <row r="141" spans="1:18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55"/>
      <c r="R141" s="755"/>
    </row>
    <row r="142" spans="1:18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55"/>
      <c r="R142" s="755"/>
    </row>
    <row r="143" spans="1:18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55"/>
      <c r="R143" s="755"/>
    </row>
    <row r="144" spans="1:18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55"/>
      <c r="R144" s="755"/>
    </row>
    <row r="145" spans="1:18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55"/>
      <c r="R145" s="755"/>
    </row>
    <row r="146" spans="1:18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55"/>
      <c r="R146" s="755"/>
    </row>
    <row r="147" spans="1:18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55"/>
      <c r="R147" s="755"/>
    </row>
    <row r="148" spans="1:18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55"/>
      <c r="R148" s="755"/>
    </row>
    <row r="149" spans="1:18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55"/>
      <c r="R149" s="755"/>
    </row>
    <row r="150" spans="1:18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55"/>
      <c r="R150" s="755"/>
    </row>
    <row r="151" spans="1:18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55"/>
      <c r="R151" s="755"/>
    </row>
    <row r="152" spans="1:18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55"/>
      <c r="R152" s="755"/>
    </row>
    <row r="153" spans="1:18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55"/>
      <c r="R153" s="755"/>
    </row>
    <row r="154" spans="1:18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55"/>
      <c r="R154" s="755"/>
    </row>
    <row r="155" spans="1:18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55"/>
      <c r="R155" s="755"/>
    </row>
    <row r="156" spans="1:18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55"/>
      <c r="R156" s="755"/>
    </row>
    <row r="157" spans="1:18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55"/>
      <c r="R157" s="755"/>
    </row>
    <row r="158" spans="1:18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55"/>
      <c r="R158" s="755"/>
    </row>
    <row r="159" spans="1:18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55"/>
      <c r="R159" s="755"/>
    </row>
    <row r="160" spans="1:18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55"/>
      <c r="R160" s="755"/>
    </row>
    <row r="161" spans="1:18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55"/>
      <c r="R161" s="755"/>
    </row>
    <row r="162" spans="1:18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55"/>
      <c r="R162" s="755"/>
    </row>
    <row r="163" spans="1:18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55"/>
      <c r="R163" s="755"/>
    </row>
    <row r="164" spans="1:18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55"/>
      <c r="R164" s="755"/>
    </row>
    <row r="165" spans="1:18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55"/>
      <c r="R165" s="755"/>
    </row>
    <row r="166" spans="1:18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55"/>
      <c r="R166" s="755"/>
    </row>
    <row r="167" spans="1:18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55"/>
      <c r="R167" s="755"/>
    </row>
    <row r="168" spans="1:18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55"/>
      <c r="R168" s="755"/>
    </row>
    <row r="169" spans="1:18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55"/>
      <c r="R169" s="755"/>
    </row>
    <row r="170" spans="1:18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55"/>
      <c r="R170" s="755"/>
    </row>
    <row r="171" spans="1:18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55"/>
      <c r="R171" s="755"/>
    </row>
    <row r="172" spans="1:18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55"/>
      <c r="R172" s="755"/>
    </row>
    <row r="173" spans="1:18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55"/>
      <c r="R173" s="755"/>
    </row>
    <row r="174" spans="1:18" hidden="1" x14ac:dyDescent="0.2">
      <c r="A174" s="213"/>
      <c r="B174" s="552"/>
      <c r="C174" s="755"/>
      <c r="D174" s="755"/>
      <c r="E174" s="807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55"/>
      <c r="R174" s="755"/>
    </row>
    <row r="175" spans="1:18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55"/>
      <c r="R175" s="755"/>
    </row>
    <row r="176" spans="1:18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55"/>
      <c r="R176" s="755"/>
    </row>
    <row r="177" spans="1:18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55"/>
      <c r="R177" s="755"/>
    </row>
    <row r="178" spans="1:18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55"/>
      <c r="R178" s="755"/>
    </row>
    <row r="179" spans="1:18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55"/>
      <c r="R179" s="755"/>
    </row>
    <row r="180" spans="1:18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55"/>
      <c r="R180" s="755"/>
    </row>
    <row r="181" spans="1:18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55"/>
      <c r="R181" s="755"/>
    </row>
    <row r="182" spans="1:18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55"/>
      <c r="R182" s="755"/>
    </row>
    <row r="183" spans="1:18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55"/>
      <c r="R183" s="755"/>
    </row>
    <row r="184" spans="1:18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55"/>
      <c r="R184" s="755"/>
    </row>
    <row r="185" spans="1:18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55"/>
      <c r="R185" s="755"/>
    </row>
    <row r="186" spans="1:18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55"/>
      <c r="R186" s="755"/>
    </row>
    <row r="187" spans="1:18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55"/>
      <c r="R187" s="755"/>
    </row>
    <row r="188" spans="1:18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55"/>
      <c r="R188" s="755"/>
    </row>
    <row r="189" spans="1:18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55"/>
      <c r="R189" s="755"/>
    </row>
    <row r="190" spans="1:18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55"/>
      <c r="R190" s="755"/>
    </row>
    <row r="191" spans="1:18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55"/>
      <c r="R191" s="755"/>
    </row>
    <row r="192" spans="1:18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55"/>
      <c r="R192" s="755"/>
    </row>
    <row r="193" spans="1:18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55"/>
      <c r="R193" s="755"/>
    </row>
    <row r="194" spans="1:18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55"/>
      <c r="R194" s="755"/>
    </row>
    <row r="195" spans="1:18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55"/>
      <c r="R195" s="755"/>
    </row>
    <row r="196" spans="1:18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55"/>
      <c r="R196" s="755"/>
    </row>
    <row r="197" spans="1:18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55"/>
      <c r="R197" s="755"/>
    </row>
    <row r="198" spans="1:18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55"/>
      <c r="R198" s="755"/>
    </row>
    <row r="199" spans="1:18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55"/>
      <c r="R199" s="755"/>
    </row>
    <row r="200" spans="1:18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55"/>
      <c r="R200" s="755"/>
    </row>
    <row r="201" spans="1:18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55"/>
      <c r="R201" s="755"/>
    </row>
    <row r="202" spans="1:18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55"/>
      <c r="R202" s="755"/>
    </row>
    <row r="203" spans="1:18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55"/>
      <c r="R203" s="755"/>
    </row>
    <row r="204" spans="1:18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55"/>
      <c r="R204" s="755"/>
    </row>
    <row r="205" spans="1:18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55"/>
      <c r="R205" s="755"/>
    </row>
    <row r="206" spans="1:18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55"/>
      <c r="R206" s="755"/>
    </row>
    <row r="207" spans="1:18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55"/>
      <c r="R207" s="755"/>
    </row>
    <row r="208" spans="1:18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55"/>
      <c r="R208" s="755"/>
    </row>
    <row r="209" spans="1:18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55"/>
      <c r="R209" s="755"/>
    </row>
    <row r="210" spans="1:18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55"/>
      <c r="R210" s="755"/>
    </row>
    <row r="211" spans="1:18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55"/>
      <c r="R211" s="755"/>
    </row>
    <row r="212" spans="1:18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55"/>
      <c r="R212" s="755"/>
    </row>
    <row r="213" spans="1:18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55"/>
      <c r="R213" s="755"/>
    </row>
    <row r="214" spans="1:18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55"/>
      <c r="R214" s="755"/>
    </row>
    <row r="215" spans="1:18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55"/>
      <c r="R215" s="755"/>
    </row>
    <row r="216" spans="1:18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55"/>
      <c r="R216" s="755"/>
    </row>
    <row r="217" spans="1:18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55"/>
      <c r="R217" s="755"/>
    </row>
    <row r="218" spans="1:18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55"/>
      <c r="R218" s="755"/>
    </row>
    <row r="219" spans="1:18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55"/>
      <c r="R219" s="755"/>
    </row>
    <row r="220" spans="1:18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55"/>
      <c r="R220" s="755"/>
    </row>
    <row r="221" spans="1:18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55"/>
      <c r="R221" s="755"/>
    </row>
    <row r="222" spans="1:18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55"/>
      <c r="R222" s="755"/>
    </row>
    <row r="223" spans="1:18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55"/>
      <c r="R223" s="755"/>
    </row>
    <row r="224" spans="1:18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55"/>
      <c r="R224" s="755"/>
    </row>
    <row r="225" spans="1:18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55"/>
      <c r="R225" s="755"/>
    </row>
    <row r="226" spans="1:18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55"/>
      <c r="R226" s="755"/>
    </row>
    <row r="227" spans="1:18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55"/>
      <c r="R227" s="755"/>
    </row>
    <row r="228" spans="1:18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55"/>
      <c r="R228" s="755"/>
    </row>
    <row r="229" spans="1:18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55"/>
      <c r="R229" s="755"/>
    </row>
    <row r="230" spans="1:18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55"/>
      <c r="R230" s="755"/>
    </row>
    <row r="231" spans="1:18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55"/>
      <c r="R231" s="755"/>
    </row>
    <row r="232" spans="1:18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55"/>
      <c r="R232" s="755"/>
    </row>
    <row r="233" spans="1:18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55"/>
      <c r="R233" s="755"/>
    </row>
    <row r="234" spans="1:18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55"/>
      <c r="R234" s="755"/>
    </row>
    <row r="235" spans="1:18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55"/>
      <c r="R235" s="755"/>
    </row>
    <row r="236" spans="1:18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55"/>
      <c r="R236" s="755"/>
    </row>
    <row r="237" spans="1:18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55"/>
      <c r="R237" s="755"/>
    </row>
    <row r="238" spans="1:18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55"/>
      <c r="R238" s="755"/>
    </row>
    <row r="239" spans="1:18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55"/>
      <c r="R239" s="755"/>
    </row>
    <row r="240" spans="1:18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55"/>
      <c r="R240" s="755"/>
    </row>
    <row r="241" spans="1:18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55"/>
      <c r="R241" s="755"/>
    </row>
    <row r="242" spans="1:18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55"/>
      <c r="R242" s="755"/>
    </row>
    <row r="243" spans="1:18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55"/>
      <c r="R243" s="755"/>
    </row>
    <row r="244" spans="1:18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55"/>
      <c r="R244" s="755"/>
    </row>
    <row r="245" spans="1:18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55"/>
      <c r="R245" s="755"/>
    </row>
    <row r="246" spans="1:18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55"/>
      <c r="R246" s="755"/>
    </row>
    <row r="247" spans="1:18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55"/>
      <c r="R247" s="755"/>
    </row>
    <row r="248" spans="1:18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55"/>
      <c r="R248" s="755"/>
    </row>
    <row r="249" spans="1:18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55"/>
      <c r="R249" s="755"/>
    </row>
    <row r="250" spans="1:18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55"/>
      <c r="R250" s="755"/>
    </row>
    <row r="251" spans="1:18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55"/>
      <c r="R251" s="755"/>
    </row>
    <row r="252" spans="1:18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55"/>
      <c r="R252" s="755"/>
    </row>
    <row r="253" spans="1:18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55"/>
      <c r="R253" s="755"/>
    </row>
    <row r="254" spans="1:18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55"/>
      <c r="R254" s="755"/>
    </row>
    <row r="255" spans="1:18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55"/>
      <c r="R255" s="755"/>
    </row>
    <row r="256" spans="1:18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55"/>
      <c r="R256" s="755"/>
    </row>
    <row r="257" spans="1:18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55"/>
      <c r="R257" s="755"/>
    </row>
    <row r="258" spans="1:18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55"/>
      <c r="R258" s="755"/>
    </row>
    <row r="259" spans="1:18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55"/>
      <c r="R259" s="755"/>
    </row>
    <row r="260" spans="1:18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55"/>
      <c r="R260" s="755"/>
    </row>
    <row r="261" spans="1:18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55"/>
      <c r="R261" s="755"/>
    </row>
    <row r="262" spans="1:18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55"/>
      <c r="R262" s="755"/>
    </row>
    <row r="263" spans="1:18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55"/>
      <c r="R263" s="755"/>
    </row>
    <row r="264" spans="1:18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55"/>
      <c r="R264" s="755"/>
    </row>
    <row r="265" spans="1:18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55"/>
      <c r="R265" s="755"/>
    </row>
    <row r="266" spans="1:18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55"/>
      <c r="R266" s="755"/>
    </row>
    <row r="267" spans="1:18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55"/>
      <c r="R267" s="755"/>
    </row>
    <row r="268" spans="1:18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55"/>
      <c r="R268" s="755"/>
    </row>
    <row r="269" spans="1:18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55"/>
      <c r="R269" s="755"/>
    </row>
    <row r="270" spans="1:18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55"/>
      <c r="R270" s="755"/>
    </row>
    <row r="271" spans="1:18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55"/>
      <c r="R271" s="755"/>
    </row>
    <row r="272" spans="1:18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55"/>
      <c r="R272" s="755"/>
    </row>
    <row r="273" spans="1:18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55"/>
      <c r="R273" s="755"/>
    </row>
    <row r="274" spans="1:18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55"/>
      <c r="R274" s="755"/>
    </row>
    <row r="275" spans="1:18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55"/>
      <c r="R275" s="755"/>
    </row>
    <row r="276" spans="1:18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55"/>
      <c r="R276" s="755"/>
    </row>
    <row r="277" spans="1:18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55"/>
      <c r="R277" s="755"/>
    </row>
    <row r="278" spans="1:18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55"/>
      <c r="R278" s="755"/>
    </row>
    <row r="279" spans="1:18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55"/>
      <c r="R279" s="755"/>
    </row>
    <row r="280" spans="1:18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55"/>
      <c r="R280" s="755"/>
    </row>
    <row r="281" spans="1:18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55"/>
      <c r="R281" s="755"/>
    </row>
    <row r="282" spans="1:18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55"/>
      <c r="R282" s="755"/>
    </row>
    <row r="283" spans="1:18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55"/>
      <c r="R283" s="755"/>
    </row>
    <row r="284" spans="1:18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55"/>
      <c r="R284" s="755"/>
    </row>
    <row r="285" spans="1:18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55"/>
      <c r="R285" s="755"/>
    </row>
    <row r="286" spans="1:18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55"/>
      <c r="R286" s="755"/>
    </row>
    <row r="287" spans="1:18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55"/>
      <c r="R287" s="755"/>
    </row>
    <row r="288" spans="1:18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55"/>
      <c r="R288" s="755"/>
    </row>
    <row r="289" spans="1:18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55"/>
      <c r="R289" s="755"/>
    </row>
    <row r="290" spans="1:18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55"/>
      <c r="R290" s="755"/>
    </row>
    <row r="291" spans="1:18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55"/>
      <c r="R291" s="755"/>
    </row>
    <row r="292" spans="1:18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55"/>
      <c r="R292" s="755"/>
    </row>
    <row r="293" spans="1:18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55"/>
      <c r="R293" s="755"/>
    </row>
    <row r="294" spans="1:18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55"/>
      <c r="R294" s="755"/>
    </row>
    <row r="295" spans="1:18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55"/>
      <c r="R295" s="755"/>
    </row>
    <row r="296" spans="1:18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55"/>
      <c r="R296" s="755"/>
    </row>
    <row r="297" spans="1:18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55"/>
      <c r="R297" s="755"/>
    </row>
    <row r="298" spans="1:18" hidden="1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55"/>
      <c r="R298" s="755"/>
    </row>
    <row r="299" spans="1:18" x14ac:dyDescent="0.2">
      <c r="A299" s="760"/>
      <c r="B299" s="760"/>
      <c r="C299" s="814"/>
      <c r="D299" s="919"/>
      <c r="E299" s="755"/>
      <c r="F299" s="760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55"/>
      <c r="R299" s="755"/>
    </row>
    <row r="300" spans="1:18" x14ac:dyDescent="0.2">
      <c r="A300" s="815">
        <v>1</v>
      </c>
      <c r="B300" s="816" t="str">
        <f t="shared" ref="B300:B305" si="0">IFERROR(INDEX(H$100:H$300,MATCH(A300&amp;". koht",H$101:H$301,0)),"")</f>
        <v>Oksana Rõndenkova, Oleg Rõndenkov, Ülo Piik</v>
      </c>
      <c r="C300" s="755"/>
      <c r="D300" s="832"/>
      <c r="E300" s="817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55"/>
      <c r="R300" s="755"/>
    </row>
    <row r="301" spans="1:18" ht="25.5" x14ac:dyDescent="0.2">
      <c r="A301" s="960">
        <v>2</v>
      </c>
      <c r="B301" s="1041" t="str">
        <f t="shared" si="0"/>
        <v>Fredi Müür, Joana Taalberg, Kenneth Muusikus, Peep Peenema</v>
      </c>
      <c r="C301" s="755"/>
      <c r="D301" s="832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55"/>
      <c r="R301" s="755"/>
    </row>
    <row r="302" spans="1:18" x14ac:dyDescent="0.2">
      <c r="A302" s="815">
        <v>3</v>
      </c>
      <c r="B302" s="816" t="str">
        <f t="shared" si="0"/>
        <v>Aigi Orro, Elmo Lageda, Tõnu Piik</v>
      </c>
      <c r="C302" s="755"/>
      <c r="D302" s="832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55"/>
      <c r="R302" s="755"/>
    </row>
    <row r="303" spans="1:18" x14ac:dyDescent="0.2">
      <c r="A303" s="815">
        <v>4</v>
      </c>
      <c r="B303" s="816" t="str">
        <f t="shared" si="0"/>
        <v>Enn Tokman, Illar Tõnurist, Tarmo Bombe</v>
      </c>
      <c r="C303" s="755"/>
      <c r="D303" s="832"/>
      <c r="E303" s="817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55"/>
      <c r="R303" s="755"/>
    </row>
    <row r="304" spans="1:18" x14ac:dyDescent="0.2">
      <c r="A304" s="815">
        <v>5</v>
      </c>
      <c r="B304" s="816" t="str">
        <f t="shared" si="0"/>
        <v>Andres Veski, Karla Purgats, Svetlana Veski</v>
      </c>
      <c r="C304" s="755"/>
      <c r="D304" s="832"/>
      <c r="E304" s="817"/>
      <c r="F304" s="760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55"/>
      <c r="R304" s="755"/>
    </row>
    <row r="305" spans="1:18" ht="25.5" x14ac:dyDescent="0.2">
      <c r="A305" s="960">
        <v>6</v>
      </c>
      <c r="B305" s="1041" t="str">
        <f t="shared" si="0"/>
        <v>Johannes Neiland, Kaspar Mänd, Reimo Lõhmus, Veroonika Mendes</v>
      </c>
      <c r="C305" s="755"/>
      <c r="D305" s="832"/>
      <c r="E305" s="817"/>
      <c r="F305" s="760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55"/>
      <c r="R305" s="755"/>
    </row>
    <row r="306" spans="1:18" x14ac:dyDescent="0.2">
      <c r="A306" s="755"/>
      <c r="B306" s="818"/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</row>
  </sheetData>
  <conditionalFormatting sqref="J10:J12">
    <cfRule type="expression" dxfId="2587" priority="44">
      <formula>FIND(2,J10,1)</formula>
    </cfRule>
    <cfRule type="expression" dxfId="2586" priority="45">
      <formula>FIND(1,J10,1)</formula>
    </cfRule>
  </conditionalFormatting>
  <conditionalFormatting sqref="D7 C8">
    <cfRule type="aboveAverage" dxfId="2585" priority="43"/>
  </conditionalFormatting>
  <conditionalFormatting sqref="E7 C9">
    <cfRule type="aboveAverage" dxfId="2584" priority="42"/>
  </conditionalFormatting>
  <conditionalFormatting sqref="F7 C10">
    <cfRule type="aboveAverage" dxfId="2583" priority="41"/>
  </conditionalFormatting>
  <conditionalFormatting sqref="E8 D9">
    <cfRule type="aboveAverage" dxfId="2582" priority="40"/>
  </conditionalFormatting>
  <conditionalFormatting sqref="G7 C11">
    <cfRule type="aboveAverage" dxfId="2581" priority="39"/>
  </conditionalFormatting>
  <conditionalFormatting sqref="F8 D10">
    <cfRule type="aboveAverage" dxfId="2580" priority="38"/>
  </conditionalFormatting>
  <conditionalFormatting sqref="G8 D11">
    <cfRule type="aboveAverage" dxfId="2579" priority="37"/>
  </conditionalFormatting>
  <conditionalFormatting sqref="F9 E10">
    <cfRule type="aboveAverage" dxfId="2578" priority="36"/>
  </conditionalFormatting>
  <conditionalFormatting sqref="G9 E11">
    <cfRule type="aboveAverage" dxfId="2577" priority="35"/>
  </conditionalFormatting>
  <conditionalFormatting sqref="F11 G10">
    <cfRule type="aboveAverage" dxfId="2576" priority="34"/>
  </conditionalFormatting>
  <conditionalFormatting sqref="I7:I12">
    <cfRule type="expression" dxfId="2575" priority="31">
      <formula>AND(#REF!=1,IF(COUNTIF(#REF!,"=1")&gt;=2,TRUE))</formula>
    </cfRule>
    <cfRule type="expression" dxfId="2574" priority="32">
      <formula>AND(#REF!=3,IF(COUNTIF(#REF!,"=3")&gt;=2,TRUE))</formula>
    </cfRule>
    <cfRule type="expression" dxfId="2573" priority="33">
      <formula>AND(#REF!=2,IF(COUNTIF(#REF!,"=2")&gt;=2,TRUE))</formula>
    </cfRule>
  </conditionalFormatting>
  <conditionalFormatting sqref="C17:C18 C69">
    <cfRule type="aboveAverage" dxfId="2572" priority="30"/>
  </conditionalFormatting>
  <conditionalFormatting sqref="D17:D18 D69">
    <cfRule type="aboveAverage" dxfId="2571" priority="29"/>
  </conditionalFormatting>
  <conditionalFormatting sqref="N21:N24">
    <cfRule type="duplicateValues" dxfId="2570" priority="28"/>
  </conditionalFormatting>
  <conditionalFormatting sqref="N26:N31">
    <cfRule type="duplicateValues" dxfId="2569" priority="27"/>
  </conditionalFormatting>
  <conditionalFormatting sqref="N19:N20">
    <cfRule type="duplicateValues" dxfId="2568" priority="46"/>
  </conditionalFormatting>
  <conditionalFormatting sqref="N5">
    <cfRule type="duplicateValues" dxfId="2567" priority="47"/>
  </conditionalFormatting>
  <conditionalFormatting sqref="N49:N52">
    <cfRule type="duplicateValues" dxfId="2566" priority="24"/>
  </conditionalFormatting>
  <conditionalFormatting sqref="N54:N59">
    <cfRule type="duplicateValues" dxfId="2565" priority="23"/>
  </conditionalFormatting>
  <conditionalFormatting sqref="N43:N45 N47:N48">
    <cfRule type="duplicateValues" dxfId="2564" priority="25"/>
  </conditionalFormatting>
  <conditionalFormatting sqref="N38 N40:N42">
    <cfRule type="duplicateValues" dxfId="2563" priority="26"/>
  </conditionalFormatting>
  <conditionalFormatting sqref="H7 C12">
    <cfRule type="aboveAverage" dxfId="2562" priority="22"/>
  </conditionalFormatting>
  <conditionalFormatting sqref="H8 D12">
    <cfRule type="aboveAverage" dxfId="2561" priority="21"/>
  </conditionalFormatting>
  <conditionalFormatting sqref="E12 H9">
    <cfRule type="aboveAverage" dxfId="2560" priority="20"/>
  </conditionalFormatting>
  <conditionalFormatting sqref="H10 F12">
    <cfRule type="aboveAverage" dxfId="2559" priority="19"/>
  </conditionalFormatting>
  <conditionalFormatting sqref="H11 G12">
    <cfRule type="aboveAverage" dxfId="2558" priority="18"/>
  </conditionalFormatting>
  <conditionalFormatting sqref="B301:B306">
    <cfRule type="expression" dxfId="2557" priority="15">
      <formula>A301=3</formula>
    </cfRule>
    <cfRule type="expression" dxfId="2556" priority="16">
      <formula>A301=2</formula>
    </cfRule>
    <cfRule type="expression" dxfId="2555" priority="17">
      <formula>A301=1</formula>
    </cfRule>
    <cfRule type="containsBlanks" dxfId="2554" priority="48">
      <formula>LEN(TRIM(B301))=0</formula>
    </cfRule>
    <cfRule type="duplicateValues" dxfId="2553" priority="49"/>
  </conditionalFormatting>
  <conditionalFormatting sqref="B300">
    <cfRule type="expression" dxfId="2552" priority="10">
      <formula>A300=3</formula>
    </cfRule>
    <cfRule type="expression" dxfId="2551" priority="11">
      <formula>A300=2</formula>
    </cfRule>
    <cfRule type="expression" dxfId="2550" priority="12">
      <formula>A300=1</formula>
    </cfRule>
    <cfRule type="containsBlanks" dxfId="2549" priority="13">
      <formula>LEN(TRIM(B300))=0</formula>
    </cfRule>
    <cfRule type="duplicateValues" dxfId="2548" priority="14"/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1" manualBreakCount="1">
    <brk id="298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15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3.2851562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7" width="9.140625" style="1"/>
    <col min="18" max="18" width="7.7109375" style="1" hidden="1" customWidth="1"/>
    <col min="19" max="19" width="6" style="1" hidden="1" customWidth="1"/>
    <col min="20" max="20" width="18.28515625" style="1" hidden="1" customWidth="1"/>
    <col min="21" max="21" width="6" style="1" hidden="1" customWidth="1"/>
    <col min="22" max="22" width="18.7109375" style="1" hidden="1" customWidth="1"/>
    <col min="23" max="23" width="9.140625" style="1" hidden="1" customWidth="1"/>
    <col min="24" max="24" width="17.28515625" style="1" hidden="1" customWidth="1"/>
    <col min="25" max="25" width="9.140625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UPPER((Kalend!E28)&amp;" - "&amp;(Kalend!C28)&amp;" - "&amp;(Kalend!D28))</f>
        <v>V10 - VOKA 2. SISE-KV 10.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R1" s="622" t="s">
        <v>233</v>
      </c>
      <c r="S1" s="881"/>
      <c r="T1" s="881"/>
      <c r="U1" s="881"/>
      <c r="V1" s="881"/>
      <c r="W1" s="881"/>
      <c r="X1" s="881"/>
      <c r="Y1" s="881"/>
      <c r="Z1" s="881"/>
      <c r="AA1" s="755"/>
    </row>
    <row r="2" spans="1:27" x14ac:dyDescent="0.2">
      <c r="A2" s="757" t="str">
        <f>"Toimumisaeg: "&amp;(Kalend!A28)&amp;" kell "&amp;(Kalend!B28)</f>
        <v>Toimumisaeg: L, 19.01.2019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R2" s="760"/>
      <c r="S2" s="760"/>
      <c r="T2" s="760"/>
      <c r="U2" s="760"/>
      <c r="V2" s="760"/>
      <c r="W2" s="760"/>
      <c r="X2" s="760"/>
      <c r="Y2" s="760"/>
      <c r="Z2" s="760"/>
      <c r="AA2" s="757"/>
    </row>
    <row r="3" spans="1:27" x14ac:dyDescent="0.2">
      <c r="A3" s="757" t="str">
        <f>"Toimumiskoht: "&amp;(Kalend!F28)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R3" s="760"/>
      <c r="S3" s="760"/>
      <c r="T3" s="760"/>
      <c r="U3" s="760"/>
      <c r="V3" s="760"/>
      <c r="W3" s="760"/>
      <c r="X3" s="760"/>
      <c r="Y3" s="760"/>
      <c r="Z3" s="760"/>
      <c r="AA3" s="757"/>
    </row>
    <row r="4" spans="1:27" x14ac:dyDescent="0.2">
      <c r="A4" s="757" t="str">
        <f>"Korraldaja: "&amp;(Kalend!G28)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889" t="s">
        <v>444</v>
      </c>
      <c r="S4" s="760"/>
      <c r="T4" s="760"/>
      <c r="U4" s="760"/>
      <c r="V4" s="760"/>
      <c r="W4" s="760"/>
      <c r="X4" s="760"/>
      <c r="Y4" s="760"/>
      <c r="Z4" s="760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49</v>
      </c>
      <c r="S5" s="773"/>
      <c r="T5" s="772"/>
      <c r="U5" s="773"/>
      <c r="V5" s="892"/>
      <c r="W5" s="773"/>
      <c r="X5" s="773"/>
      <c r="Y5" s="773"/>
      <c r="Z5" s="773"/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358</v>
      </c>
      <c r="S6" s="762"/>
      <c r="T6" s="762" t="s">
        <v>359</v>
      </c>
      <c r="U6" s="762"/>
      <c r="V6" s="763" t="s">
        <v>360</v>
      </c>
      <c r="W6" s="762"/>
      <c r="X6" s="762" t="s">
        <v>361</v>
      </c>
      <c r="Y6" s="764"/>
      <c r="Z6" s="762" t="s">
        <v>362</v>
      </c>
      <c r="AA6" s="212"/>
    </row>
    <row r="7" spans="1:27" x14ac:dyDescent="0.2">
      <c r="A7" s="765">
        <v>1</v>
      </c>
      <c r="B7" s="940" t="s">
        <v>368</v>
      </c>
      <c r="C7" s="776"/>
      <c r="D7" s="778">
        <v>13</v>
      </c>
      <c r="E7" s="778">
        <v>13</v>
      </c>
      <c r="F7" s="778"/>
      <c r="G7" s="778"/>
      <c r="H7" s="796" t="str">
        <f>(IF(D7-C8&gt;0,1)+IF(E7-C9&gt;0,1)+IF(F7-C10&gt;0,1)+IF(G7-C11&gt;0,1))&amp;"-"&amp;(IF(D7-C8&lt;0,1)+IF(E7-C9&lt;0,1)+IF(F7-C10&lt;0,1)+IF(G7-C11&lt;0,1))</f>
        <v>2-0</v>
      </c>
      <c r="I7" s="778" t="str">
        <f>IF(AND(B7&lt;&gt;"",M$6=TRUE),A$6&amp;RANK(M7,M$7:M$11,0),"")</f>
        <v>A1</v>
      </c>
      <c r="J7" s="821">
        <f>VALUE(LEFT(H7,1))</f>
        <v>2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20000</v>
      </c>
      <c r="N7" s="212"/>
      <c r="O7" s="212"/>
      <c r="P7" s="212"/>
      <c r="Q7" s="212"/>
      <c r="R7" s="761" t="s">
        <v>366</v>
      </c>
      <c r="S7" s="773"/>
      <c r="T7" s="772"/>
      <c r="U7" s="773"/>
      <c r="V7" s="772"/>
      <c r="W7" s="774"/>
      <c r="X7" s="774"/>
      <c r="Y7" s="774"/>
      <c r="Z7" s="774"/>
      <c r="AA7" s="212"/>
    </row>
    <row r="8" spans="1:27" x14ac:dyDescent="0.2">
      <c r="A8" s="765">
        <v>2</v>
      </c>
      <c r="B8" s="775" t="s">
        <v>407</v>
      </c>
      <c r="C8" s="778">
        <v>12</v>
      </c>
      <c r="D8" s="776"/>
      <c r="E8" s="778">
        <v>13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1-1</v>
      </c>
      <c r="I8" s="778" t="str">
        <f>IF(AND(B8&lt;&gt;"",M$6=TRUE),A$6&amp;RANK(M8,M$7:M$11,0),"")</f>
        <v>A2</v>
      </c>
      <c r="J8" s="821">
        <f t="shared" ref="J8:J11" si="0">VALUE(LEFT(H8,1))</f>
        <v>1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1">10000*J8+K8*100+L8</f>
        <v>10000</v>
      </c>
      <c r="N8" s="212"/>
      <c r="O8" s="212"/>
      <c r="P8" s="212"/>
      <c r="Q8" s="212"/>
      <c r="R8" s="764">
        <f t="shared" ref="R8:R39" si="2">SUM(S8:AB8)</f>
        <v>186</v>
      </c>
      <c r="S8" s="784">
        <f>IFERROR(INDEX(V!$R:$R,MATCH(T8,V!$L:$L,0)),"")</f>
        <v>120</v>
      </c>
      <c r="T8" s="783" t="str">
        <f t="shared" ref="T8:T60" si="3">IFERROR(LEFT($B8,(FIND(",",$B8,1)-1)),"")</f>
        <v>Ivar Viljaste</v>
      </c>
      <c r="U8" s="784">
        <f>IFERROR(INDEX(V!$R:$R,MATCH(V8,V!$L:$L,0)),"")</f>
        <v>66</v>
      </c>
      <c r="V8" s="783" t="str">
        <f t="shared" ref="V8:V60" si="4">IFERROR(MID($B8,FIND(", ",$B8)+2,256),"")</f>
        <v>Sirje Viljaste</v>
      </c>
      <c r="W8" s="784" t="str">
        <f>IFERROR(INDEX(V!$R:$R,MATCH(X8,V!$L:$L,0)),"")</f>
        <v/>
      </c>
      <c r="X8" s="785" t="str">
        <f t="shared" ref="X8:X60" si="5">IFERROR(MID($B8,FIND("^",SUBSTITUTE($B8,", ","^",1))+2,FIND("^",SUBSTITUTE($B8,", ","^",2))-FIND("^",SUBSTITUTE($B8,", ","^",1))-2),"")</f>
        <v/>
      </c>
      <c r="Y8" s="784" t="str">
        <f>IFERROR(INDEX(V!$R:$R,MATCH(Z8,V!$L:$L,0)),"")</f>
        <v/>
      </c>
      <c r="Z8" s="785" t="str">
        <f t="shared" ref="Z8:Z60" si="6">IFERROR(MID($B8,FIND(", ",$B8,FIND(", ",$B8,FIND(", ",$B8))+1)+2,30000),"")</f>
        <v/>
      </c>
      <c r="AA8" s="212"/>
    </row>
    <row r="9" spans="1:27" x14ac:dyDescent="0.2">
      <c r="A9" s="765">
        <v>3</v>
      </c>
      <c r="B9" s="775" t="s">
        <v>502</v>
      </c>
      <c r="C9" s="778">
        <v>4</v>
      </c>
      <c r="D9" s="787">
        <v>3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0-2</v>
      </c>
      <c r="I9" s="778" t="str">
        <f>IF(AND(B9&lt;&gt;"",M$6=TRUE),A$6&amp;RANK(M9,M$7:M$11,0),"")</f>
        <v>A3</v>
      </c>
      <c r="J9" s="821">
        <f t="shared" si="0"/>
        <v>0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1"/>
        <v>0</v>
      </c>
      <c r="N9" s="212"/>
      <c r="O9" s="212"/>
      <c r="P9" s="212"/>
      <c r="Q9" s="212"/>
      <c r="R9" s="764">
        <f t="shared" si="2"/>
        <v>147</v>
      </c>
      <c r="S9" s="784">
        <f>IFERROR(INDEX(V!$R:$R,MATCH(T9,V!$L:$L,0)),"")</f>
        <v>131</v>
      </c>
      <c r="T9" s="783" t="str">
        <f t="shared" si="3"/>
        <v>Kenneth Muusikus</v>
      </c>
      <c r="U9" s="784">
        <f>IFERROR(INDEX(V!$R:$R,MATCH(V9,V!$L:$L,0)),"")</f>
        <v>16</v>
      </c>
      <c r="V9" s="783" t="str">
        <f t="shared" si="4"/>
        <v>Ksenija Matšneva</v>
      </c>
      <c r="W9" s="784" t="str">
        <f>IFERROR(INDEX(V!$R:$R,MATCH(X9,V!$L:$L,0)),"")</f>
        <v/>
      </c>
      <c r="X9" s="785" t="str">
        <f t="shared" si="5"/>
        <v/>
      </c>
      <c r="Y9" s="784" t="str">
        <f>IFERROR(INDEX(V!$R:$R,MATCH(Z9,V!$L:$L,0)),"")</f>
        <v/>
      </c>
      <c r="Z9" s="785" t="str">
        <f t="shared" si="6"/>
        <v/>
      </c>
      <c r="AA9" s="212"/>
    </row>
    <row r="10" spans="1:27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0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1"/>
        <v>0</v>
      </c>
      <c r="N10" s="212"/>
      <c r="O10" s="212"/>
      <c r="P10" s="212"/>
      <c r="Q10" s="212"/>
      <c r="R10" s="764">
        <f t="shared" si="2"/>
        <v>0</v>
      </c>
      <c r="S10" s="784" t="str">
        <f>IFERROR(INDEX(V!$R:$R,MATCH(T10,V!$L:$L,0)),"")</f>
        <v/>
      </c>
      <c r="T10" s="783" t="str">
        <f t="shared" si="3"/>
        <v/>
      </c>
      <c r="U10" s="784" t="str">
        <f>IFERROR(INDEX(V!$R:$R,MATCH(V10,V!$L:$L,0)),"")</f>
        <v/>
      </c>
      <c r="V10" s="783" t="str">
        <f t="shared" si="4"/>
        <v/>
      </c>
      <c r="W10" s="784" t="str">
        <f>IFERROR(INDEX(V!$R:$R,MATCH(X10,V!$L:$L,0)),"")</f>
        <v/>
      </c>
      <c r="X10" s="785" t="str">
        <f t="shared" si="5"/>
        <v/>
      </c>
      <c r="Y10" s="784" t="str">
        <f>IFERROR(INDEX(V!$R:$R,MATCH(Z10,V!$L:$L,0)),"")</f>
        <v/>
      </c>
      <c r="Z10" s="785" t="str">
        <f t="shared" si="6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0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1"/>
        <v>0</v>
      </c>
      <c r="O11" s="212"/>
      <c r="P11" s="212"/>
      <c r="Q11" s="212"/>
      <c r="R11" s="764">
        <f t="shared" si="2"/>
        <v>0</v>
      </c>
      <c r="S11" s="784" t="str">
        <f>IFERROR(INDEX(V!$R:$R,MATCH(T11,V!$L:$L,0)),"")</f>
        <v/>
      </c>
      <c r="T11" s="783" t="str">
        <f t="shared" si="3"/>
        <v/>
      </c>
      <c r="U11" s="784" t="str">
        <f>IFERROR(INDEX(V!$R:$R,MATCH(V11,V!$L:$L,0)),"")</f>
        <v/>
      </c>
      <c r="V11" s="783" t="str">
        <f t="shared" si="4"/>
        <v/>
      </c>
      <c r="W11" s="784" t="str">
        <f>IFERROR(INDEX(V!$R:$R,MATCH(X11,V!$L:$L,0)),"")</f>
        <v/>
      </c>
      <c r="X11" s="785" t="str">
        <f t="shared" si="5"/>
        <v/>
      </c>
      <c r="Y11" s="784" t="str">
        <f>IFERROR(INDEX(V!$R:$R,MATCH(Z11,V!$L:$L,0)),"")</f>
        <v/>
      </c>
      <c r="Z11" s="785" t="str">
        <f t="shared" si="6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2"/>
        <v>0</v>
      </c>
      <c r="S12" s="784" t="str">
        <f>IFERROR(INDEX(V!$R:$R,MATCH(T12,V!$L:$L,0)),"")</f>
        <v/>
      </c>
      <c r="T12" s="783" t="str">
        <f t="shared" si="3"/>
        <v/>
      </c>
      <c r="U12" s="784" t="str">
        <f>IFERROR(INDEX(V!$R:$R,MATCH(V12,V!$L:$L,0)),"")</f>
        <v/>
      </c>
      <c r="V12" s="783" t="str">
        <f t="shared" si="4"/>
        <v/>
      </c>
      <c r="W12" s="784" t="str">
        <f>IFERROR(INDEX(V!$R:$R,MATCH(X12,V!$L:$L,0)),"")</f>
        <v/>
      </c>
      <c r="X12" s="785" t="str">
        <f t="shared" si="5"/>
        <v/>
      </c>
      <c r="Y12" s="784" t="str">
        <f>IFERROR(INDEX(V!$R:$R,MATCH(Z12,V!$L:$L,0)),"")</f>
        <v/>
      </c>
      <c r="Z12" s="785" t="str">
        <f t="shared" si="6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/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0</v>
      </c>
      <c r="O13" s="770"/>
      <c r="P13" s="770"/>
      <c r="Q13" s="770"/>
      <c r="R13" s="764">
        <f t="shared" si="2"/>
        <v>0</v>
      </c>
      <c r="S13" s="784" t="str">
        <f>IFERROR(INDEX(V!$R:$R,MATCH(T13,V!$L:$L,0)),"")</f>
        <v/>
      </c>
      <c r="T13" s="783" t="str">
        <f t="shared" si="3"/>
        <v/>
      </c>
      <c r="U13" s="784" t="str">
        <f>IFERROR(INDEX(V!$R:$R,MATCH(V13,V!$L:$L,0)),"")</f>
        <v/>
      </c>
      <c r="V13" s="783" t="str">
        <f t="shared" si="4"/>
        <v/>
      </c>
      <c r="W13" s="784" t="str">
        <f>IFERROR(INDEX(V!$R:$R,MATCH(X13,V!$L:$L,0)),"")</f>
        <v/>
      </c>
      <c r="X13" s="785" t="str">
        <f t="shared" si="5"/>
        <v/>
      </c>
      <c r="Y13" s="784" t="str">
        <f>IFERROR(INDEX(V!$R:$R,MATCH(Z13,V!$L:$L,0)),"")</f>
        <v/>
      </c>
      <c r="Z13" s="785" t="str">
        <f t="shared" si="6"/>
        <v/>
      </c>
      <c r="AA13" s="755"/>
    </row>
    <row r="14" spans="1:27" x14ac:dyDescent="0.2">
      <c r="A14" s="765">
        <v>1</v>
      </c>
      <c r="B14" s="948" t="s">
        <v>370</v>
      </c>
      <c r="C14" s="776"/>
      <c r="D14" s="788">
        <v>13</v>
      </c>
      <c r="E14" s="788">
        <v>8</v>
      </c>
      <c r="F14" s="778"/>
      <c r="G14" s="778"/>
      <c r="H14" s="949" t="s">
        <v>503</v>
      </c>
      <c r="I14" s="926" t="s">
        <v>412</v>
      </c>
      <c r="J14" s="821">
        <f>VALUE(LEFT(H14,1))</f>
        <v>1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1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7</v>
      </c>
      <c r="M14" s="824">
        <f>10000*J14+K14*100+L14</f>
        <v>10107</v>
      </c>
      <c r="N14" s="950"/>
      <c r="O14" s="770"/>
      <c r="P14" s="770"/>
      <c r="Q14" s="770"/>
      <c r="R14" s="764">
        <f t="shared" si="2"/>
        <v>240</v>
      </c>
      <c r="S14" s="784">
        <f>IFERROR(INDEX(V!$R:$R,MATCH(T14,V!$L:$L,0)),"")</f>
        <v>117</v>
      </c>
      <c r="T14" s="783" t="str">
        <f t="shared" si="3"/>
        <v>Elmo Lageda</v>
      </c>
      <c r="U14" s="784">
        <f>IFERROR(INDEX(V!$R:$R,MATCH(V14,V!$L:$L,0)),"")</f>
        <v>123</v>
      </c>
      <c r="V14" s="783" t="str">
        <f t="shared" si="4"/>
        <v>Tõnu Piik</v>
      </c>
      <c r="W14" s="784" t="str">
        <f>IFERROR(INDEX(V!$R:$R,MATCH(X14,V!$L:$L,0)),"")</f>
        <v/>
      </c>
      <c r="X14" s="785" t="str">
        <f t="shared" si="5"/>
        <v/>
      </c>
      <c r="Y14" s="784" t="str">
        <f>IFERROR(INDEX(V!$R:$R,MATCH(Z14,V!$L:$L,0)),"")</f>
        <v/>
      </c>
      <c r="Z14" s="785" t="str">
        <f t="shared" si="6"/>
        <v/>
      </c>
      <c r="AA14" s="757"/>
    </row>
    <row r="15" spans="1:27" x14ac:dyDescent="0.2">
      <c r="A15" s="765">
        <v>2</v>
      </c>
      <c r="B15" s="940" t="s">
        <v>369</v>
      </c>
      <c r="C15" s="788">
        <v>1</v>
      </c>
      <c r="D15" s="776"/>
      <c r="E15" s="788">
        <v>13</v>
      </c>
      <c r="F15" s="778"/>
      <c r="G15" s="778"/>
      <c r="H15" s="789" t="s">
        <v>503</v>
      </c>
      <c r="I15" s="926" t="s">
        <v>423</v>
      </c>
      <c r="J15" s="821">
        <f t="shared" ref="J15:J18" si="7">VALUE(LEFT(H15,1))</f>
        <v>1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1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-8</v>
      </c>
      <c r="M15" s="824">
        <f t="shared" ref="M15:M18" si="8">10000*J15+K15*100+L15</f>
        <v>10092</v>
      </c>
      <c r="O15" s="770"/>
      <c r="P15" s="770"/>
      <c r="Q15" s="770"/>
      <c r="R15" s="764">
        <f t="shared" si="2"/>
        <v>164</v>
      </c>
      <c r="S15" s="784">
        <f>IFERROR(INDEX(V!$R:$R,MATCH(T15,V!$L:$L,0)),"")</f>
        <v>88</v>
      </c>
      <c r="T15" s="783" t="str">
        <f t="shared" si="3"/>
        <v>Enn Tokman</v>
      </c>
      <c r="U15" s="784">
        <f>IFERROR(INDEX(V!$R:$R,MATCH(V15,V!$L:$L,0)),"")</f>
        <v>76</v>
      </c>
      <c r="V15" s="783" t="str">
        <f t="shared" si="4"/>
        <v>Tarmo Bombe</v>
      </c>
      <c r="W15" s="784" t="str">
        <f>IFERROR(INDEX(V!$R:$R,MATCH(X15,V!$L:$L,0)),"")</f>
        <v/>
      </c>
      <c r="X15" s="785" t="str">
        <f t="shared" si="5"/>
        <v/>
      </c>
      <c r="Y15" s="784" t="str">
        <f>IFERROR(INDEX(V!$R:$R,MATCH(Z15,V!$L:$L,0)),"")</f>
        <v/>
      </c>
      <c r="Z15" s="785" t="str">
        <f t="shared" si="6"/>
        <v/>
      </c>
      <c r="AA15" s="757"/>
    </row>
    <row r="16" spans="1:27" x14ac:dyDescent="0.2">
      <c r="A16" s="765">
        <v>3</v>
      </c>
      <c r="B16" s="775" t="s">
        <v>406</v>
      </c>
      <c r="C16" s="788">
        <v>13</v>
      </c>
      <c r="D16" s="826">
        <v>9</v>
      </c>
      <c r="E16" s="776"/>
      <c r="F16" s="778"/>
      <c r="G16" s="778"/>
      <c r="H16" s="789" t="s">
        <v>503</v>
      </c>
      <c r="I16" s="926" t="s">
        <v>415</v>
      </c>
      <c r="J16" s="821">
        <f t="shared" si="7"/>
        <v>1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1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1</v>
      </c>
      <c r="M16" s="824">
        <f t="shared" si="8"/>
        <v>10101</v>
      </c>
      <c r="O16" s="770"/>
      <c r="P16" s="770"/>
      <c r="Q16" s="770"/>
      <c r="R16" s="764">
        <f t="shared" si="2"/>
        <v>204</v>
      </c>
      <c r="S16" s="784">
        <f>IFERROR(INDEX(V!$R:$R,MATCH(T16,V!$L:$L,0)),"")</f>
        <v>97.5</v>
      </c>
      <c r="T16" s="783" t="str">
        <f t="shared" si="3"/>
        <v>Klavdia Piik</v>
      </c>
      <c r="U16" s="784">
        <f>IFERROR(INDEX(V!$R:$R,MATCH(V16,V!$L:$L,0)),"")</f>
        <v>106.5</v>
      </c>
      <c r="V16" s="783" t="str">
        <f t="shared" si="4"/>
        <v>Ülo Piik</v>
      </c>
      <c r="W16" s="784" t="str">
        <f>IFERROR(INDEX(V!$R:$R,MATCH(X16,V!$L:$L,0)),"")</f>
        <v/>
      </c>
      <c r="X16" s="785" t="str">
        <f t="shared" si="5"/>
        <v/>
      </c>
      <c r="Y16" s="784" t="str">
        <f>IFERROR(INDEX(V!$R:$R,MATCH(Z16,V!$L:$L,0)),"")</f>
        <v/>
      </c>
      <c r="Z16" s="785" t="str">
        <f t="shared" si="6"/>
        <v/>
      </c>
      <c r="AA16" s="757"/>
    </row>
    <row r="17" spans="1:27" x14ac:dyDescent="0.2">
      <c r="A17" s="765">
        <v>4</v>
      </c>
      <c r="B17" s="792" t="s">
        <v>401</v>
      </c>
      <c r="C17" s="778">
        <v>13</v>
      </c>
      <c r="D17" s="787">
        <v>13</v>
      </c>
      <c r="E17" s="778">
        <v>13</v>
      </c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3-0</v>
      </c>
      <c r="I17" s="778" t="str">
        <f>IF(AND(B17&lt;&gt;"",M$13=TRUE),A$13&amp;RANK(M17,M$14:M$18,0),"")</f>
        <v/>
      </c>
      <c r="J17" s="821">
        <f t="shared" si="7"/>
        <v>3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8"/>
        <v>30000</v>
      </c>
      <c r="O17" s="770"/>
      <c r="P17" s="770"/>
      <c r="Q17" s="770"/>
      <c r="R17" s="764">
        <f t="shared" si="2"/>
        <v>82</v>
      </c>
      <c r="S17" s="784">
        <f>IFERROR(INDEX(V!$R:$R,MATCH(T17,V!$L:$L,0)),"")</f>
        <v>15.5</v>
      </c>
      <c r="T17" s="783" t="str">
        <f t="shared" si="3"/>
        <v>Oksana Rõndenkova</v>
      </c>
      <c r="U17" s="784">
        <f>IFERROR(INDEX(V!$R:$R,MATCH(V17,V!$L:$L,0)),"")</f>
        <v>66.5</v>
      </c>
      <c r="V17" s="783" t="str">
        <f t="shared" si="4"/>
        <v>Oleg Rõndenkov</v>
      </c>
      <c r="W17" s="784" t="str">
        <f>IFERROR(INDEX(V!$R:$R,MATCH(X17,V!$L:$L,0)),"")</f>
        <v/>
      </c>
      <c r="X17" s="785" t="str">
        <f t="shared" si="5"/>
        <v/>
      </c>
      <c r="Y17" s="784" t="str">
        <f>IFERROR(INDEX(V!$R:$R,MATCH(Z17,V!$L:$L,0)),"")</f>
        <v/>
      </c>
      <c r="Z17" s="785" t="str">
        <f t="shared" si="6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IF(AND(B18&lt;&gt;"",M$13=TRUE),A$13&amp;RANK(M18,M$14:M$18,0),"")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2"/>
        <v>0</v>
      </c>
      <c r="S18" s="784" t="str">
        <f>IFERROR(INDEX(V!$R:$R,MATCH(T18,V!$L:$L,0)),"")</f>
        <v/>
      </c>
      <c r="T18" s="783" t="str">
        <f t="shared" si="3"/>
        <v/>
      </c>
      <c r="U18" s="784" t="str">
        <f>IFERROR(INDEX(V!$R:$R,MATCH(V18,V!$L:$L,0)),"")</f>
        <v/>
      </c>
      <c r="V18" s="783" t="str">
        <f t="shared" si="4"/>
        <v/>
      </c>
      <c r="W18" s="784" t="str">
        <f>IFERROR(INDEX(V!$R:$R,MATCH(X18,V!$L:$L,0)),"")</f>
        <v/>
      </c>
      <c r="X18" s="785" t="str">
        <f t="shared" si="5"/>
        <v/>
      </c>
      <c r="Y18" s="784" t="str">
        <f>IFERROR(INDEX(V!$R:$R,MATCH(Z18,V!$L:$L,0)),"")</f>
        <v/>
      </c>
      <c r="Z18" s="785" t="str">
        <f t="shared" si="6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2"/>
        <v>0</v>
      </c>
      <c r="S19" s="784" t="str">
        <f>IFERROR(INDEX(V!$R:$R,MATCH(T19,V!$L:$L,0)),"")</f>
        <v/>
      </c>
      <c r="T19" s="783" t="str">
        <f t="shared" si="3"/>
        <v/>
      </c>
      <c r="U19" s="784" t="str">
        <f>IFERROR(INDEX(V!$R:$R,MATCH(V19,V!$L:$L,0)),"")</f>
        <v/>
      </c>
      <c r="V19" s="783" t="str">
        <f t="shared" si="4"/>
        <v/>
      </c>
      <c r="W19" s="784" t="str">
        <f>IFERROR(INDEX(V!$R:$R,MATCH(X19,V!$L:$L,0)),"")</f>
        <v/>
      </c>
      <c r="X19" s="785" t="str">
        <f t="shared" si="5"/>
        <v/>
      </c>
      <c r="Y19" s="784" t="str">
        <f>IFERROR(INDEX(V!$R:$R,MATCH(Z19,V!$L:$L,0)),"")</f>
        <v/>
      </c>
      <c r="Z19" s="785" t="str">
        <f t="shared" si="6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2"/>
        <v>0</v>
      </c>
      <c r="S20" s="784" t="str">
        <f>IFERROR(INDEX(V!$R:$R,MATCH(T20,V!$L:$L,0)),"")</f>
        <v/>
      </c>
      <c r="T20" s="783" t="str">
        <f t="shared" si="3"/>
        <v/>
      </c>
      <c r="U20" s="784" t="str">
        <f>IFERROR(INDEX(V!$R:$R,MATCH(V20,V!$L:$L,0)),"")</f>
        <v/>
      </c>
      <c r="V20" s="783" t="str">
        <f t="shared" si="4"/>
        <v/>
      </c>
      <c r="W20" s="784" t="str">
        <f>IFERROR(INDEX(V!$R:$R,MATCH(X20,V!$L:$L,0)),"")</f>
        <v/>
      </c>
      <c r="X20" s="785" t="str">
        <f t="shared" si="5"/>
        <v/>
      </c>
      <c r="Y20" s="784" t="str">
        <f>IFERROR(INDEX(V!$R:$R,MATCH(Z20,V!$L:$L,0)),"")</f>
        <v/>
      </c>
      <c r="Z20" s="785" t="str">
        <f t="shared" si="6"/>
        <v/>
      </c>
      <c r="AA20" s="755"/>
    </row>
    <row r="21" spans="1:27" x14ac:dyDescent="0.2">
      <c r="A21" s="765">
        <v>1</v>
      </c>
      <c r="B21" s="940" t="s">
        <v>399</v>
      </c>
      <c r="C21" s="776"/>
      <c r="D21" s="778">
        <v>4</v>
      </c>
      <c r="E21" s="778">
        <v>13</v>
      </c>
      <c r="F21" s="778">
        <v>13</v>
      </c>
      <c r="G21" s="778"/>
      <c r="H21" s="796" t="str">
        <f>(IF(D21-C22&gt;0,1)+IF(E21-C23&gt;0,1)+IF(F21-C24&gt;0,1)+IF(G21-C25&gt;0,1))&amp;"-"&amp;(IF(D21-C22&lt;0,1)+IF(E21-C23&lt;0,1)+IF(F21-C24&lt;0,1)+IF(G21-C25&lt;0,1))</f>
        <v>2-1</v>
      </c>
      <c r="I21" s="778" t="str">
        <f>IF(AND(B21&lt;&gt;"",M$20=TRUE),A$20&amp;RANK(M21,M$21:M$25,0),"")</f>
        <v>C2</v>
      </c>
      <c r="J21" s="821">
        <f>VALUE(LEFT(H21,1))</f>
        <v>2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0</v>
      </c>
      <c r="M21" s="824">
        <f>10000*J21+K21*100+L21</f>
        <v>20000</v>
      </c>
      <c r="O21" s="770"/>
      <c r="P21" s="770"/>
      <c r="Q21" s="770"/>
      <c r="R21" s="764">
        <f t="shared" si="2"/>
        <v>200</v>
      </c>
      <c r="S21" s="784">
        <f>IFERROR(INDEX(V!$R:$R,MATCH(T21,V!$L:$L,0)),"")</f>
        <v>123.5</v>
      </c>
      <c r="T21" s="783" t="str">
        <f t="shared" si="3"/>
        <v>Karla Purgats</v>
      </c>
      <c r="U21" s="784">
        <f>IFERROR(INDEX(V!$R:$R,MATCH(V21,V!$L:$L,0)),"")</f>
        <v>76.5</v>
      </c>
      <c r="V21" s="783" t="str">
        <f t="shared" si="4"/>
        <v>Lemmit Toomra</v>
      </c>
      <c r="W21" s="784" t="str">
        <f>IFERROR(INDEX(V!$R:$R,MATCH(X21,V!$L:$L,0)),"")</f>
        <v/>
      </c>
      <c r="X21" s="785" t="str">
        <f t="shared" si="5"/>
        <v/>
      </c>
      <c r="Y21" s="784" t="str">
        <f>IFERROR(INDEX(V!$R:$R,MATCH(Z21,V!$L:$L,0)),"")</f>
        <v/>
      </c>
      <c r="Z21" s="785" t="str">
        <f t="shared" si="6"/>
        <v/>
      </c>
      <c r="AA21" s="757"/>
    </row>
    <row r="22" spans="1:27" x14ac:dyDescent="0.2">
      <c r="A22" s="765">
        <v>2</v>
      </c>
      <c r="B22" s="775" t="s">
        <v>459</v>
      </c>
      <c r="C22" s="778">
        <v>13</v>
      </c>
      <c r="D22" s="776"/>
      <c r="E22" s="778">
        <v>13</v>
      </c>
      <c r="F22" s="778">
        <v>13</v>
      </c>
      <c r="G22" s="778"/>
      <c r="H22" s="796" t="str">
        <f>(IF(C22-D21&gt;0,1)+IF(E22-D23&gt;0,1)+IF(F22-D24&gt;0,1)+IF(G22-D25&gt;0,1))&amp;"-"&amp;(IF(C22-D21&lt;0,1)+IF(E22-D23&lt;0,1)+IF(F22-D24&lt;0,1)+IF(G22-D25&lt;0,1))</f>
        <v>3-0</v>
      </c>
      <c r="I22" s="778" t="str">
        <f>IF(AND(B22&lt;&gt;"",M$20=TRUE),A$20&amp;RANK(M22,M$21:M$25,0),"")</f>
        <v>C1</v>
      </c>
      <c r="J22" s="821">
        <f t="shared" ref="J22:J25" si="9">VALUE(LEFT(H22,1))</f>
        <v>3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0</v>
      </c>
      <c r="M22" s="824">
        <f t="shared" ref="M22:M25" si="10">10000*J22+K22*100+L22</f>
        <v>30000</v>
      </c>
      <c r="O22" s="770"/>
      <c r="P22" s="770"/>
      <c r="Q22" s="770"/>
      <c r="R22" s="764">
        <f t="shared" si="2"/>
        <v>215.5</v>
      </c>
      <c r="S22" s="784">
        <f>IFERROR(INDEX(V!$R:$R,MATCH(T22,V!$L:$L,0)),"")</f>
        <v>105.5</v>
      </c>
      <c r="T22" s="783" t="str">
        <f t="shared" si="3"/>
        <v>Mait Metsla</v>
      </c>
      <c r="U22" s="784">
        <f>IFERROR(INDEX(V!$R:$R,MATCH(V22,V!$L:$L,0)),"")</f>
        <v>110</v>
      </c>
      <c r="V22" s="783" t="str">
        <f t="shared" si="4"/>
        <v>Matti Vinni</v>
      </c>
      <c r="W22" s="784" t="str">
        <f>IFERROR(INDEX(V!$R:$R,MATCH(X22,V!$L:$L,0)),"")</f>
        <v/>
      </c>
      <c r="X22" s="785" t="str">
        <f t="shared" si="5"/>
        <v/>
      </c>
      <c r="Y22" s="784" t="str">
        <f>IFERROR(INDEX(V!$R:$R,MATCH(Z22,V!$L:$L,0)),"")</f>
        <v/>
      </c>
      <c r="Z22" s="785" t="str">
        <f t="shared" si="6"/>
        <v/>
      </c>
      <c r="AA22" s="757"/>
    </row>
    <row r="23" spans="1:27" x14ac:dyDescent="0.2">
      <c r="A23" s="765">
        <v>3</v>
      </c>
      <c r="B23" s="775" t="s">
        <v>504</v>
      </c>
      <c r="C23" s="778">
        <v>9</v>
      </c>
      <c r="D23" s="787">
        <v>5</v>
      </c>
      <c r="E23" s="776"/>
      <c r="F23" s="778">
        <v>13</v>
      </c>
      <c r="G23" s="778"/>
      <c r="H23" s="796" t="str">
        <f>(IF(C23-E21&gt;0,1)+IF(D23-E22&gt;0,1)+IF(F23-E24&gt;0,1)+IF(G23-E25&gt;0,1))&amp;"-"&amp;(IF(C23-E21&lt;0,1)+IF(D23-E22&lt;0,1)+IF(F23-E24&lt;0,1)+IF(G23-E25&lt;0,1))</f>
        <v>1-2</v>
      </c>
      <c r="I23" s="778" t="str">
        <f>IF(AND(B23&lt;&gt;"",M$20=TRUE),A$20&amp;RANK(M23,M$21:M$25,0),"")</f>
        <v>C3</v>
      </c>
      <c r="J23" s="821">
        <f t="shared" si="9"/>
        <v>1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0</v>
      </c>
      <c r="M23" s="824">
        <f t="shared" si="10"/>
        <v>10000</v>
      </c>
      <c r="O23" s="770"/>
      <c r="P23" s="770"/>
      <c r="Q23" s="770"/>
      <c r="R23" s="764">
        <f t="shared" si="2"/>
        <v>111.5</v>
      </c>
      <c r="S23" s="784">
        <f>IFERROR(INDEX(V!$R:$R,MATCH(T23,V!$L:$L,0)),"")</f>
        <v>4</v>
      </c>
      <c r="T23" s="783" t="str">
        <f t="shared" si="3"/>
        <v>Airi Kruusma</v>
      </c>
      <c r="U23" s="784">
        <f>IFERROR(INDEX(V!$R:$R,MATCH(V23,V!$L:$L,0)),"")</f>
        <v>107.5</v>
      </c>
      <c r="V23" s="783" t="str">
        <f t="shared" si="4"/>
        <v>Vladimir Ogneštšikov</v>
      </c>
      <c r="W23" s="784" t="str">
        <f>IFERROR(INDEX(V!$R:$R,MATCH(X23,V!$L:$L,0)),"")</f>
        <v/>
      </c>
      <c r="X23" s="785" t="str">
        <f t="shared" si="5"/>
        <v/>
      </c>
      <c r="Y23" s="784" t="str">
        <f>IFERROR(INDEX(V!$R:$R,MATCH(Z23,V!$L:$L,0)),"")</f>
        <v/>
      </c>
      <c r="Z23" s="785" t="str">
        <f t="shared" si="6"/>
        <v/>
      </c>
      <c r="AA23" s="757"/>
    </row>
    <row r="24" spans="1:27" x14ac:dyDescent="0.2">
      <c r="A24" s="765">
        <v>4</v>
      </c>
      <c r="B24" s="775" t="s">
        <v>489</v>
      </c>
      <c r="C24" s="778">
        <v>11</v>
      </c>
      <c r="D24" s="787">
        <v>2</v>
      </c>
      <c r="E24" s="778">
        <v>12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0-3</v>
      </c>
      <c r="I24" s="778" t="str">
        <f>IF(AND(B24&lt;&gt;"",M$20=TRUE),A$20&amp;RANK(M24,M$21:M$25,0),"")</f>
        <v>C4</v>
      </c>
      <c r="J24" s="821">
        <f t="shared" si="9"/>
        <v>0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0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10"/>
        <v>0</v>
      </c>
      <c r="O24" s="770"/>
      <c r="P24" s="770"/>
      <c r="Q24" s="770"/>
      <c r="R24" s="764">
        <f t="shared" si="2"/>
        <v>42</v>
      </c>
      <c r="S24" s="784">
        <f>IFERROR(INDEX(V!$R:$R,MATCH(T24,V!$L:$L,0)),"")</f>
        <v>22</v>
      </c>
      <c r="T24" s="783" t="str">
        <f t="shared" si="3"/>
        <v>Kaspar Mänd</v>
      </c>
      <c r="U24" s="784">
        <f>IFERROR(INDEX(V!$R:$R,MATCH(V24,V!$L:$L,0)),"")</f>
        <v>20</v>
      </c>
      <c r="V24" s="783" t="str">
        <f t="shared" si="4"/>
        <v>Reimo Lõhmus</v>
      </c>
      <c r="W24" s="784" t="str">
        <f>IFERROR(INDEX(V!$R:$R,MATCH(X24,V!$L:$L,0)),"")</f>
        <v/>
      </c>
      <c r="X24" s="785" t="str">
        <f t="shared" si="5"/>
        <v/>
      </c>
      <c r="Y24" s="784" t="str">
        <f>IFERROR(INDEX(V!$R:$R,MATCH(Z24,V!$L:$L,0)),"")</f>
        <v/>
      </c>
      <c r="Z24" s="785" t="str">
        <f t="shared" si="6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2"/>
        <v>0</v>
      </c>
      <c r="S25" s="784" t="str">
        <f>IFERROR(INDEX(V!$R:$R,MATCH(T25,V!$L:$L,0)),"")</f>
        <v/>
      </c>
      <c r="T25" s="783" t="str">
        <f t="shared" si="3"/>
        <v/>
      </c>
      <c r="U25" s="784" t="str">
        <f>IFERROR(INDEX(V!$R:$R,MATCH(V25,V!$L:$L,0)),"")</f>
        <v/>
      </c>
      <c r="V25" s="783" t="str">
        <f t="shared" si="4"/>
        <v/>
      </c>
      <c r="W25" s="784" t="str">
        <f>IFERROR(INDEX(V!$R:$R,MATCH(X25,V!$L:$L,0)),"")</f>
        <v/>
      </c>
      <c r="X25" s="785" t="str">
        <f t="shared" si="5"/>
        <v/>
      </c>
      <c r="Y25" s="784" t="str">
        <f>IFERROR(INDEX(V!$R:$R,MATCH(Z25,V!$L:$L,0)),"")</f>
        <v/>
      </c>
      <c r="Z25" s="785" t="str">
        <f t="shared" si="6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2"/>
        <v>0</v>
      </c>
      <c r="S26" s="784" t="str">
        <f>IFERROR(INDEX(V!$R:$R,MATCH(T26,V!$L:$L,0)),"")</f>
        <v/>
      </c>
      <c r="T26" s="783" t="str">
        <f t="shared" si="3"/>
        <v/>
      </c>
      <c r="U26" s="784" t="str">
        <f>IFERROR(INDEX(V!$R:$R,MATCH(V26,V!$L:$L,0)),"")</f>
        <v/>
      </c>
      <c r="V26" s="783" t="str">
        <f t="shared" si="4"/>
        <v/>
      </c>
      <c r="W26" s="784" t="str">
        <f>IFERROR(INDEX(V!$R:$R,MATCH(X26,V!$L:$L,0)),"")</f>
        <v/>
      </c>
      <c r="X26" s="785" t="str">
        <f t="shared" si="5"/>
        <v/>
      </c>
      <c r="Y26" s="784" t="str">
        <f>IFERROR(INDEX(V!$R:$R,MATCH(Z26,V!$L:$L,0)),"")</f>
        <v/>
      </c>
      <c r="Z26" s="785" t="str">
        <f t="shared" si="6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2"/>
        <v>0</v>
      </c>
      <c r="S27" s="784" t="str">
        <f>IFERROR(INDEX(V!$R:$R,MATCH(T27,V!$L:$L,0)),"")</f>
        <v/>
      </c>
      <c r="T27" s="783" t="str">
        <f t="shared" si="3"/>
        <v/>
      </c>
      <c r="U27" s="784" t="str">
        <f>IFERROR(INDEX(V!$R:$R,MATCH(V27,V!$L:$L,0)),"")</f>
        <v/>
      </c>
      <c r="V27" s="783" t="str">
        <f t="shared" si="4"/>
        <v/>
      </c>
      <c r="W27" s="784" t="str">
        <f>IFERROR(INDEX(V!$R:$R,MATCH(X27,V!$L:$L,0)),"")</f>
        <v/>
      </c>
      <c r="X27" s="785" t="str">
        <f t="shared" si="5"/>
        <v/>
      </c>
      <c r="Y27" s="784" t="str">
        <f>IFERROR(INDEX(V!$R:$R,MATCH(Z27,V!$L:$L,0)),"")</f>
        <v/>
      </c>
      <c r="Z27" s="785" t="str">
        <f t="shared" si="6"/>
        <v/>
      </c>
      <c r="AA27" s="760"/>
    </row>
    <row r="28" spans="1:27" x14ac:dyDescent="0.2">
      <c r="A28" s="765">
        <v>1</v>
      </c>
      <c r="B28" s="820" t="s">
        <v>505</v>
      </c>
      <c r="C28" s="776"/>
      <c r="D28" s="778">
        <v>10</v>
      </c>
      <c r="E28" s="778">
        <v>12</v>
      </c>
      <c r="F28" s="778">
        <v>13</v>
      </c>
      <c r="G28" s="778"/>
      <c r="H28" s="796" t="str">
        <f>(IF(D28-C29&gt;0,1)+IF(E28-C30&gt;0,1)+IF(F28-C31&gt;0,1)+IF(G28-C32&gt;0,1))&amp;"-"&amp;(IF(D28-C29&lt;0,1)+IF(E28-C30&lt;0,1)+IF(F28-C31&lt;0,1)+IF(G28-C32&lt;0,1))</f>
        <v>1-2</v>
      </c>
      <c r="I28" s="778" t="str">
        <f>IF(AND(B28&lt;&gt;"",M$27=TRUE),A$27&amp;RANK(M28,M$28:M$32,0),"")</f>
        <v>D3</v>
      </c>
      <c r="J28" s="821">
        <f>VALUE(LEFT(H28,1))</f>
        <v>1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10000</v>
      </c>
      <c r="O28" s="212"/>
      <c r="P28" s="212"/>
      <c r="Q28" s="212"/>
      <c r="R28" s="764">
        <f t="shared" si="2"/>
        <v>186</v>
      </c>
      <c r="S28" s="784">
        <f>IFERROR(INDEX(V!$R:$R,MATCH(T28,V!$L:$L,0)),"")</f>
        <v>61</v>
      </c>
      <c r="T28" s="783" t="str">
        <f t="shared" si="3"/>
        <v>Henri Mitt</v>
      </c>
      <c r="U28" s="784">
        <f>IFERROR(INDEX(V!$R:$R,MATCH(V28,V!$L:$L,0)),"")</f>
        <v>125</v>
      </c>
      <c r="V28" s="783" t="str">
        <f t="shared" si="4"/>
        <v>Meelis Luud</v>
      </c>
      <c r="W28" s="784" t="str">
        <f>IFERROR(INDEX(V!$R:$R,MATCH(X28,V!$L:$L,0)),"")</f>
        <v/>
      </c>
      <c r="X28" s="785" t="str">
        <f t="shared" si="5"/>
        <v/>
      </c>
      <c r="Y28" s="784" t="str">
        <f>IFERROR(INDEX(V!$R:$R,MATCH(Z28,V!$L:$L,0)),"")</f>
        <v/>
      </c>
      <c r="Z28" s="785" t="str">
        <f t="shared" si="6"/>
        <v/>
      </c>
      <c r="AA28" s="760"/>
    </row>
    <row r="29" spans="1:27" x14ac:dyDescent="0.2">
      <c r="A29" s="765">
        <v>2</v>
      </c>
      <c r="B29" s="775" t="s">
        <v>404</v>
      </c>
      <c r="C29" s="778">
        <v>13</v>
      </c>
      <c r="D29" s="776"/>
      <c r="E29" s="778">
        <v>10</v>
      </c>
      <c r="F29" s="778">
        <v>13</v>
      </c>
      <c r="G29" s="778"/>
      <c r="H29" s="796" t="str">
        <f>(IF(C29-D28&gt;0,1)+IF(E29-D30&gt;0,1)+IF(F29-D31&gt;0,1)+IF(G29-D32&gt;0,1))&amp;"-"&amp;(IF(C29-D28&lt;0,1)+IF(E29-D30&lt;0,1)+IF(F29-D31&lt;0,1)+IF(G29-D32&lt;0,1))</f>
        <v>2-1</v>
      </c>
      <c r="I29" s="778" t="str">
        <f>IF(AND(B29&lt;&gt;"",M$27=TRUE),A$27&amp;RANK(M29,M$28:M$32,0),"")</f>
        <v>D2</v>
      </c>
      <c r="J29" s="821">
        <f t="shared" ref="J29:J32" si="11">VALUE(LEFT(H29,1))</f>
        <v>2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20000</v>
      </c>
      <c r="O29" s="212"/>
      <c r="P29" s="212"/>
      <c r="Q29" s="212"/>
      <c r="R29" s="764">
        <f t="shared" si="2"/>
        <v>190.5</v>
      </c>
      <c r="S29" s="784">
        <f>IFERROR(INDEX(V!$R:$R,MATCH(T29,V!$L:$L,0)),"")</f>
        <v>98.5</v>
      </c>
      <c r="T29" s="783" t="str">
        <f t="shared" si="3"/>
        <v>Illar Tõnurist</v>
      </c>
      <c r="U29" s="784">
        <f>IFERROR(INDEX(V!$R:$R,MATCH(V29,V!$L:$L,0)),"")</f>
        <v>92</v>
      </c>
      <c r="V29" s="783" t="str">
        <f t="shared" si="4"/>
        <v>Jaan Saar</v>
      </c>
      <c r="W29" s="784" t="str">
        <f>IFERROR(INDEX(V!$R:$R,MATCH(X29,V!$L:$L,0)),"")</f>
        <v/>
      </c>
      <c r="X29" s="785" t="str">
        <f t="shared" si="5"/>
        <v/>
      </c>
      <c r="Y29" s="784" t="str">
        <f>IFERROR(INDEX(V!$R:$R,MATCH(Z29,V!$L:$L,0)),"")</f>
        <v/>
      </c>
      <c r="Z29" s="785" t="str">
        <f t="shared" si="6"/>
        <v/>
      </c>
      <c r="AA29" s="760"/>
    </row>
    <row r="30" spans="1:27" x14ac:dyDescent="0.2">
      <c r="A30" s="765">
        <v>3</v>
      </c>
      <c r="B30" s="775" t="s">
        <v>506</v>
      </c>
      <c r="C30" s="778">
        <v>13</v>
      </c>
      <c r="D30" s="787">
        <v>13</v>
      </c>
      <c r="E30" s="776"/>
      <c r="F30" s="778">
        <v>13</v>
      </c>
      <c r="G30" s="778"/>
      <c r="H30" s="796" t="str">
        <f>(IF(C30-E28&gt;0,1)+IF(D30-E29&gt;0,1)+IF(F30-E31&gt;0,1)+IF(G30-E32&gt;0,1))&amp;"-"&amp;(IF(C30-E28&lt;0,1)+IF(D30-E29&lt;0,1)+IF(F30-E31&lt;0,1)+IF(G30-E32&lt;0,1))</f>
        <v>3-0</v>
      </c>
      <c r="I30" s="778" t="str">
        <f>IF(AND(B30&lt;&gt;"",M$27=TRUE),A$27&amp;RANK(M30,M$28:M$32,0),"")</f>
        <v>D1</v>
      </c>
      <c r="J30" s="821">
        <f t="shared" si="11"/>
        <v>3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30000</v>
      </c>
      <c r="O30" s="212"/>
      <c r="P30" s="212"/>
      <c r="Q30" s="212"/>
      <c r="R30" s="764">
        <f t="shared" si="2"/>
        <v>124</v>
      </c>
      <c r="S30" s="784">
        <f>IFERROR(INDEX(V!$R:$R,MATCH(T30,V!$L:$L,0)),"")</f>
        <v>30</v>
      </c>
      <c r="T30" s="783" t="str">
        <f t="shared" si="3"/>
        <v>Einar Juhkam</v>
      </c>
      <c r="U30" s="784">
        <f>IFERROR(INDEX(V!$R:$R,MATCH(V30,V!$L:$L,0)),"")</f>
        <v>94</v>
      </c>
      <c r="V30" s="783" t="str">
        <f t="shared" si="4"/>
        <v>Johannes Neiland</v>
      </c>
      <c r="W30" s="784" t="str">
        <f>IFERROR(INDEX(V!$R:$R,MATCH(X30,V!$L:$L,0)),"")</f>
        <v/>
      </c>
      <c r="X30" s="785" t="str">
        <f t="shared" si="5"/>
        <v/>
      </c>
      <c r="Y30" s="784" t="str">
        <f>IFERROR(INDEX(V!$R:$R,MATCH(Z30,V!$L:$L,0)),"")</f>
        <v/>
      </c>
      <c r="Z30" s="785" t="str">
        <f t="shared" si="6"/>
        <v/>
      </c>
      <c r="AA30" s="760"/>
    </row>
    <row r="31" spans="1:27" x14ac:dyDescent="0.2">
      <c r="A31" s="765">
        <v>4</v>
      </c>
      <c r="B31" s="792" t="s">
        <v>436</v>
      </c>
      <c r="C31" s="778">
        <v>7</v>
      </c>
      <c r="D31" s="787">
        <v>7</v>
      </c>
      <c r="E31" s="778">
        <v>6</v>
      </c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0-3</v>
      </c>
      <c r="I31" s="778" t="str">
        <f>IF(AND(B31&lt;&gt;"",M$27=TRUE),A$27&amp;RANK(M31,M$28:M$32,0),"")</f>
        <v>D4</v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212"/>
      <c r="P31" s="212"/>
      <c r="Q31" s="212"/>
      <c r="R31" s="764">
        <f t="shared" si="2"/>
        <v>86.5</v>
      </c>
      <c r="S31" s="784">
        <f>IFERROR(INDEX(V!$R:$R,MATCH(T31,V!$L:$L,0)),"")</f>
        <v>66.5</v>
      </c>
      <c r="T31" s="783" t="str">
        <f t="shared" si="3"/>
        <v>Oleg Rõndenkov</v>
      </c>
      <c r="U31" s="784">
        <f>IFERROR(INDEX(V!$R:$R,MATCH(V31,V!$L:$L,0)),"")</f>
        <v>20</v>
      </c>
      <c r="V31" s="783" t="str">
        <f t="shared" si="4"/>
        <v>Toomas Tedrekull</v>
      </c>
      <c r="W31" s="784" t="str">
        <f>IFERROR(INDEX(V!$R:$R,MATCH(X31,V!$L:$L,0)),"")</f>
        <v/>
      </c>
      <c r="X31" s="785" t="str">
        <f t="shared" si="5"/>
        <v/>
      </c>
      <c r="Y31" s="784" t="str">
        <f>IFERROR(INDEX(V!$R:$R,MATCH(Z31,V!$L:$L,0)),"")</f>
        <v/>
      </c>
      <c r="Z31" s="785" t="str">
        <f t="shared" si="6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2"/>
        <v>0</v>
      </c>
      <c r="S32" s="784" t="str">
        <f>IFERROR(INDEX(V!$R:$R,MATCH(T32,V!$L:$L,0)),"")</f>
        <v/>
      </c>
      <c r="T32" s="783" t="str">
        <f t="shared" si="3"/>
        <v/>
      </c>
      <c r="U32" s="784" t="str">
        <f>IFERROR(INDEX(V!$R:$R,MATCH(V32,V!$L:$L,0)),"")</f>
        <v/>
      </c>
      <c r="V32" s="783" t="str">
        <f t="shared" si="4"/>
        <v/>
      </c>
      <c r="W32" s="784" t="str">
        <f>IFERROR(INDEX(V!$R:$R,MATCH(X32,V!$L:$L,0)),"")</f>
        <v/>
      </c>
      <c r="X32" s="785" t="str">
        <f t="shared" si="5"/>
        <v/>
      </c>
      <c r="Y32" s="784" t="str">
        <f>IFERROR(INDEX(V!$R:$R,MATCH(Z32,V!$L:$L,0)),"")</f>
        <v/>
      </c>
      <c r="Z32" s="785" t="str">
        <f t="shared" si="6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2"/>
        <v>0</v>
      </c>
      <c r="S33" s="784" t="str">
        <f>IFERROR(INDEX(V!$R:$R,MATCH(T33,V!$L:$L,0)),"")</f>
        <v/>
      </c>
      <c r="T33" s="783" t="str">
        <f t="shared" si="3"/>
        <v/>
      </c>
      <c r="U33" s="784" t="str">
        <f>IFERROR(INDEX(V!$R:$R,MATCH(V33,V!$L:$L,0)),"")</f>
        <v/>
      </c>
      <c r="V33" s="783" t="str">
        <f t="shared" si="4"/>
        <v/>
      </c>
      <c r="W33" s="784" t="str">
        <f>IFERROR(INDEX(V!$R:$R,MATCH(X33,V!$L:$L,0)),"")</f>
        <v/>
      </c>
      <c r="X33" s="785" t="str">
        <f t="shared" si="5"/>
        <v/>
      </c>
      <c r="Y33" s="784" t="str">
        <f>IFERROR(INDEX(V!$R:$R,MATCH(Z33,V!$L:$L,0)),"")</f>
        <v/>
      </c>
      <c r="Z33" s="785" t="str">
        <f t="shared" si="6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2"/>
        <v>0</v>
      </c>
      <c r="S34" s="784" t="str">
        <f>IFERROR(INDEX(V!$R:$R,MATCH(T34,V!$L:$L,0)),"")</f>
        <v/>
      </c>
      <c r="T34" s="783" t="str">
        <f t="shared" si="3"/>
        <v/>
      </c>
      <c r="U34" s="784" t="str">
        <f>IFERROR(INDEX(V!$R:$R,MATCH(V34,V!$L:$L,0)),"")</f>
        <v/>
      </c>
      <c r="V34" s="783" t="str">
        <f t="shared" si="4"/>
        <v/>
      </c>
      <c r="W34" s="784" t="str">
        <f>IFERROR(INDEX(V!$R:$R,MATCH(X34,V!$L:$L,0)),"")</f>
        <v/>
      </c>
      <c r="X34" s="785" t="str">
        <f t="shared" si="5"/>
        <v/>
      </c>
      <c r="Y34" s="784" t="str">
        <f>IFERROR(INDEX(V!$R:$R,MATCH(Z34,V!$L:$L,0)),"")</f>
        <v/>
      </c>
      <c r="Z34" s="785" t="str">
        <f t="shared" si="6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2"/>
        <v>0</v>
      </c>
      <c r="S35" s="784" t="str">
        <f>IFERROR(INDEX(V!$R:$R,MATCH(T35,V!$L:$L,0)),"")</f>
        <v/>
      </c>
      <c r="T35" s="783" t="str">
        <f t="shared" si="3"/>
        <v/>
      </c>
      <c r="U35" s="784" t="str">
        <f>IFERROR(INDEX(V!$R:$R,MATCH(V35,V!$L:$L,0)),"")</f>
        <v/>
      </c>
      <c r="V35" s="783" t="str">
        <f t="shared" si="4"/>
        <v/>
      </c>
      <c r="W35" s="784" t="str">
        <f>IFERROR(INDEX(V!$R:$R,MATCH(X35,V!$L:$L,0)),"")</f>
        <v/>
      </c>
      <c r="X35" s="785" t="str">
        <f t="shared" si="5"/>
        <v/>
      </c>
      <c r="Y35" s="784" t="str">
        <f>IFERROR(INDEX(V!$R:$R,MATCH(Z35,V!$L:$L,0)),"")</f>
        <v/>
      </c>
      <c r="Z35" s="785" t="str">
        <f t="shared" si="6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2"/>
        <v>0</v>
      </c>
      <c r="S36" s="784" t="str">
        <f>IFERROR(INDEX(V!$R:$R,MATCH(T36,V!$L:$L,0)),"")</f>
        <v/>
      </c>
      <c r="T36" s="783" t="str">
        <f t="shared" si="3"/>
        <v/>
      </c>
      <c r="U36" s="784" t="str">
        <f>IFERROR(INDEX(V!$R:$R,MATCH(V36,V!$L:$L,0)),"")</f>
        <v/>
      </c>
      <c r="V36" s="783" t="str">
        <f t="shared" si="4"/>
        <v/>
      </c>
      <c r="W36" s="784" t="str">
        <f>IFERROR(INDEX(V!$R:$R,MATCH(X36,V!$L:$L,0)),"")</f>
        <v/>
      </c>
      <c r="X36" s="785" t="str">
        <f t="shared" si="5"/>
        <v/>
      </c>
      <c r="Y36" s="784" t="str">
        <f>IFERROR(INDEX(V!$R:$R,MATCH(Z36,V!$L:$L,0)),"")</f>
        <v/>
      </c>
      <c r="Z36" s="785" t="str">
        <f t="shared" si="6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2"/>
        <v>0</v>
      </c>
      <c r="S37" s="784" t="str">
        <f>IFERROR(INDEX(V!$R:$R,MATCH(T37,V!$L:$L,0)),"")</f>
        <v/>
      </c>
      <c r="T37" s="783" t="str">
        <f t="shared" si="3"/>
        <v/>
      </c>
      <c r="U37" s="784" t="str">
        <f>IFERROR(INDEX(V!$R:$R,MATCH(V37,V!$L:$L,0)),"")</f>
        <v/>
      </c>
      <c r="V37" s="783" t="str">
        <f t="shared" si="4"/>
        <v/>
      </c>
      <c r="W37" s="784" t="str">
        <f>IFERROR(INDEX(V!$R:$R,MATCH(X37,V!$L:$L,0)),"")</f>
        <v/>
      </c>
      <c r="X37" s="785" t="str">
        <f t="shared" si="5"/>
        <v/>
      </c>
      <c r="Y37" s="784" t="str">
        <f>IFERROR(INDEX(V!$R:$R,MATCH(Z37,V!$L:$L,0)),"")</f>
        <v/>
      </c>
      <c r="Z37" s="785" t="str">
        <f t="shared" si="6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2"/>
        <v>0</v>
      </c>
      <c r="S38" s="784" t="str">
        <f>IFERROR(INDEX(V!$R:$R,MATCH(T38,V!$L:$L,0)),"")</f>
        <v/>
      </c>
      <c r="T38" s="783" t="str">
        <f t="shared" si="3"/>
        <v/>
      </c>
      <c r="U38" s="784" t="str">
        <f>IFERROR(INDEX(V!$R:$R,MATCH(V38,V!$L:$L,0)),"")</f>
        <v/>
      </c>
      <c r="V38" s="783" t="str">
        <f t="shared" si="4"/>
        <v/>
      </c>
      <c r="W38" s="784" t="str">
        <f>IFERROR(INDEX(V!$R:$R,MATCH(X38,V!$L:$L,0)),"")</f>
        <v/>
      </c>
      <c r="X38" s="785" t="str">
        <f t="shared" si="5"/>
        <v/>
      </c>
      <c r="Y38" s="784" t="str">
        <f>IFERROR(INDEX(V!$R:$R,MATCH(Z38,V!$L:$L,0)),"")</f>
        <v/>
      </c>
      <c r="Z38" s="785" t="str">
        <f t="shared" si="6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si="2"/>
        <v>0</v>
      </c>
      <c r="S39" s="784" t="str">
        <f>IFERROR(INDEX(V!$R:$R,MATCH(T39,V!$L:$L,0)),"")</f>
        <v/>
      </c>
      <c r="T39" s="783" t="str">
        <f t="shared" si="3"/>
        <v/>
      </c>
      <c r="U39" s="784" t="str">
        <f>IFERROR(INDEX(V!$R:$R,MATCH(V39,V!$L:$L,0)),"")</f>
        <v/>
      </c>
      <c r="V39" s="783" t="str">
        <f t="shared" si="4"/>
        <v/>
      </c>
      <c r="W39" s="784" t="str">
        <f>IFERROR(INDEX(V!$R:$R,MATCH(X39,V!$L:$L,0)),"")</f>
        <v/>
      </c>
      <c r="X39" s="785" t="str">
        <f t="shared" si="5"/>
        <v/>
      </c>
      <c r="Y39" s="784" t="str">
        <f>IFERROR(INDEX(V!$R:$R,MATCH(Z39,V!$L:$L,0)),"")</f>
        <v/>
      </c>
      <c r="Z39" s="785" t="str">
        <f t="shared" si="6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ref="R40:R60" si="15">SUM(S40:AB40)</f>
        <v>0</v>
      </c>
      <c r="S40" s="784" t="str">
        <f>IFERROR(INDEX(V!$R:$R,MATCH(T40,V!$L:$L,0)),"")</f>
        <v/>
      </c>
      <c r="T40" s="783" t="str">
        <f t="shared" si="3"/>
        <v/>
      </c>
      <c r="U40" s="784" t="str">
        <f>IFERROR(INDEX(V!$R:$R,MATCH(V40,V!$L:$L,0)),"")</f>
        <v/>
      </c>
      <c r="V40" s="783" t="str">
        <f t="shared" si="4"/>
        <v/>
      </c>
      <c r="W40" s="784" t="str">
        <f>IFERROR(INDEX(V!$R:$R,MATCH(X40,V!$L:$L,0)),"")</f>
        <v/>
      </c>
      <c r="X40" s="785" t="str">
        <f t="shared" si="5"/>
        <v/>
      </c>
      <c r="Y40" s="784" t="str">
        <f>IFERROR(INDEX(V!$R:$R,MATCH(Z40,V!$L:$L,0)),"")</f>
        <v/>
      </c>
      <c r="Z40" s="785" t="str">
        <f t="shared" si="6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3"/>
        <v/>
      </c>
      <c r="U41" s="784" t="str">
        <f>IFERROR(INDEX(V!$R:$R,MATCH(V41,V!$L:$L,0)),"")</f>
        <v/>
      </c>
      <c r="V41" s="783" t="str">
        <f t="shared" si="4"/>
        <v/>
      </c>
      <c r="W41" s="784" t="str">
        <f>IFERROR(INDEX(V!$R:$R,MATCH(X41,V!$L:$L,0)),"")</f>
        <v/>
      </c>
      <c r="X41" s="785" t="str">
        <f t="shared" si="5"/>
        <v/>
      </c>
      <c r="Y41" s="784" t="str">
        <f>IFERROR(INDEX(V!$R:$R,MATCH(Z41,V!$L:$L,0)),"")</f>
        <v/>
      </c>
      <c r="Z41" s="785" t="str">
        <f t="shared" si="6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3"/>
        <v/>
      </c>
      <c r="U42" s="784" t="str">
        <f>IFERROR(INDEX(V!$R:$R,MATCH(V42,V!$L:$L,0)),"")</f>
        <v/>
      </c>
      <c r="V42" s="783" t="str">
        <f t="shared" si="4"/>
        <v/>
      </c>
      <c r="W42" s="784" t="str">
        <f>IFERROR(INDEX(V!$R:$R,MATCH(X42,V!$L:$L,0)),"")</f>
        <v/>
      </c>
      <c r="X42" s="785" t="str">
        <f t="shared" si="5"/>
        <v/>
      </c>
      <c r="Y42" s="784" t="str">
        <f>IFERROR(INDEX(V!$R:$R,MATCH(Z42,V!$L:$L,0)),"")</f>
        <v/>
      </c>
      <c r="Z42" s="785" t="str">
        <f t="shared" si="6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3"/>
        <v/>
      </c>
      <c r="U43" s="784" t="str">
        <f>IFERROR(INDEX(V!$R:$R,MATCH(V43,V!$L:$L,0)),"")</f>
        <v/>
      </c>
      <c r="V43" s="783" t="str">
        <f t="shared" si="4"/>
        <v/>
      </c>
      <c r="W43" s="784" t="str">
        <f>IFERROR(INDEX(V!$R:$R,MATCH(X43,V!$L:$L,0)),"")</f>
        <v/>
      </c>
      <c r="X43" s="785" t="str">
        <f t="shared" si="5"/>
        <v/>
      </c>
      <c r="Y43" s="784" t="str">
        <f>IFERROR(INDEX(V!$R:$R,MATCH(Z43,V!$L:$L,0)),"")</f>
        <v/>
      </c>
      <c r="Z43" s="785" t="str">
        <f t="shared" si="6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3"/>
        <v/>
      </c>
      <c r="U44" s="784" t="str">
        <f>IFERROR(INDEX(V!$R:$R,MATCH(V44,V!$L:$L,0)),"")</f>
        <v/>
      </c>
      <c r="V44" s="783" t="str">
        <f t="shared" si="4"/>
        <v/>
      </c>
      <c r="W44" s="784" t="str">
        <f>IFERROR(INDEX(V!$R:$R,MATCH(X44,V!$L:$L,0)),"")</f>
        <v/>
      </c>
      <c r="X44" s="785" t="str">
        <f t="shared" si="5"/>
        <v/>
      </c>
      <c r="Y44" s="784" t="str">
        <f>IFERROR(INDEX(V!$R:$R,MATCH(Z44,V!$L:$L,0)),"")</f>
        <v/>
      </c>
      <c r="Z44" s="785" t="str">
        <f t="shared" si="6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3"/>
        <v/>
      </c>
      <c r="U45" s="784" t="str">
        <f>IFERROR(INDEX(V!$R:$R,MATCH(V45,V!$L:$L,0)),"")</f>
        <v/>
      </c>
      <c r="V45" s="783" t="str">
        <f t="shared" si="4"/>
        <v/>
      </c>
      <c r="W45" s="784" t="str">
        <f>IFERROR(INDEX(V!$R:$R,MATCH(X45,V!$L:$L,0)),"")</f>
        <v/>
      </c>
      <c r="X45" s="785" t="str">
        <f t="shared" si="5"/>
        <v/>
      </c>
      <c r="Y45" s="784" t="str">
        <f>IFERROR(INDEX(V!$R:$R,MATCH(Z45,V!$L:$L,0)),"")</f>
        <v/>
      </c>
      <c r="Z45" s="785" t="str">
        <f t="shared" si="6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3"/>
        <v/>
      </c>
      <c r="U46" s="784" t="str">
        <f>IFERROR(INDEX(V!$R:$R,MATCH(V46,V!$L:$L,0)),"")</f>
        <v/>
      </c>
      <c r="V46" s="783" t="str">
        <f t="shared" si="4"/>
        <v/>
      </c>
      <c r="W46" s="784" t="str">
        <f>IFERROR(INDEX(V!$R:$R,MATCH(X46,V!$L:$L,0)),"")</f>
        <v/>
      </c>
      <c r="X46" s="785" t="str">
        <f t="shared" si="5"/>
        <v/>
      </c>
      <c r="Y46" s="784" t="str">
        <f>IFERROR(INDEX(V!$R:$R,MATCH(Z46,V!$L:$L,0)),"")</f>
        <v/>
      </c>
      <c r="Z46" s="785" t="str">
        <f t="shared" si="6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3"/>
        <v/>
      </c>
      <c r="U47" s="784" t="str">
        <f>IFERROR(INDEX(V!$R:$R,MATCH(V47,V!$L:$L,0)),"")</f>
        <v/>
      </c>
      <c r="V47" s="783" t="str">
        <f t="shared" si="4"/>
        <v/>
      </c>
      <c r="W47" s="784" t="str">
        <f>IFERROR(INDEX(V!$R:$R,MATCH(X47,V!$L:$L,0)),"")</f>
        <v/>
      </c>
      <c r="X47" s="785" t="str">
        <f t="shared" si="5"/>
        <v/>
      </c>
      <c r="Y47" s="784" t="str">
        <f>IFERROR(INDEX(V!$R:$R,MATCH(Z47,V!$L:$L,0)),"")</f>
        <v/>
      </c>
      <c r="Z47" s="785" t="str">
        <f t="shared" si="6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3"/>
        <v/>
      </c>
      <c r="U48" s="784" t="str">
        <f>IFERROR(INDEX(V!$R:$R,MATCH(V48,V!$L:$L,0)),"")</f>
        <v/>
      </c>
      <c r="V48" s="783" t="str">
        <f t="shared" si="4"/>
        <v/>
      </c>
      <c r="W48" s="784" t="str">
        <f>IFERROR(INDEX(V!$R:$R,MATCH(X48,V!$L:$L,0)),"")</f>
        <v/>
      </c>
      <c r="X48" s="785" t="str">
        <f t="shared" si="5"/>
        <v/>
      </c>
      <c r="Y48" s="784" t="str">
        <f>IFERROR(INDEX(V!$R:$R,MATCH(Z48,V!$L:$L,0)),"")</f>
        <v/>
      </c>
      <c r="Z48" s="785" t="str">
        <f t="shared" si="6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3"/>
        <v/>
      </c>
      <c r="U49" s="784" t="str">
        <f>IFERROR(INDEX(V!$R:$R,MATCH(V49,V!$L:$L,0)),"")</f>
        <v/>
      </c>
      <c r="V49" s="783" t="str">
        <f t="shared" si="4"/>
        <v/>
      </c>
      <c r="W49" s="784" t="str">
        <f>IFERROR(INDEX(V!$R:$R,MATCH(X49,V!$L:$L,0)),"")</f>
        <v/>
      </c>
      <c r="X49" s="785" t="str">
        <f t="shared" si="5"/>
        <v/>
      </c>
      <c r="Y49" s="784" t="str">
        <f>IFERROR(INDEX(V!$R:$R,MATCH(Z49,V!$L:$L,0)),"")</f>
        <v/>
      </c>
      <c r="Z49" s="785" t="str">
        <f t="shared" si="6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3"/>
        <v/>
      </c>
      <c r="U50" s="784" t="str">
        <f>IFERROR(INDEX(V!$R:$R,MATCH(V50,V!$L:$L,0)),"")</f>
        <v/>
      </c>
      <c r="V50" s="783" t="str">
        <f t="shared" si="4"/>
        <v/>
      </c>
      <c r="W50" s="784" t="str">
        <f>IFERROR(INDEX(V!$R:$R,MATCH(X50,V!$L:$L,0)),"")</f>
        <v/>
      </c>
      <c r="X50" s="785" t="str">
        <f t="shared" si="5"/>
        <v/>
      </c>
      <c r="Y50" s="784" t="str">
        <f>IFERROR(INDEX(V!$R:$R,MATCH(Z50,V!$L:$L,0)),"")</f>
        <v/>
      </c>
      <c r="Z50" s="785" t="str">
        <f t="shared" si="6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3"/>
        <v/>
      </c>
      <c r="U51" s="784" t="str">
        <f>IFERROR(INDEX(V!$R:$R,MATCH(V51,V!$L:$L,0)),"")</f>
        <v/>
      </c>
      <c r="V51" s="783" t="str">
        <f t="shared" si="4"/>
        <v/>
      </c>
      <c r="W51" s="784" t="str">
        <f>IFERROR(INDEX(V!$R:$R,MATCH(X51,V!$L:$L,0)),"")</f>
        <v/>
      </c>
      <c r="X51" s="785" t="str">
        <f t="shared" si="5"/>
        <v/>
      </c>
      <c r="Y51" s="784" t="str">
        <f>IFERROR(INDEX(V!$R:$R,MATCH(Z51,V!$L:$L,0)),"")</f>
        <v/>
      </c>
      <c r="Z51" s="785" t="str">
        <f t="shared" si="6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3"/>
        <v/>
      </c>
      <c r="U52" s="784" t="str">
        <f>IFERROR(INDEX(V!$R:$R,MATCH(V52,V!$L:$L,0)),"")</f>
        <v/>
      </c>
      <c r="V52" s="783" t="str">
        <f t="shared" si="4"/>
        <v/>
      </c>
      <c r="W52" s="784" t="str">
        <f>IFERROR(INDEX(V!$R:$R,MATCH(X52,V!$L:$L,0)),"")</f>
        <v/>
      </c>
      <c r="X52" s="785" t="str">
        <f t="shared" si="5"/>
        <v/>
      </c>
      <c r="Y52" s="784" t="str">
        <f>IFERROR(INDEX(V!$R:$R,MATCH(Z52,V!$L:$L,0)),"")</f>
        <v/>
      </c>
      <c r="Z52" s="785" t="str">
        <f t="shared" si="6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3"/>
        <v/>
      </c>
      <c r="U53" s="784" t="str">
        <f>IFERROR(INDEX(V!$R:$R,MATCH(V53,V!$L:$L,0)),"")</f>
        <v/>
      </c>
      <c r="V53" s="783" t="str">
        <f t="shared" si="4"/>
        <v/>
      </c>
      <c r="W53" s="784" t="str">
        <f>IFERROR(INDEX(V!$R:$R,MATCH(X53,V!$L:$L,0)),"")</f>
        <v/>
      </c>
      <c r="X53" s="785" t="str">
        <f t="shared" si="5"/>
        <v/>
      </c>
      <c r="Y53" s="784" t="str">
        <f>IFERROR(INDEX(V!$R:$R,MATCH(Z53,V!$L:$L,0)),"")</f>
        <v/>
      </c>
      <c r="Z53" s="785" t="str">
        <f t="shared" si="6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3"/>
        <v/>
      </c>
      <c r="U54" s="784" t="str">
        <f>IFERROR(INDEX(V!$R:$R,MATCH(V54,V!$L:$L,0)),"")</f>
        <v/>
      </c>
      <c r="V54" s="783" t="str">
        <f t="shared" si="4"/>
        <v/>
      </c>
      <c r="W54" s="784" t="str">
        <f>IFERROR(INDEX(V!$R:$R,MATCH(X54,V!$L:$L,0)),"")</f>
        <v/>
      </c>
      <c r="X54" s="785" t="str">
        <f t="shared" si="5"/>
        <v/>
      </c>
      <c r="Y54" s="784" t="str">
        <f>IFERROR(INDEX(V!$R:$R,MATCH(Z54,V!$L:$L,0)),"")</f>
        <v/>
      </c>
      <c r="Z54" s="785" t="str">
        <f t="shared" si="6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3"/>
        <v/>
      </c>
      <c r="U55" s="784" t="str">
        <f>IFERROR(INDEX(V!$R:$R,MATCH(V55,V!$L:$L,0)),"")</f>
        <v/>
      </c>
      <c r="V55" s="783" t="str">
        <f t="shared" si="4"/>
        <v/>
      </c>
      <c r="W55" s="784" t="str">
        <f>IFERROR(INDEX(V!$R:$R,MATCH(X55,V!$L:$L,0)),"")</f>
        <v/>
      </c>
      <c r="X55" s="785" t="str">
        <f t="shared" si="5"/>
        <v/>
      </c>
      <c r="Y55" s="784" t="str">
        <f>IFERROR(INDEX(V!$R:$R,MATCH(Z55,V!$L:$L,0)),"")</f>
        <v/>
      </c>
      <c r="Z55" s="785" t="str">
        <f t="shared" si="6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3"/>
        <v/>
      </c>
      <c r="U56" s="784" t="str">
        <f>IFERROR(INDEX(V!$R:$R,MATCH(V56,V!$L:$L,0)),"")</f>
        <v/>
      </c>
      <c r="V56" s="783" t="str">
        <f t="shared" si="4"/>
        <v/>
      </c>
      <c r="W56" s="784" t="str">
        <f>IFERROR(INDEX(V!$R:$R,MATCH(X56,V!$L:$L,0)),"")</f>
        <v/>
      </c>
      <c r="X56" s="785" t="str">
        <f t="shared" si="5"/>
        <v/>
      </c>
      <c r="Y56" s="784" t="str">
        <f>IFERROR(INDEX(V!$R:$R,MATCH(Z56,V!$L:$L,0)),"")</f>
        <v/>
      </c>
      <c r="Z56" s="785" t="str">
        <f t="shared" si="6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3"/>
        <v/>
      </c>
      <c r="U57" s="784" t="str">
        <f>IFERROR(INDEX(V!$R:$R,MATCH(V57,V!$L:$L,0)),"")</f>
        <v/>
      </c>
      <c r="V57" s="783" t="str">
        <f t="shared" si="4"/>
        <v/>
      </c>
      <c r="W57" s="784" t="str">
        <f>IFERROR(INDEX(V!$R:$R,MATCH(X57,V!$L:$L,0)),"")</f>
        <v/>
      </c>
      <c r="X57" s="785" t="str">
        <f t="shared" si="5"/>
        <v/>
      </c>
      <c r="Y57" s="784" t="str">
        <f>IFERROR(INDEX(V!$R:$R,MATCH(Z57,V!$L:$L,0)),"")</f>
        <v/>
      </c>
      <c r="Z57" s="785" t="str">
        <f t="shared" si="6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3"/>
        <v/>
      </c>
      <c r="U58" s="784" t="str">
        <f>IFERROR(INDEX(V!$R:$R,MATCH(V58,V!$L:$L,0)),"")</f>
        <v/>
      </c>
      <c r="V58" s="783" t="str">
        <f t="shared" si="4"/>
        <v/>
      </c>
      <c r="W58" s="784" t="str">
        <f>IFERROR(INDEX(V!$R:$R,MATCH(X58,V!$L:$L,0)),"")</f>
        <v/>
      </c>
      <c r="X58" s="785" t="str">
        <f t="shared" si="5"/>
        <v/>
      </c>
      <c r="Y58" s="784" t="str">
        <f>IFERROR(INDEX(V!$R:$R,MATCH(Z58,V!$L:$L,0)),"")</f>
        <v/>
      </c>
      <c r="Z58" s="785" t="str">
        <f t="shared" si="6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3"/>
        <v/>
      </c>
      <c r="U59" s="784" t="str">
        <f>IFERROR(INDEX(V!$R:$R,MATCH(V59,V!$L:$L,0)),"")</f>
        <v/>
      </c>
      <c r="V59" s="783" t="str">
        <f t="shared" si="4"/>
        <v/>
      </c>
      <c r="W59" s="784" t="str">
        <f>IFERROR(INDEX(V!$R:$R,MATCH(X59,V!$L:$L,0)),"")</f>
        <v/>
      </c>
      <c r="X59" s="785" t="str">
        <f t="shared" si="5"/>
        <v/>
      </c>
      <c r="Y59" s="784" t="str">
        <f>IFERROR(INDEX(V!$R:$R,MATCH(Z59,V!$L:$L,0)),"")</f>
        <v/>
      </c>
      <c r="Z59" s="785" t="str">
        <f t="shared" si="6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3"/>
        <v/>
      </c>
      <c r="U60" s="784" t="str">
        <f>IFERROR(INDEX(V!$R:$R,MATCH(V60,V!$L:$L,0)),"")</f>
        <v/>
      </c>
      <c r="V60" s="783" t="str">
        <f t="shared" si="4"/>
        <v/>
      </c>
      <c r="W60" s="784" t="str">
        <f>IFERROR(INDEX(V!$R:$R,MATCH(X60,V!$L:$L,0)),"")</f>
        <v/>
      </c>
      <c r="X60" s="785" t="str">
        <f t="shared" si="5"/>
        <v/>
      </c>
      <c r="Y60" s="784" t="str">
        <f>IFERROR(INDEX(V!$R:$R,MATCH(Z60,V!$L:$L,0)),"")</f>
        <v/>
      </c>
      <c r="Z60" s="785" t="str">
        <f t="shared" si="6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Jaan Sepp, Oskar Sepp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Jaan Sepp, Oskar Sepp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Illar Tõnurist, Jaan Saar</v>
      </c>
      <c r="C104" s="856">
        <v>5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Jaan Sepp, Oskar Sepp</v>
      </c>
      <c r="F105" s="755"/>
      <c r="G105" s="851">
        <v>13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Elmo Lageda, Tõnu Piik</v>
      </c>
      <c r="C106" s="851">
        <v>11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Karla Purgats, Lemmit Toomra</v>
      </c>
      <c r="D107" s="860"/>
      <c r="E107" s="851">
        <v>7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Karla Purgats, Lemmit Toomra</v>
      </c>
      <c r="C108" s="856">
        <v>13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Jaan Sepp, Oskar Sepp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415</v>
      </c>
      <c r="B110" s="850" t="str">
        <f>IF(A110="-","-",IFERROR(INDEX(B$1:B$100,MATCH(A110,I$1:I$100,0)),""))</f>
        <v>Klavdia Piik, Ülo Piik</v>
      </c>
      <c r="C110" s="851">
        <v>7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Mait Metsla, Matti Vinni</v>
      </c>
      <c r="D111" s="755"/>
      <c r="E111" s="851">
        <v>13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414</v>
      </c>
      <c r="B112" s="855" t="str">
        <f>IF(A112="-","-",IFERROR(INDEX(B$1:B$100,MATCH(A112,I$1:I$100,0)),""))</f>
        <v>Mait Metsla, Matti Vinni</v>
      </c>
      <c r="C112" s="856">
        <v>13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Mait Metsla, Matti Vinni</v>
      </c>
      <c r="F113" s="860"/>
      <c r="G113" s="851">
        <v>6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416</v>
      </c>
      <c r="B114" s="850" t="str">
        <f>IF(A114="-","-",IFERROR(INDEX(B$1:B$100,MATCH(A114,I$1:I$100,0)),""))</f>
        <v>Ivar Viljaste, Sirje Viljaste</v>
      </c>
      <c r="C114" s="851">
        <v>13</v>
      </c>
      <c r="D114" s="858"/>
      <c r="E114" s="859"/>
      <c r="F114" s="807"/>
      <c r="G114" s="807"/>
      <c r="H114" s="951" t="str">
        <f>IF(COUNT(G105,G113)=2,IF(G105&lt;G113,E105,E113),"")</f>
        <v>Mait Metsla, Matti Vinni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Ivar Viljaste, Sirje Viljaste</v>
      </c>
      <c r="D115" s="860"/>
      <c r="E115" s="952">
        <v>1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417</v>
      </c>
      <c r="B116" s="855" t="str">
        <f>IF(A116="-","-",IFERROR(INDEX(B$1:B$100,MATCH(A116,I$1:I$100,0)),""))</f>
        <v>Einar Juhkam, Johannes Neiland</v>
      </c>
      <c r="C116" s="856">
        <v>5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Karla Purgats, Lemmit Toomra</v>
      </c>
      <c r="F117" s="755"/>
      <c r="G117" s="851">
        <v>1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Ivar Viljaste, Sirje Viljaste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Ivar Viljaste, Sirje Viljaste</v>
      </c>
      <c r="F119" s="860"/>
      <c r="G119" s="856">
        <v>13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Karla Purgats, Lemmit Toomra</v>
      </c>
      <c r="I121" s="938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Illar Tõnurist, Jaan Saar</v>
      </c>
      <c r="D123" s="755"/>
      <c r="E123" s="851">
        <v>8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Elmo Lageda, Tõnu Piik</v>
      </c>
      <c r="F124" s="755"/>
      <c r="G124" s="851">
        <v>9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Elmo Lageda, Tõnu Piik</v>
      </c>
      <c r="D125" s="868"/>
      <c r="E125" s="856">
        <v>13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951" t="str">
        <f>IF(COUNT(G124,G128)=2,IF(G124&gt;G128,E124,E128),"")</f>
        <v>Klavdia Piik, Ülo Piik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Klavdia Piik, Ülo Piik</v>
      </c>
      <c r="D127" s="851"/>
      <c r="E127" s="851">
        <v>13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Klavdia Piik, Ülo Piik</v>
      </c>
      <c r="F128" s="860"/>
      <c r="G128" s="856">
        <v>13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Einar Juhkam, Johannes Neiland</v>
      </c>
      <c r="D129" s="868"/>
      <c r="E129" s="856">
        <v>9</v>
      </c>
      <c r="F129" s="851"/>
      <c r="G129" s="869"/>
      <c r="H129" s="951" t="str">
        <f>IF(COUNT(G124,G128)=2,IF(G124&lt;G128,E124,E128),"")</f>
        <v>Elmo Lageda, Tõnu Piik</v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Illar Tõnurist, Jaan Saar</v>
      </c>
      <c r="F131" s="755"/>
      <c r="G131" s="851">
        <v>12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>Einar Juhkam, Johannes Neiland</v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Einar Juhkam, Johannes Neiland</v>
      </c>
      <c r="F133" s="860"/>
      <c r="G133" s="856">
        <v>13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>Illar Tõnurist, Jaan Saar</v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Kenneth Muusikus, Ksenija Matšneva</v>
      </c>
      <c r="C140" s="851">
        <v>6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Oleg Rõndenkov, Toomas Tedrekull</v>
      </c>
      <c r="D141" s="755"/>
      <c r="E141" s="851">
        <v>13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440</v>
      </c>
      <c r="B142" s="855" t="str">
        <f>IF(A142="-","-",IFERROR(INDEX(B$1:B$100,MATCH(A142,I$1:I$100,0)),""))</f>
        <v>Oleg Rõndenkov, Toomas Tedrekull</v>
      </c>
      <c r="C142" s="856">
        <v>13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Oleg Rõndenkov, Toomas Tedrekull</v>
      </c>
      <c r="F143" s="755"/>
      <c r="G143" s="851">
        <v>13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425</v>
      </c>
      <c r="B144" s="850" t="str">
        <f>IF(A144="-","-",IFERROR(INDEX(B$1:B$100,MATCH(A144,I$1:I$100,0)),""))</f>
        <v>Airi Kruusma, Vladimir Ogneštšikov</v>
      </c>
      <c r="C144" s="851">
        <f>IF(B144="-",0,IF(B146="-",13,""))</f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Airi Kruusma, Vladimir Ogneštšikov</v>
      </c>
      <c r="D145" s="860"/>
      <c r="E145" s="851">
        <v>2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429</v>
      </c>
      <c r="B146" s="855" t="s">
        <v>424</v>
      </c>
      <c r="C146" s="856">
        <f>IF(B146="-",0,IF(B144="-",13,""))</f>
        <v>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Oleg Rõndenkov, Toomas Tedrekull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427</v>
      </c>
      <c r="B148" s="850" t="str">
        <f>IF(A148="-","-",IFERROR(INDEX(B$1:B$100,MATCH(A148,I$1:I$100,0)),""))</f>
        <v>Henri Mitt, Meelis Luud</v>
      </c>
      <c r="C148" s="851">
        <f>IF(B148="-",0,IF(B150="-",13,""))</f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Henri Mitt, Meelis Luud</v>
      </c>
      <c r="D149" s="755"/>
      <c r="E149" s="851">
        <v>13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507</v>
      </c>
      <c r="B150" s="855" t="s">
        <v>424</v>
      </c>
      <c r="C150" s="856">
        <f>IF(B150="-",0,IF(B148="-",13,""))</f>
        <v>0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Henri Mitt, Meelis Luud</v>
      </c>
      <c r="F151" s="860"/>
      <c r="G151" s="851">
        <v>12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423</v>
      </c>
      <c r="B152" s="850" t="str">
        <f>IF(A152="-","-",IFERROR(INDEX(B$1:B$100,MATCH(A152,I$1:I$100,0)),""))</f>
        <v>Enn Tokman, Tarmo Bombe</v>
      </c>
      <c r="C152" s="851">
        <v>13</v>
      </c>
      <c r="D152" s="858"/>
      <c r="E152" s="859"/>
      <c r="F152" s="807"/>
      <c r="G152" s="807"/>
      <c r="H152" s="951" t="str">
        <f>IF(COUNT(G143,G151)=2,IF(G143&lt;G151,E143,E151),"")</f>
        <v>Henri Mitt, Meelis Luud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Enn Tokman, Tarmo Bombe</v>
      </c>
      <c r="D153" s="860"/>
      <c r="E153" s="851">
        <v>6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422</v>
      </c>
      <c r="B154" s="855" t="str">
        <f>IF(A154="-","-",IFERROR(INDEX(B$1:B$100,MATCH(A154,I$1:I$100,0)),""))</f>
        <v>Kaspar Mänd, Reimo Lõhmus</v>
      </c>
      <c r="C154" s="856">
        <v>2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Airi Kruusma, Vladimir Ogneštšikov</v>
      </c>
      <c r="F155" s="755"/>
      <c r="G155" s="851">
        <v>6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Enn Tokman, Tarmo Bombe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Enn Tokman, Tarmo Bombe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Airi Kruusma, Vladimir Ogneštšikov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Kenneth Muusikus, Ksenija Matšneva</v>
      </c>
      <c r="D161" s="755"/>
      <c r="E161" s="851">
        <f>IF(C161="-",0,IF(C163="-",13,""))</f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Kenneth Muusikus, Ksenija Matšneva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-</v>
      </c>
      <c r="D163" s="868"/>
      <c r="E163" s="856">
        <f>IF(C163="-",0,IF(C161="-",13,""))</f>
        <v>0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>Kenneth Muusikus, Ksenija Matšneva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-</v>
      </c>
      <c r="D165" s="851"/>
      <c r="E165" s="851">
        <f>IF(C165="-",0,IF(C167="-",13,""))</f>
        <v>0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Kaspar Mänd, Reimo Lõhmus</v>
      </c>
      <c r="F166" s="860"/>
      <c r="G166" s="872">
        <v>7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Kaspar Mänd, Reimo Lõhmus</v>
      </c>
      <c r="D167" s="868"/>
      <c r="E167" s="856">
        <f>IF(C167="-",0,IF(C165="-",13,""))</f>
        <v>13</v>
      </c>
      <c r="F167" s="851"/>
      <c r="G167" s="869"/>
      <c r="H167" s="951" t="str">
        <f>IF(COUNT(G162,G166)=2,IF(G162&lt;G166,E162,E166),"")</f>
        <v>Kaspar Mänd, Reimo Lõhmus</v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>-</v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810"/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>-</v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 t="s">
        <v>232</v>
      </c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3" si="22">IFERROR(INDEX(H$100:H$300,MATCH(A300&amp;". koht",H$101:H$301,0)),"")</f>
        <v>Jaan Sepp, Oskar Sepp</v>
      </c>
      <c r="C300" s="755">
        <f>IF(16-A300&gt;0,16-A300,1)</f>
        <v>15</v>
      </c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Mait Metsla, Matti Vinni</v>
      </c>
      <c r="C301" s="755">
        <f t="shared" ref="C301:C313" si="23">IF(16-A301&gt;0,16-A301,1)</f>
        <v>14</v>
      </c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Ivar Viljaste, Sirje Viljaste</v>
      </c>
      <c r="C302" s="755">
        <f t="shared" si="23"/>
        <v>13</v>
      </c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Karla Purgats, Lemmit Toomra</v>
      </c>
      <c r="C303" s="755">
        <f t="shared" si="23"/>
        <v>12</v>
      </c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Klavdia Piik, Ülo Piik</v>
      </c>
      <c r="C304" s="755">
        <f t="shared" si="23"/>
        <v>11</v>
      </c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Elmo Lageda, Tõnu Piik</v>
      </c>
      <c r="C305" s="755">
        <f t="shared" si="23"/>
        <v>10</v>
      </c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75">
        <v>7</v>
      </c>
      <c r="B306" s="816" t="str">
        <f t="shared" si="22"/>
        <v>Einar Juhkam, Johannes Neiland</v>
      </c>
      <c r="C306" s="755">
        <f t="shared" si="23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Illar Tõnurist, Jaan Saar</v>
      </c>
      <c r="C307" s="755">
        <f t="shared" si="23"/>
        <v>8</v>
      </c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Oleg Rõndenkov, Toomas Tedrekull</v>
      </c>
      <c r="C308" s="755">
        <f t="shared" si="23"/>
        <v>7</v>
      </c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Henri Mitt, Meelis Luud</v>
      </c>
      <c r="C309" s="755">
        <f t="shared" si="23"/>
        <v>6</v>
      </c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x14ac:dyDescent="0.2">
      <c r="A310" s="875">
        <v>11</v>
      </c>
      <c r="B310" s="816" t="str">
        <f t="shared" si="22"/>
        <v>Enn Tokman, Tarmo Bombe</v>
      </c>
      <c r="C310" s="755">
        <f t="shared" si="23"/>
        <v>5</v>
      </c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Airi Kruusma, Vladimir Ogneštšikov</v>
      </c>
      <c r="C311" s="755">
        <f t="shared" si="23"/>
        <v>4</v>
      </c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Kenneth Muusikus, Ksenija Matšneva</v>
      </c>
      <c r="C312" s="755">
        <f t="shared" si="23"/>
        <v>3</v>
      </c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875">
        <v>14</v>
      </c>
      <c r="B313" s="816" t="str">
        <f t="shared" si="22"/>
        <v>Kaspar Mänd, Reimo Lõhmus</v>
      </c>
      <c r="C313" s="755">
        <f t="shared" si="23"/>
        <v>2</v>
      </c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  <row r="314" spans="1:27" x14ac:dyDescent="0.2">
      <c r="A314" s="755"/>
      <c r="B314" s="754"/>
      <c r="C314" s="755"/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</row>
    <row r="315" spans="1:27" x14ac:dyDescent="0.2">
      <c r="A315" s="755"/>
      <c r="B315" s="754"/>
      <c r="C315" s="755"/>
      <c r="D315" s="755"/>
      <c r="E315" s="755"/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</row>
  </sheetData>
  <conditionalFormatting sqref="B313">
    <cfRule type="containsBlanks" dxfId="2547" priority="261">
      <formula>LEN(TRIM(B313))=0</formula>
    </cfRule>
    <cfRule type="duplicateValues" dxfId="2546" priority="262"/>
  </conditionalFormatting>
  <conditionalFormatting sqref="I56:I60">
    <cfRule type="expression" dxfId="2545" priority="98">
      <formula>FIND(2,I56,1)</formula>
    </cfRule>
    <cfRule type="expression" dxfId="2544" priority="99">
      <formula>FIND(1,I56,1)</formula>
    </cfRule>
  </conditionalFormatting>
  <conditionalFormatting sqref="A102:A116">
    <cfRule type="cellIs" dxfId="2543" priority="254" operator="equal">
      <formula>"-"</formula>
    </cfRule>
    <cfRule type="duplicateValues" dxfId="2542" priority="255"/>
  </conditionalFormatting>
  <conditionalFormatting sqref="A140:A154">
    <cfRule type="cellIs" dxfId="2541" priority="252" operator="equal">
      <formula>"-"</formula>
    </cfRule>
    <cfRule type="duplicateValues" dxfId="2540" priority="253"/>
  </conditionalFormatting>
  <conditionalFormatting sqref="D7 C8">
    <cfRule type="aboveAverage" dxfId="2539" priority="251"/>
  </conditionalFormatting>
  <conditionalFormatting sqref="E7 C9">
    <cfRule type="aboveAverage" dxfId="2538" priority="250"/>
  </conditionalFormatting>
  <conditionalFormatting sqref="F7 C10">
    <cfRule type="aboveAverage" dxfId="2537" priority="249"/>
  </conditionalFormatting>
  <conditionalFormatting sqref="E8 D9">
    <cfRule type="aboveAverage" dxfId="2536" priority="248"/>
  </conditionalFormatting>
  <conditionalFormatting sqref="G7 C11">
    <cfRule type="aboveAverage" dxfId="2535" priority="247"/>
  </conditionalFormatting>
  <conditionalFormatting sqref="F8 D10">
    <cfRule type="aboveAverage" dxfId="2534" priority="246"/>
  </conditionalFormatting>
  <conditionalFormatting sqref="G8 D11">
    <cfRule type="aboveAverage" dxfId="2533" priority="245"/>
  </conditionalFormatting>
  <conditionalFormatting sqref="F9 E10">
    <cfRule type="aboveAverage" dxfId="2532" priority="244"/>
  </conditionalFormatting>
  <conditionalFormatting sqref="G9 E11">
    <cfRule type="aboveAverage" dxfId="2531" priority="243"/>
  </conditionalFormatting>
  <conditionalFormatting sqref="F11 G10">
    <cfRule type="aboveAverage" dxfId="2530" priority="242"/>
  </conditionalFormatting>
  <conditionalFormatting sqref="K14:K18">
    <cfRule type="expression" dxfId="2529" priority="234">
      <formula>AND(J14=3,IF(COUNTIF(J$14:J$18,"=3")&gt;=2,TRUE))</formula>
    </cfRule>
    <cfRule type="expression" dxfId="2528" priority="240">
      <formula>AND(J14=1,IF(COUNTIF(J$14:J$18,"=1")&gt;=2,TRUE))</formula>
    </cfRule>
    <cfRule type="expression" dxfId="2527" priority="241">
      <formula>AND(J14=2,IF(COUNTIF(J$14:J$18,"=2")&gt;=2,TRUE))</formula>
    </cfRule>
  </conditionalFormatting>
  <conditionalFormatting sqref="K21:K25">
    <cfRule type="expression" dxfId="2526" priority="233">
      <formula>AND(J21=3,IF(COUNTIF(J$21:J$25,"=3")&gt;=2,TRUE))</formula>
    </cfRule>
    <cfRule type="expression" dxfId="2525" priority="238">
      <formula>AND(J21=1,IF(COUNTIF(J$21:J$25,"=1")&gt;=2,TRUE))</formula>
    </cfRule>
    <cfRule type="expression" dxfId="2524" priority="239">
      <formula>AND(J21=2,IF(COUNTIF(J$21:J$25,"=2")&gt;=2,TRUE))</formula>
    </cfRule>
  </conditionalFormatting>
  <conditionalFormatting sqref="K7:K11">
    <cfRule type="expression" dxfId="2523" priority="235">
      <formula>AND(J7=3,IF(COUNTIF(J$7:J$11,"=3")&gt;=2,TRUE))</formula>
    </cfRule>
    <cfRule type="expression" dxfId="2522" priority="236">
      <formula>AND(J7=1,IF(COUNTIF(J$7:J$11,"=1")&gt;=2,TRUE))</formula>
    </cfRule>
    <cfRule type="expression" dxfId="2521" priority="237">
      <formula>AND(J7=2,IF(COUNTIF(J$7:J$11,"=2")&gt;=2,TRUE))</formula>
    </cfRule>
  </conditionalFormatting>
  <conditionalFormatting sqref="H7:H11">
    <cfRule type="expression" dxfId="2520" priority="224">
      <formula>AND(J7=1,IF(COUNTIF(J$7:J$11,"=1")&gt;=2,TRUE))</formula>
    </cfRule>
    <cfRule type="expression" dxfId="2519" priority="231">
      <formula>AND(J7=3,IF(COUNTIF(J$7:J$11,"=3")&gt;=2,TRUE))</formula>
    </cfRule>
    <cfRule type="expression" dxfId="2518" priority="232">
      <formula>AND(J7=2,IF(COUNTIF(J$7:J$11,"=2")&gt;=2,TRUE))</formula>
    </cfRule>
  </conditionalFormatting>
  <conditionalFormatting sqref="H17:H18">
    <cfRule type="expression" dxfId="2517" priority="225">
      <formula>AND(J17=1,IF(COUNTIF(J$14:J$18,"=1")&gt;=2,TRUE))</formula>
    </cfRule>
    <cfRule type="expression" dxfId="2516" priority="229">
      <formula>AND(J17=3,IF(COUNTIF(J$14:J$18,"=3")&gt;=2,TRUE))</formula>
    </cfRule>
    <cfRule type="expression" dxfId="2515" priority="230">
      <formula>AND(J17=2,IF(COUNTIF(J$14:J$18,"=2")&gt;=2,TRUE))</formula>
    </cfRule>
  </conditionalFormatting>
  <conditionalFormatting sqref="H21:H25">
    <cfRule type="expression" dxfId="2514" priority="226">
      <formula>AND(J21=1,IF(COUNTIF(J$21:J$25,"=1")&gt;=2,TRUE))</formula>
    </cfRule>
    <cfRule type="expression" dxfId="2513" priority="227">
      <formula>AND(J21=3,IF(COUNTIF(J$21:J$25,"=3")&gt;=2,TRUE))</formula>
    </cfRule>
    <cfRule type="expression" dxfId="2512" priority="228">
      <formula>AND(J21=2,IF(COUNTIF(J$21:J$25,"=2")&gt;=2,TRUE))</formula>
    </cfRule>
  </conditionalFormatting>
  <conditionalFormatting sqref="C69 C73:C74">
    <cfRule type="aboveAverage" dxfId="2511" priority="223"/>
  </conditionalFormatting>
  <conditionalFormatting sqref="D69 D73:D74">
    <cfRule type="aboveAverage" dxfId="2510" priority="222"/>
  </conditionalFormatting>
  <conditionalFormatting sqref="K28:K32">
    <cfRule type="expression" dxfId="2509" priority="219">
      <formula>AND(J28=3,IF(COUNTIF(J$28:J$32,"=3")&gt;=2,TRUE))</formula>
    </cfRule>
    <cfRule type="expression" dxfId="2508" priority="220">
      <formula>AND(J28=1,IF(COUNTIF(J$28:J$32,"=1")&gt;=2,TRUE))</formula>
    </cfRule>
    <cfRule type="expression" dxfId="2507" priority="221">
      <formula>AND(J28=2,IF(COUNTIF(J$28:J$32,"=2")&gt;=2,TRUE))</formula>
    </cfRule>
  </conditionalFormatting>
  <conditionalFormatting sqref="H28:H32">
    <cfRule type="expression" dxfId="2506" priority="216">
      <formula>AND(J28=1,IF(COUNTIF(J$28:J$32,"=1")&gt;=2,TRUE))</formula>
    </cfRule>
    <cfRule type="expression" dxfId="2505" priority="217">
      <formula>AND(J28=3,IF(COUNTIF(J$28:J$32,"=3")&gt;=2,TRUE))</formula>
    </cfRule>
    <cfRule type="expression" dxfId="2504" priority="218">
      <formula>AND(J28=2,IF(COUNTIF(J$28:J$32,"=2")&gt;=2,TRUE))</formula>
    </cfRule>
  </conditionalFormatting>
  <conditionalFormatting sqref="D14 C15">
    <cfRule type="aboveAverage" dxfId="2503" priority="215"/>
  </conditionalFormatting>
  <conditionalFormatting sqref="E14 C16">
    <cfRule type="aboveAverage" dxfId="2502" priority="214"/>
  </conditionalFormatting>
  <conditionalFormatting sqref="F14 C17">
    <cfRule type="aboveAverage" dxfId="2501" priority="213"/>
  </conditionalFormatting>
  <conditionalFormatting sqref="E15 D16">
    <cfRule type="aboveAverage" dxfId="2500" priority="212"/>
  </conditionalFormatting>
  <conditionalFormatting sqref="G14 C18">
    <cfRule type="aboveAverage" dxfId="2499" priority="211"/>
  </conditionalFormatting>
  <conditionalFormatting sqref="F15 D17">
    <cfRule type="aboveAverage" dxfId="2498" priority="210"/>
  </conditionalFormatting>
  <conditionalFormatting sqref="G15 D18">
    <cfRule type="aboveAverage" dxfId="2497" priority="209"/>
  </conditionalFormatting>
  <conditionalFormatting sqref="F16 E17">
    <cfRule type="aboveAverage" dxfId="2496" priority="208"/>
  </conditionalFormatting>
  <conditionalFormatting sqref="G16 E18">
    <cfRule type="aboveAverage" dxfId="2495" priority="207"/>
  </conditionalFormatting>
  <conditionalFormatting sqref="F18 G17">
    <cfRule type="aboveAverage" dxfId="2494" priority="206"/>
  </conditionalFormatting>
  <conditionalFormatting sqref="D21 C22">
    <cfRule type="aboveAverage" dxfId="2493" priority="205"/>
  </conditionalFormatting>
  <conditionalFormatting sqref="E21 C23">
    <cfRule type="aboveAverage" dxfId="2492" priority="204"/>
  </conditionalFormatting>
  <conditionalFormatting sqref="F21 C24">
    <cfRule type="aboveAverage" dxfId="2491" priority="203"/>
  </conditionalFormatting>
  <conditionalFormatting sqref="E22 D23">
    <cfRule type="aboveAverage" dxfId="2490" priority="202"/>
  </conditionalFormatting>
  <conditionalFormatting sqref="G21 C25">
    <cfRule type="aboveAverage" dxfId="2489" priority="201"/>
  </conditionalFormatting>
  <conditionalFormatting sqref="F22 D24">
    <cfRule type="aboveAverage" dxfId="2488" priority="200"/>
  </conditionalFormatting>
  <conditionalFormatting sqref="G22 D25">
    <cfRule type="aboveAverage" dxfId="2487" priority="199"/>
  </conditionalFormatting>
  <conditionalFormatting sqref="F23 E24">
    <cfRule type="aboveAverage" dxfId="2486" priority="198"/>
  </conditionalFormatting>
  <conditionalFormatting sqref="G23 E25">
    <cfRule type="aboveAverage" dxfId="2485" priority="197"/>
  </conditionalFormatting>
  <conditionalFormatting sqref="F25 G24">
    <cfRule type="aboveAverage" dxfId="2484" priority="196"/>
  </conditionalFormatting>
  <conditionalFormatting sqref="D28 C29">
    <cfRule type="aboveAverage" dxfId="2483" priority="195"/>
  </conditionalFormatting>
  <conditionalFormatting sqref="E28 C30">
    <cfRule type="aboveAverage" dxfId="2482" priority="194"/>
  </conditionalFormatting>
  <conditionalFormatting sqref="F28 C31">
    <cfRule type="aboveAverage" dxfId="2481" priority="193"/>
  </conditionalFormatting>
  <conditionalFormatting sqref="E29 D30">
    <cfRule type="aboveAverage" dxfId="2480" priority="192"/>
  </conditionalFormatting>
  <conditionalFormatting sqref="G28 C32">
    <cfRule type="aboveAverage" dxfId="2479" priority="191"/>
  </conditionalFormatting>
  <conditionalFormatting sqref="F29 D31">
    <cfRule type="aboveAverage" dxfId="2478" priority="190"/>
  </conditionalFormatting>
  <conditionalFormatting sqref="G29 D32">
    <cfRule type="aboveAverage" dxfId="2477" priority="189"/>
  </conditionalFormatting>
  <conditionalFormatting sqref="F30 E31">
    <cfRule type="aboveAverage" dxfId="2476" priority="188"/>
  </conditionalFormatting>
  <conditionalFormatting sqref="G30 E32">
    <cfRule type="aboveAverage" dxfId="2475" priority="187"/>
  </conditionalFormatting>
  <conditionalFormatting sqref="F32 G31">
    <cfRule type="aboveAverage" dxfId="2474" priority="186"/>
  </conditionalFormatting>
  <conditionalFormatting sqref="D35 C36">
    <cfRule type="aboveAverage" dxfId="2473" priority="184"/>
  </conditionalFormatting>
  <conditionalFormatting sqref="E35 C37">
    <cfRule type="aboveAverage" dxfId="2472" priority="183"/>
  </conditionalFormatting>
  <conditionalFormatting sqref="F35 C38">
    <cfRule type="aboveAverage" dxfId="2471" priority="182"/>
  </conditionalFormatting>
  <conditionalFormatting sqref="E36 D37">
    <cfRule type="aboveAverage" dxfId="2470" priority="181"/>
  </conditionalFormatting>
  <conditionalFormatting sqref="G35 C39">
    <cfRule type="aboveAverage" dxfId="2469" priority="180"/>
  </conditionalFormatting>
  <conditionalFormatting sqref="F36 D38">
    <cfRule type="aboveAverage" dxfId="2468" priority="179"/>
  </conditionalFormatting>
  <conditionalFormatting sqref="G36 D39">
    <cfRule type="aboveAverage" dxfId="2467" priority="178"/>
  </conditionalFormatting>
  <conditionalFormatting sqref="F37 E38">
    <cfRule type="aboveAverage" dxfId="2466" priority="177"/>
  </conditionalFormatting>
  <conditionalFormatting sqref="G37 E39">
    <cfRule type="aboveAverage" dxfId="2465" priority="176"/>
  </conditionalFormatting>
  <conditionalFormatting sqref="F39 G38">
    <cfRule type="aboveAverage" dxfId="2464" priority="175"/>
  </conditionalFormatting>
  <conditionalFormatting sqref="K42:K46">
    <cfRule type="expression" dxfId="2463" priority="167">
      <formula>AND(J42=3,IF(COUNTIF(J$14:J$18,"=3")&gt;=2,TRUE))</formula>
    </cfRule>
    <cfRule type="expression" dxfId="2462" priority="173">
      <formula>AND(J42=1,IF(COUNTIF(J$14:J$18,"=1")&gt;=2,TRUE))</formula>
    </cfRule>
    <cfRule type="expression" dxfId="2461" priority="174">
      <formula>AND(J42=2,IF(COUNTIF(J$14:J$18,"=2")&gt;=2,TRUE))</formula>
    </cfRule>
  </conditionalFormatting>
  <conditionalFormatting sqref="K49:K53">
    <cfRule type="expression" dxfId="2460" priority="166">
      <formula>AND(J49=3,IF(COUNTIF(J$21:J$25,"=3")&gt;=2,TRUE))</formula>
    </cfRule>
    <cfRule type="expression" dxfId="2459" priority="171">
      <formula>AND(J49=1,IF(COUNTIF(J$21:J$25,"=1")&gt;=2,TRUE))</formula>
    </cfRule>
    <cfRule type="expression" dxfId="2458" priority="172">
      <formula>AND(J49=2,IF(COUNTIF(J$21:J$25,"=2")&gt;=2,TRUE))</formula>
    </cfRule>
  </conditionalFormatting>
  <conditionalFormatting sqref="K35:K39">
    <cfRule type="expression" dxfId="2457" priority="168">
      <formula>AND(J35=3,IF(COUNTIF(J$7:J$11,"=3")&gt;=2,TRUE))</formula>
    </cfRule>
    <cfRule type="expression" dxfId="2456" priority="169">
      <formula>AND(J35=1,IF(COUNTIF(J$7:J$11,"=1")&gt;=2,TRUE))</formula>
    </cfRule>
    <cfRule type="expression" dxfId="2455" priority="170">
      <formula>AND(J35=2,IF(COUNTIF(J$7:J$11,"=2")&gt;=2,TRUE))</formula>
    </cfRule>
  </conditionalFormatting>
  <conditionalFormatting sqref="H35:H39">
    <cfRule type="expression" dxfId="2454" priority="157">
      <formula>AND(J35=1,IF(COUNTIF(J$7:J$11,"=1")&gt;=2,TRUE))</formula>
    </cfRule>
    <cfRule type="expression" dxfId="2453" priority="164">
      <formula>AND(J35=3,IF(COUNTIF(J$7:J$11,"=3")&gt;=2,TRUE))</formula>
    </cfRule>
    <cfRule type="expression" dxfId="2452" priority="165">
      <formula>AND(J35=2,IF(COUNTIF(J$7:J$11,"=2")&gt;=2,TRUE))</formula>
    </cfRule>
  </conditionalFormatting>
  <conditionalFormatting sqref="H42:H46">
    <cfRule type="expression" dxfId="2451" priority="158">
      <formula>AND(J42=1,IF(COUNTIF(J$14:J$18,"=1")&gt;=2,TRUE))</formula>
    </cfRule>
    <cfRule type="expression" dxfId="2450" priority="162">
      <formula>AND(J42=3,IF(COUNTIF(J$14:J$18,"=3")&gt;=2,TRUE))</formula>
    </cfRule>
    <cfRule type="expression" dxfId="2449" priority="163">
      <formula>AND(J42=2,IF(COUNTIF(J$14:J$18,"=2")&gt;=2,TRUE))</formula>
    </cfRule>
  </conditionalFormatting>
  <conditionalFormatting sqref="H49:H53">
    <cfRule type="expression" dxfId="2448" priority="159">
      <formula>AND(J49=1,IF(COUNTIF(J$21:J$25,"=1")&gt;=2,TRUE))</formula>
    </cfRule>
    <cfRule type="expression" dxfId="2447" priority="160">
      <formula>AND(J49=3,IF(COUNTIF(J$21:J$25,"=3")&gt;=2,TRUE))</formula>
    </cfRule>
    <cfRule type="expression" dxfId="2446" priority="161">
      <formula>AND(J49=2,IF(COUNTIF(J$21:J$25,"=2")&gt;=2,TRUE))</formula>
    </cfRule>
  </conditionalFormatting>
  <conditionalFormatting sqref="K56:K60">
    <cfRule type="expression" dxfId="2445" priority="154">
      <formula>AND(J56=3,IF(COUNTIF(J$28:J$32,"=3")&gt;=2,TRUE))</formula>
    </cfRule>
    <cfRule type="expression" dxfId="2444" priority="155">
      <formula>AND(J56=1,IF(COUNTIF(J$28:J$32,"=1")&gt;=2,TRUE))</formula>
    </cfRule>
    <cfRule type="expression" dxfId="2443" priority="156">
      <formula>AND(J56=2,IF(COUNTIF(J$28:J$32,"=2")&gt;=2,TRUE))</formula>
    </cfRule>
  </conditionalFormatting>
  <conditionalFormatting sqref="H56:H60">
    <cfRule type="expression" dxfId="2442" priority="151">
      <formula>AND(J56=1,IF(COUNTIF(J$28:J$32,"=1")&gt;=2,TRUE))</formula>
    </cfRule>
    <cfRule type="expression" dxfId="2441" priority="152">
      <formula>AND(J56=3,IF(COUNTIF(J$28:J$32,"=3")&gt;=2,TRUE))</formula>
    </cfRule>
    <cfRule type="expression" dxfId="2440" priority="153">
      <formula>AND(J56=2,IF(COUNTIF(J$28:J$32,"=2")&gt;=2,TRUE))</formula>
    </cfRule>
  </conditionalFormatting>
  <conditionalFormatting sqref="B37">
    <cfRule type="duplicateValues" dxfId="2439" priority="185"/>
  </conditionalFormatting>
  <conditionalFormatting sqref="D42 C43">
    <cfRule type="aboveAverage" dxfId="2438" priority="149"/>
  </conditionalFormatting>
  <conditionalFormatting sqref="E42 C44">
    <cfRule type="aboveAverage" dxfId="2437" priority="148"/>
  </conditionalFormatting>
  <conditionalFormatting sqref="F42 C45">
    <cfRule type="aboveAverage" dxfId="2436" priority="147"/>
  </conditionalFormatting>
  <conditionalFormatting sqref="E43 D44">
    <cfRule type="aboveAverage" dxfId="2435" priority="146"/>
  </conditionalFormatting>
  <conditionalFormatting sqref="G42 C46">
    <cfRule type="aboveAverage" dxfId="2434" priority="145"/>
  </conditionalFormatting>
  <conditionalFormatting sqref="F43 D45">
    <cfRule type="aboveAverage" dxfId="2433" priority="144"/>
  </conditionalFormatting>
  <conditionalFormatting sqref="G43 D46">
    <cfRule type="aboveAverage" dxfId="2432" priority="143"/>
  </conditionalFormatting>
  <conditionalFormatting sqref="F44 E45">
    <cfRule type="aboveAverage" dxfId="2431" priority="142"/>
  </conditionalFormatting>
  <conditionalFormatting sqref="G44 E46">
    <cfRule type="aboveAverage" dxfId="2430" priority="141"/>
  </conditionalFormatting>
  <conditionalFormatting sqref="F46 G45">
    <cfRule type="aboveAverage" dxfId="2429" priority="140"/>
  </conditionalFormatting>
  <conditionalFormatting sqref="B44">
    <cfRule type="duplicateValues" dxfId="2428" priority="150"/>
  </conditionalFormatting>
  <conditionalFormatting sqref="D49 C50">
    <cfRule type="aboveAverage" dxfId="2427" priority="138"/>
  </conditionalFormatting>
  <conditionalFormatting sqref="E49 C51">
    <cfRule type="aboveAverage" dxfId="2426" priority="137"/>
  </conditionalFormatting>
  <conditionalFormatting sqref="F49 C52">
    <cfRule type="aboveAverage" dxfId="2425" priority="136"/>
  </conditionalFormatting>
  <conditionalFormatting sqref="E50 D51">
    <cfRule type="aboveAverage" dxfId="2424" priority="135"/>
  </conditionalFormatting>
  <conditionalFormatting sqref="G49 C53">
    <cfRule type="aboveAverage" dxfId="2423" priority="134"/>
  </conditionalFormatting>
  <conditionalFormatting sqref="F50 D52">
    <cfRule type="aboveAverage" dxfId="2422" priority="133"/>
  </conditionalFormatting>
  <conditionalFormatting sqref="G50 D53">
    <cfRule type="aboveAverage" dxfId="2421" priority="132"/>
  </conditionalFormatting>
  <conditionalFormatting sqref="F51 E52">
    <cfRule type="aboveAverage" dxfId="2420" priority="131"/>
  </conditionalFormatting>
  <conditionalFormatting sqref="G51 E53">
    <cfRule type="aboveAverage" dxfId="2419" priority="130"/>
  </conditionalFormatting>
  <conditionalFormatting sqref="F53 G52">
    <cfRule type="aboveAverage" dxfId="2418" priority="129"/>
  </conditionalFormatting>
  <conditionalFormatting sqref="B51">
    <cfRule type="duplicateValues" dxfId="2417" priority="139"/>
  </conditionalFormatting>
  <conditionalFormatting sqref="D56 C57">
    <cfRule type="aboveAverage" dxfId="2416" priority="127"/>
  </conditionalFormatting>
  <conditionalFormatting sqref="E56 C58">
    <cfRule type="aboveAverage" dxfId="2415" priority="126"/>
  </conditionalFormatting>
  <conditionalFormatting sqref="F56 C59">
    <cfRule type="aboveAverage" dxfId="2414" priority="125"/>
  </conditionalFormatting>
  <conditionalFormatting sqref="E57 D58">
    <cfRule type="aboveAverage" dxfId="2413" priority="124"/>
  </conditionalFormatting>
  <conditionalFormatting sqref="G56 C60">
    <cfRule type="aboveAverage" dxfId="2412" priority="123"/>
  </conditionalFormatting>
  <conditionalFormatting sqref="F57 D59">
    <cfRule type="aboveAverage" dxfId="2411" priority="122"/>
  </conditionalFormatting>
  <conditionalFormatting sqref="G57 D60">
    <cfRule type="aboveAverage" dxfId="2410" priority="121"/>
  </conditionalFormatting>
  <conditionalFormatting sqref="F58 E59">
    <cfRule type="aboveAverage" dxfId="2409" priority="120"/>
  </conditionalFormatting>
  <conditionalFormatting sqref="G58 E60">
    <cfRule type="aboveAverage" dxfId="2408" priority="119"/>
  </conditionalFormatting>
  <conditionalFormatting sqref="F60 G59">
    <cfRule type="aboveAverage" dxfId="2407" priority="118"/>
  </conditionalFormatting>
  <conditionalFormatting sqref="B58">
    <cfRule type="duplicateValues" dxfId="2406" priority="128"/>
  </conditionalFormatting>
  <conditionalFormatting sqref="I10:I11">
    <cfRule type="expression" dxfId="2405" priority="116">
      <formula>FIND(2,I10,1)</formula>
    </cfRule>
    <cfRule type="expression" dxfId="2404" priority="117">
      <formula>FIND(1,I10,1)</formula>
    </cfRule>
  </conditionalFormatting>
  <conditionalFormatting sqref="I7:I9">
    <cfRule type="expression" dxfId="2403" priority="114">
      <formula>FIND(2,I7,1)</formula>
    </cfRule>
    <cfRule type="expression" dxfId="2402" priority="115">
      <formula>FIND(1,I7,1)</formula>
    </cfRule>
  </conditionalFormatting>
  <conditionalFormatting sqref="I14:I18">
    <cfRule type="expression" dxfId="2401" priority="112">
      <formula>FIND(2,I14,1)</formula>
    </cfRule>
    <cfRule type="expression" dxfId="2400" priority="113">
      <formula>FIND(1,I14,1)</formula>
    </cfRule>
  </conditionalFormatting>
  <conditionalFormatting sqref="I21:I25">
    <cfRule type="expression" dxfId="2399" priority="110">
      <formula>FIND(2,I21,1)</formula>
    </cfRule>
    <cfRule type="expression" dxfId="2398" priority="111">
      <formula>FIND(1,I21,1)</formula>
    </cfRule>
  </conditionalFormatting>
  <conditionalFormatting sqref="I28:I32">
    <cfRule type="expression" dxfId="2397" priority="108">
      <formula>FIND(2,I28,1)</formula>
    </cfRule>
    <cfRule type="expression" dxfId="2396" priority="109">
      <formula>FIND(1,I28,1)</formula>
    </cfRule>
  </conditionalFormatting>
  <conditionalFormatting sqref="I38:I39">
    <cfRule type="expression" dxfId="2395" priority="106">
      <formula>FIND(2,I38,1)</formula>
    </cfRule>
    <cfRule type="expression" dxfId="2394" priority="107">
      <formula>FIND(1,I38,1)</formula>
    </cfRule>
  </conditionalFormatting>
  <conditionalFormatting sqref="I35:I37">
    <cfRule type="expression" dxfId="2393" priority="104">
      <formula>FIND(2,I35,1)</formula>
    </cfRule>
    <cfRule type="expression" dxfId="2392" priority="105">
      <formula>FIND(1,I35,1)</formula>
    </cfRule>
  </conditionalFormatting>
  <conditionalFormatting sqref="I42:I46">
    <cfRule type="expression" dxfId="2391" priority="102">
      <formula>FIND(2,I42,1)</formula>
    </cfRule>
    <cfRule type="expression" dxfId="2390" priority="103">
      <formula>FIND(1,I42,1)</formula>
    </cfRule>
  </conditionalFormatting>
  <conditionalFormatting sqref="I49:I53">
    <cfRule type="expression" dxfId="2389" priority="100">
      <formula>FIND(2,I49,1)</formula>
    </cfRule>
    <cfRule type="expression" dxfId="2388" priority="101">
      <formula>FIND(1,I49,1)</formula>
    </cfRule>
  </conditionalFormatting>
  <conditionalFormatting sqref="L15:L18">
    <cfRule type="expression" dxfId="2387" priority="92">
      <formula>OR(J15=0,J15=4)</formula>
    </cfRule>
    <cfRule type="expression" dxfId="2386" priority="96">
      <formula>AND(J15=1,IF(COUNTIF(J$14:J$18,"=1")=1,TRUE))</formula>
    </cfRule>
    <cfRule type="expression" dxfId="2385" priority="97">
      <formula>AND(J15=3,IF(COUNTIF(J$14:J$18,"=3")=1,TRUE))</formula>
    </cfRule>
  </conditionalFormatting>
  <conditionalFormatting sqref="L21:L25">
    <cfRule type="expression" dxfId="2384" priority="93">
      <formula>OR(J21=0,J21=4)</formula>
    </cfRule>
    <cfRule type="expression" dxfId="2383" priority="94">
      <formula>AND(J21=1,IF(COUNTIF(J$21:J$25,"=1")=1,TRUE))</formula>
    </cfRule>
    <cfRule type="expression" dxfId="2382" priority="95">
      <formula>AND(J21=3,IF(COUNTIF(J$21:J$25,"=3")=1,TRUE))</formula>
    </cfRule>
  </conditionalFormatting>
  <conditionalFormatting sqref="L7:L11">
    <cfRule type="expression" dxfId="2381" priority="89">
      <formula>OR(J7=0,J7=4)</formula>
    </cfRule>
    <cfRule type="expression" dxfId="2380" priority="90">
      <formula>AND(J7=1,IF(COUNTIF(J$7:J$11,"=1")=1,TRUE))</formula>
    </cfRule>
    <cfRule type="expression" dxfId="2379" priority="91">
      <formula>AND(J7=3,IF(COUNTIF(J$7:J$11,"=3")=1,TRUE))</formula>
    </cfRule>
  </conditionalFormatting>
  <conditionalFormatting sqref="L28:L32">
    <cfRule type="expression" dxfId="2378" priority="86">
      <formula>OR(J28=0,J28=4)</formula>
    </cfRule>
    <cfRule type="expression" dxfId="2377" priority="87">
      <formula>AND(J28=1,IF(COUNTIF(J$28:J$32,"=1")=1,TRUE))</formula>
    </cfRule>
    <cfRule type="expression" dxfId="2376" priority="88">
      <formula>AND(J28=3,IF(COUNTIF(J$28:J$32,"=3")=1,TRUE))</formula>
    </cfRule>
  </conditionalFormatting>
  <conditionalFormatting sqref="L43:L46">
    <cfRule type="expression" dxfId="2375" priority="80">
      <formula>OR(J43=0,J43=4)</formula>
    </cfRule>
    <cfRule type="expression" dxfId="2374" priority="84">
      <formula>AND(J43=1,IF(COUNTIF(J$14:J$18,"=1")=1,TRUE))</formula>
    </cfRule>
    <cfRule type="expression" dxfId="2373" priority="85">
      <formula>AND(J43=3,IF(COUNTIF(J$14:J$18,"=3")=1,TRUE))</formula>
    </cfRule>
  </conditionalFormatting>
  <conditionalFormatting sqref="L49:L53">
    <cfRule type="expression" dxfId="2372" priority="81">
      <formula>OR(J49=0,J49=4)</formula>
    </cfRule>
    <cfRule type="expression" dxfId="2371" priority="82">
      <formula>AND(J49=1,IF(COUNTIF(J$21:J$25,"=1")=1,TRUE))</formula>
    </cfRule>
    <cfRule type="expression" dxfId="2370" priority="83">
      <formula>AND(J49=3,IF(COUNTIF(J$21:J$25,"=3")=1,TRUE))</formula>
    </cfRule>
  </conditionalFormatting>
  <conditionalFormatting sqref="L35:L39">
    <cfRule type="expression" dxfId="2369" priority="77">
      <formula>OR(J35=0,J35=4)</formula>
    </cfRule>
    <cfRule type="expression" dxfId="2368" priority="78">
      <formula>AND(J35=1,IF(COUNTIF(J$7:J$11,"=1")=1,TRUE))</formula>
    </cfRule>
    <cfRule type="expression" dxfId="2367" priority="79">
      <formula>AND(J35=3,IF(COUNTIF(J$7:J$11,"=3")=1,TRUE))</formula>
    </cfRule>
  </conditionalFormatting>
  <conditionalFormatting sqref="L56:L60">
    <cfRule type="expression" dxfId="2366" priority="74">
      <formula>OR(J56=0,J56=4)</formula>
    </cfRule>
    <cfRule type="expression" dxfId="2365" priority="75">
      <formula>AND(J56=1,IF(COUNTIF(J$28:J$32,"=1")=1,TRUE))</formula>
    </cfRule>
    <cfRule type="expression" dxfId="2364" priority="76">
      <formula>AND(J56=3,IF(COUNTIF(J$28:J$32,"=3")=1,TRUE))</formula>
    </cfRule>
  </conditionalFormatting>
  <conditionalFormatting sqref="L42">
    <cfRule type="expression" dxfId="2363" priority="71">
      <formula>OR(J42=0,J42=4)</formula>
    </cfRule>
    <cfRule type="expression" dxfId="2362" priority="72">
      <formula>AND(J42=1,IF(COUNTIF(J$7:J$11,"=1")=1,TRUE))</formula>
    </cfRule>
    <cfRule type="expression" dxfId="2361" priority="73">
      <formula>AND(J42=3,IF(COUNTIF(J$7:J$11,"=3")=1,TRUE))</formula>
    </cfRule>
  </conditionalFormatting>
  <conditionalFormatting sqref="E123 E125">
    <cfRule type="aboveAverage" dxfId="2360" priority="70"/>
  </conditionalFormatting>
  <conditionalFormatting sqref="E127 E129">
    <cfRule type="aboveAverage" dxfId="2359" priority="69"/>
  </conditionalFormatting>
  <conditionalFormatting sqref="G124 G128">
    <cfRule type="aboveAverage" dxfId="2358" priority="68"/>
  </conditionalFormatting>
  <conditionalFormatting sqref="G131 G133">
    <cfRule type="aboveAverage" dxfId="2357" priority="67"/>
  </conditionalFormatting>
  <conditionalFormatting sqref="E123 E125 E127 E129 G124 G128 G131 G133">
    <cfRule type="containsBlanks" dxfId="2356" priority="66">
      <formula>LEN(TRIM(E123))=0</formula>
    </cfRule>
  </conditionalFormatting>
  <conditionalFormatting sqref="C102 C104">
    <cfRule type="aboveAverage" dxfId="2355" priority="65"/>
  </conditionalFormatting>
  <conditionalFormatting sqref="E103 E107">
    <cfRule type="aboveAverage" dxfId="2354" priority="64"/>
  </conditionalFormatting>
  <conditionalFormatting sqref="C110 C112">
    <cfRule type="aboveAverage" dxfId="2353" priority="63"/>
  </conditionalFormatting>
  <conditionalFormatting sqref="G105 G113">
    <cfRule type="aboveAverage" dxfId="2352" priority="62"/>
  </conditionalFormatting>
  <conditionalFormatting sqref="C102 C104 C110 C112 E103 G105 E107 G113">
    <cfRule type="containsBlanks" dxfId="2351" priority="61">
      <formula>LEN(TRIM(C102))=0</formula>
    </cfRule>
  </conditionalFormatting>
  <conditionalFormatting sqref="C106 C108">
    <cfRule type="aboveAverage" dxfId="2350" priority="60"/>
  </conditionalFormatting>
  <conditionalFormatting sqref="C106 C108">
    <cfRule type="containsBlanks" dxfId="2349" priority="59">
      <formula>LEN(TRIM(C106))=0</formula>
    </cfRule>
  </conditionalFormatting>
  <conditionalFormatting sqref="C114 C116">
    <cfRule type="aboveAverage" dxfId="2348" priority="58"/>
  </conditionalFormatting>
  <conditionalFormatting sqref="C114 C116">
    <cfRule type="containsBlanks" dxfId="2347" priority="57">
      <formula>LEN(TRIM(C114))=0</formula>
    </cfRule>
  </conditionalFormatting>
  <conditionalFormatting sqref="E103">
    <cfRule type="aboveAverage" dxfId="2346" priority="56"/>
  </conditionalFormatting>
  <conditionalFormatting sqref="E107">
    <cfRule type="aboveAverage" dxfId="2345" priority="55"/>
  </conditionalFormatting>
  <conditionalFormatting sqref="G105">
    <cfRule type="aboveAverage" dxfId="2344" priority="54"/>
  </conditionalFormatting>
  <conditionalFormatting sqref="G105">
    <cfRule type="aboveAverage" dxfId="2343" priority="53"/>
  </conditionalFormatting>
  <conditionalFormatting sqref="G113">
    <cfRule type="aboveAverage" dxfId="2342" priority="52"/>
  </conditionalFormatting>
  <conditionalFormatting sqref="G113">
    <cfRule type="aboveAverage" dxfId="2341" priority="51"/>
  </conditionalFormatting>
  <conditionalFormatting sqref="G117 G119">
    <cfRule type="aboveAverage" dxfId="2340" priority="50"/>
  </conditionalFormatting>
  <conditionalFormatting sqref="G117 G119">
    <cfRule type="containsBlanks" dxfId="2339" priority="49">
      <formula>LEN(TRIM(G117))=0</formula>
    </cfRule>
  </conditionalFormatting>
  <conditionalFormatting sqref="E107">
    <cfRule type="aboveAverage" dxfId="2338" priority="48"/>
  </conditionalFormatting>
  <conditionalFormatting sqref="E111 E115">
    <cfRule type="aboveAverage" dxfId="2337" priority="47"/>
  </conditionalFormatting>
  <conditionalFormatting sqref="E111 E115">
    <cfRule type="containsBlanks" dxfId="2336" priority="46">
      <formula>LEN(TRIM(E111))=0</formula>
    </cfRule>
  </conditionalFormatting>
  <conditionalFormatting sqref="E111">
    <cfRule type="aboveAverage" dxfId="2335" priority="45"/>
  </conditionalFormatting>
  <conditionalFormatting sqref="E115">
    <cfRule type="aboveAverage" dxfId="2334" priority="44"/>
  </conditionalFormatting>
  <conditionalFormatting sqref="E115">
    <cfRule type="aboveAverage" dxfId="2333" priority="43"/>
  </conditionalFormatting>
  <conditionalFormatting sqref="G113">
    <cfRule type="aboveAverage" dxfId="2332" priority="42"/>
  </conditionalFormatting>
  <conditionalFormatting sqref="G113">
    <cfRule type="aboveAverage" dxfId="2331" priority="41"/>
  </conditionalFormatting>
  <conditionalFormatting sqref="E161 E163">
    <cfRule type="aboveAverage" dxfId="2330" priority="40"/>
  </conditionalFormatting>
  <conditionalFormatting sqref="E165 E167">
    <cfRule type="aboveAverage" dxfId="2329" priority="39"/>
  </conditionalFormatting>
  <conditionalFormatting sqref="G162 G166">
    <cfRule type="aboveAverage" dxfId="2328" priority="38"/>
  </conditionalFormatting>
  <conditionalFormatting sqref="G169 G171">
    <cfRule type="aboveAverage" dxfId="2327" priority="37"/>
  </conditionalFormatting>
  <conditionalFormatting sqref="E161 E163 E165 E167 G162 G166 G169 G171">
    <cfRule type="containsBlanks" dxfId="2326" priority="36">
      <formula>LEN(TRIM(E161))=0</formula>
    </cfRule>
  </conditionalFormatting>
  <conditionalFormatting sqref="C140 C142">
    <cfRule type="aboveAverage" dxfId="2325" priority="35"/>
  </conditionalFormatting>
  <conditionalFormatting sqref="E141 E145">
    <cfRule type="aboveAverage" dxfId="2324" priority="34"/>
  </conditionalFormatting>
  <conditionalFormatting sqref="C148 C150">
    <cfRule type="aboveAverage" dxfId="2323" priority="33"/>
  </conditionalFormatting>
  <conditionalFormatting sqref="G143 G151">
    <cfRule type="aboveAverage" dxfId="2322" priority="32"/>
  </conditionalFormatting>
  <conditionalFormatting sqref="C140 C142 C148 C150 E141 G143 E145 G151">
    <cfRule type="containsBlanks" dxfId="2321" priority="31">
      <formula>LEN(TRIM(C140))=0</formula>
    </cfRule>
  </conditionalFormatting>
  <conditionalFormatting sqref="C144 C146">
    <cfRule type="aboveAverage" dxfId="2320" priority="30"/>
  </conditionalFormatting>
  <conditionalFormatting sqref="C144 C146">
    <cfRule type="containsBlanks" dxfId="2319" priority="29">
      <formula>LEN(TRIM(C144))=0</formula>
    </cfRule>
  </conditionalFormatting>
  <conditionalFormatting sqref="C152 C154">
    <cfRule type="aboveAverage" dxfId="2318" priority="28"/>
  </conditionalFormatting>
  <conditionalFormatting sqref="C152 C154">
    <cfRule type="containsBlanks" dxfId="2317" priority="27">
      <formula>LEN(TRIM(C152))=0</formula>
    </cfRule>
  </conditionalFormatting>
  <conditionalFormatting sqref="E141">
    <cfRule type="aboveAverage" dxfId="2316" priority="26"/>
  </conditionalFormatting>
  <conditionalFormatting sqref="E145">
    <cfRule type="aboveAverage" dxfId="2315" priority="25"/>
  </conditionalFormatting>
  <conditionalFormatting sqref="G143">
    <cfRule type="aboveAverage" dxfId="2314" priority="24"/>
  </conditionalFormatting>
  <conditionalFormatting sqref="G143">
    <cfRule type="aboveAverage" dxfId="2313" priority="23"/>
  </conditionalFormatting>
  <conditionalFormatting sqref="G151">
    <cfRule type="aboveAverage" dxfId="2312" priority="22"/>
  </conditionalFormatting>
  <conditionalFormatting sqref="G151">
    <cfRule type="aboveAverage" dxfId="2311" priority="21"/>
  </conditionalFormatting>
  <conditionalFormatting sqref="G155 G157">
    <cfRule type="aboveAverage" dxfId="2310" priority="20"/>
  </conditionalFormatting>
  <conditionalFormatting sqref="G155 G157">
    <cfRule type="containsBlanks" dxfId="2309" priority="19">
      <formula>LEN(TRIM(G155))=0</formula>
    </cfRule>
  </conditionalFormatting>
  <conditionalFormatting sqref="E145">
    <cfRule type="aboveAverage" dxfId="2308" priority="18"/>
  </conditionalFormatting>
  <conditionalFormatting sqref="E149 E153">
    <cfRule type="aboveAverage" dxfId="2307" priority="17"/>
  </conditionalFormatting>
  <conditionalFormatting sqref="E149 E153">
    <cfRule type="containsBlanks" dxfId="2306" priority="16">
      <formula>LEN(TRIM(E149))=0</formula>
    </cfRule>
  </conditionalFormatting>
  <conditionalFormatting sqref="E149">
    <cfRule type="aboveAverage" dxfId="2305" priority="15"/>
  </conditionalFormatting>
  <conditionalFormatting sqref="E153">
    <cfRule type="aboveAverage" dxfId="2304" priority="14"/>
  </conditionalFormatting>
  <conditionalFormatting sqref="E153">
    <cfRule type="aboveAverage" dxfId="2303" priority="13"/>
  </conditionalFormatting>
  <conditionalFormatting sqref="G151">
    <cfRule type="aboveAverage" dxfId="2302" priority="12"/>
  </conditionalFormatting>
  <conditionalFormatting sqref="G151">
    <cfRule type="aboveAverage" dxfId="2301" priority="11"/>
  </conditionalFormatting>
  <conditionalFormatting sqref="B301:B315">
    <cfRule type="containsBlanks" dxfId="2300" priority="259">
      <formula>LEN(TRIM(B301))=0</formula>
    </cfRule>
    <cfRule type="duplicateValues" dxfId="2299" priority="260"/>
  </conditionalFormatting>
  <conditionalFormatting sqref="B300:B315">
    <cfRule type="expression" dxfId="2298" priority="6">
      <formula>A300=3</formula>
    </cfRule>
    <cfRule type="expression" dxfId="2297" priority="7">
      <formula>A300=2</formula>
    </cfRule>
    <cfRule type="expression" dxfId="2296" priority="8">
      <formula>A300=1</formula>
    </cfRule>
    <cfRule type="containsBlanks" dxfId="2295" priority="9">
      <formula>LEN(TRIM(B300))=0</formula>
    </cfRule>
    <cfRule type="duplicateValues" dxfId="2294" priority="10"/>
  </conditionalFormatting>
  <conditionalFormatting sqref="L14">
    <cfRule type="expression" dxfId="2293" priority="4">
      <formula>OR(J14=0,J14=4)</formula>
    </cfRule>
    <cfRule type="expression" dxfId="2292" priority="5">
      <formula>AND(J14=3,IF(COUNTIF(J$7:J$11,"=3")=1,TRUE))</formula>
    </cfRule>
  </conditionalFormatting>
  <conditionalFormatting sqref="H14:H16">
    <cfRule type="expression" dxfId="2291" priority="1">
      <formula>AND(J14=1,IF(COUNTIF(J$7:J$11,"=1")&gt;=2,TRUE))</formula>
    </cfRule>
    <cfRule type="expression" dxfId="2290" priority="2">
      <formula>AND(J14=3,IF(COUNTIF(J$7:J$11,"=3")&gt;=2,TRUE))</formula>
    </cfRule>
    <cfRule type="expression" dxfId="2289" priority="3">
      <formula>AND(J14=2,IF(COUNTIF(J$7:J$11,"=2")&gt;=2,TRUE))</formula>
    </cfRule>
  </conditionalFormatting>
  <conditionalFormatting sqref="T8:T60 X8:X60 Z8:Z60">
    <cfRule type="expression" dxfId="2288" priority="285">
      <formula>AND(S8="",COUNTIF(T8,"*,*")=0)</formula>
    </cfRule>
  </conditionalFormatting>
  <conditionalFormatting sqref="V8:V60">
    <cfRule type="expression" dxfId="2287" priority="286">
      <formula>AND(U8="",FIND(",",V8))</formula>
    </cfRule>
    <cfRule type="expression" dxfId="2286" priority="287">
      <formula>AND(U8="",COUNTIF(V8,"*,*")=0)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3" manualBreakCount="3">
    <brk id="98" max="16383" man="1"/>
    <brk id="136" max="16383" man="1"/>
    <brk id="297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Q317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7.7109375" style="1" hidden="1" customWidth="1"/>
    <col min="35" max="35" width="6" style="1" hidden="1" customWidth="1"/>
    <col min="36" max="36" width="15.7109375" style="1" hidden="1" customWidth="1"/>
    <col min="37" max="37" width="6" style="1" hidden="1" customWidth="1"/>
    <col min="38" max="38" width="18.7109375" style="1" hidden="1" customWidth="1"/>
    <col min="39" max="39" width="0" style="1" hidden="1" customWidth="1"/>
    <col min="40" max="40" width="17.28515625" style="1" hidden="1" customWidth="1"/>
    <col min="41" max="41" width="0" style="1" hidden="1" customWidth="1"/>
    <col min="42" max="42" width="13.85546875" style="1" hidden="1" customWidth="1"/>
    <col min="43" max="16384" width="9.140625" style="1"/>
  </cols>
  <sheetData>
    <row r="1" spans="1:43" x14ac:dyDescent="0.2">
      <c r="A1" s="753" t="str">
        <f>UPPER((Kalend!E30)&amp;" - "&amp;(Kalend!C30)&amp;" - "&amp;(Kalend!D30))</f>
        <v>V11 - VOKA 2. SISE-KV 11.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760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</row>
    <row r="2" spans="1:43" x14ac:dyDescent="0.2">
      <c r="A2" s="757" t="str">
        <f>"Toimumisaeg: "&amp;(Kalend!A30)&amp;" kell "&amp;(Kalend!B30)</f>
        <v>Toimumisaeg: L, 26.01.2019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</row>
    <row r="3" spans="1:43" x14ac:dyDescent="0.2">
      <c r="A3" s="757" t="str">
        <f>"Toimumiskoht: "&amp;(Kalend!F30)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</row>
    <row r="4" spans="1:43" x14ac:dyDescent="0.2">
      <c r="A4" s="757" t="str">
        <f>"Korraldaja: "&amp;(Kalend!G30)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</row>
    <row r="5" spans="1:43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</row>
    <row r="6" spans="1:43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</row>
    <row r="7" spans="1:43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</row>
    <row r="8" spans="1:43" x14ac:dyDescent="0.2">
      <c r="A8" s="897">
        <v>1</v>
      </c>
      <c r="B8" s="940" t="s">
        <v>508</v>
      </c>
      <c r="C8" s="900">
        <v>13</v>
      </c>
      <c r="D8" s="901" t="s">
        <v>450</v>
      </c>
      <c r="E8" s="902">
        <v>6</v>
      </c>
      <c r="F8" s="903" t="str">
        <f>B13</f>
        <v>Tõnu Kapper, Vladimir Ogneštšikov</v>
      </c>
      <c r="G8" s="900">
        <v>13</v>
      </c>
      <c r="H8" s="901" t="s">
        <v>450</v>
      </c>
      <c r="I8" s="902">
        <v>12</v>
      </c>
      <c r="J8" s="903" t="str">
        <f>B14</f>
        <v>Janek Tarto, Kenneth Muusikus</v>
      </c>
      <c r="K8" s="900">
        <v>9</v>
      </c>
      <c r="L8" s="901" t="s">
        <v>450</v>
      </c>
      <c r="M8" s="902">
        <v>13</v>
      </c>
      <c r="N8" s="903" t="str">
        <f>B15</f>
        <v>Karoliina Sild, Tõnis Neiland</v>
      </c>
      <c r="O8" s="900">
        <v>13</v>
      </c>
      <c r="P8" s="901" t="s">
        <v>450</v>
      </c>
      <c r="Q8" s="902">
        <v>9</v>
      </c>
      <c r="R8" s="903" t="str">
        <f>B11</f>
        <v>Henri Mitt, Matti Vinni</v>
      </c>
      <c r="S8" s="900">
        <v>13</v>
      </c>
      <c r="T8" s="901" t="s">
        <v>450</v>
      </c>
      <c r="U8" s="902">
        <v>1</v>
      </c>
      <c r="V8" s="903" t="str">
        <f>B9</f>
        <v>Elmo Lageda, Tõnu Piik</v>
      </c>
      <c r="W8" s="900"/>
      <c r="X8" s="901" t="s">
        <v>450</v>
      </c>
      <c r="Y8" s="902"/>
      <c r="Z8" s="903"/>
      <c r="AA8" s="904">
        <f t="shared" ref="AA8:AA20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4</v>
      </c>
      <c r="AB8" s="905"/>
      <c r="AC8" s="900">
        <f t="shared" ref="AC8:AC20" si="1">C8+G8+K8+O8+S8+W8</f>
        <v>61</v>
      </c>
      <c r="AD8" s="901" t="s">
        <v>450</v>
      </c>
      <c r="AE8" s="906">
        <f t="shared" ref="AE8:AE20" si="2">E8+I8+M8+Q8+U8+Y8</f>
        <v>41</v>
      </c>
      <c r="AF8" s="907">
        <f t="shared" ref="AF8:AF20" si="3">AC8-AE8</f>
        <v>20</v>
      </c>
      <c r="AG8" s="908"/>
      <c r="AH8" s="764">
        <f t="shared" ref="AH8:AH20" si="4">SUM(AI8:AP8)</f>
        <v>146.5</v>
      </c>
      <c r="AI8" s="784">
        <f>IFERROR(INDEX(V!$R:$R,MATCH(AJ8,V!$L:$L,0)),"")</f>
        <v>40</v>
      </c>
      <c r="AJ8" s="783" t="str">
        <f>IFERROR(LEFT(B8,(FIND(",",B8,1)-1)),"")</f>
        <v>Peep Peenema</v>
      </c>
      <c r="AK8" s="784">
        <f>IFERROR(INDEX(V!$R:$R,MATCH(AL8,V!$L:$L,0)),"")</f>
        <v>106.5</v>
      </c>
      <c r="AL8" s="783" t="str">
        <f>IFERROR(MID(B8,FIND(", ",B8)+2,256),"")</f>
        <v>Ülo Piik</v>
      </c>
      <c r="AM8" s="784" t="str">
        <f>IFERROR(INDEX(V!$R:$R,MATCH(AN8,V!$L:$L,0)),"")</f>
        <v/>
      </c>
      <c r="AN8" s="785" t="str">
        <f>IFERROR(MID(B8,FIND("^",SUBSTITUTE(B8,", ","^",1))+2,FIND("^",SUBSTITUTE(B8,", ","^",2))-FIND("^",SUBSTITUTE(B8,", ","^",1))-2),"")</f>
        <v/>
      </c>
      <c r="AO8" s="784" t="str">
        <f>IFERROR(INDEX(V!$R:$R,MATCH(AP8,V!$L:$L,0)),"")</f>
        <v/>
      </c>
      <c r="AP8" s="785" t="str">
        <f>IFERROR(MID(B8,FIND(", ",B8,FIND(", ",B8,FIND(", ",B8))+1)+2,700),"")</f>
        <v/>
      </c>
      <c r="AQ8" s="760"/>
    </row>
    <row r="9" spans="1:43" x14ac:dyDescent="0.2">
      <c r="A9" s="897">
        <v>2</v>
      </c>
      <c r="B9" s="940" t="s">
        <v>370</v>
      </c>
      <c r="C9" s="900">
        <v>13</v>
      </c>
      <c r="D9" s="901" t="s">
        <v>450</v>
      </c>
      <c r="E9" s="902">
        <v>8</v>
      </c>
      <c r="F9" s="903" t="str">
        <f>B15</f>
        <v>Karoliina Sild, Tõnis Neiland</v>
      </c>
      <c r="G9" s="900">
        <v>13</v>
      </c>
      <c r="H9" s="901" t="s">
        <v>450</v>
      </c>
      <c r="I9" s="902">
        <v>2</v>
      </c>
      <c r="J9" s="953" t="str">
        <f>B17</f>
        <v>Illar Tõnurist, Klavdia Piik</v>
      </c>
      <c r="K9" s="900">
        <v>13</v>
      </c>
      <c r="L9" s="901" t="s">
        <v>450</v>
      </c>
      <c r="M9" s="902">
        <v>12</v>
      </c>
      <c r="N9" s="903" t="str">
        <f>B10</f>
        <v>Jaan Sepp, Oskar Sepp</v>
      </c>
      <c r="O9" s="900">
        <v>13</v>
      </c>
      <c r="P9" s="901" t="s">
        <v>450</v>
      </c>
      <c r="Q9" s="902">
        <v>4</v>
      </c>
      <c r="R9" s="903" t="str">
        <f>B19</f>
        <v>Aigi Orro, Andres Veski</v>
      </c>
      <c r="S9" s="900">
        <v>1</v>
      </c>
      <c r="T9" s="901" t="s">
        <v>450</v>
      </c>
      <c r="U9" s="902">
        <v>13</v>
      </c>
      <c r="V9" s="903" t="str">
        <f>B8</f>
        <v>Peep Peenema, Ülo Piik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53</v>
      </c>
      <c r="AD9" s="901" t="s">
        <v>450</v>
      </c>
      <c r="AE9" s="906">
        <f t="shared" si="2"/>
        <v>39</v>
      </c>
      <c r="AF9" s="907">
        <f t="shared" si="3"/>
        <v>14</v>
      </c>
      <c r="AG9" s="908"/>
      <c r="AH9" s="764">
        <f t="shared" si="4"/>
        <v>240</v>
      </c>
      <c r="AI9" s="784">
        <f>IFERROR(INDEX(V!$R:$R,MATCH(AJ9,V!$L:$L,0)),"")</f>
        <v>117</v>
      </c>
      <c r="AJ9" s="783" t="str">
        <f t="shared" ref="AJ9:AJ20" si="5">IFERROR(LEFT(B9,(FIND(",",B9,1)-1)),"")</f>
        <v>Elmo Lageda</v>
      </c>
      <c r="AK9" s="784">
        <f>IFERROR(INDEX(V!$R:$R,MATCH(AL9,V!$L:$L,0)),"")</f>
        <v>123</v>
      </c>
      <c r="AL9" s="783" t="str">
        <f t="shared" ref="AL9:AL20" si="6">IFERROR(MID(B9,FIND(", ",B9)+2,256),"")</f>
        <v>Tõnu Piik</v>
      </c>
      <c r="AM9" s="784" t="str">
        <f>IFERROR(INDEX(V!$R:$R,MATCH(AN9,V!$L:$L,0)),"")</f>
        <v/>
      </c>
      <c r="AN9" s="785" t="str">
        <f t="shared" ref="AN9:AN20" si="7">IFERROR(MID(B9,FIND("^",SUBSTITUTE(B9,", ","^",1))+2,FIND("^",SUBSTITUTE(B9,", ","^",2))-FIND("^",SUBSTITUTE(B9,", ","^",1))-2),"")</f>
        <v/>
      </c>
      <c r="AO9" s="784" t="str">
        <f>IFERROR(INDEX(V!$R:$R,MATCH(AP9,V!$L:$L,0)),"")</f>
        <v/>
      </c>
      <c r="AP9" s="785" t="str">
        <f t="shared" ref="AP9:AP20" si="8">IFERROR(MID(B9,FIND(", ",B9,FIND(", ",B9,FIND(", ",B9))+1)+2,700),"")</f>
        <v/>
      </c>
      <c r="AQ9" s="760"/>
    </row>
    <row r="10" spans="1:43" x14ac:dyDescent="0.2">
      <c r="A10" s="897">
        <v>3</v>
      </c>
      <c r="B10" s="940" t="s">
        <v>368</v>
      </c>
      <c r="C10" s="900">
        <v>13</v>
      </c>
      <c r="D10" s="901" t="s">
        <v>450</v>
      </c>
      <c r="E10" s="902">
        <v>2</v>
      </c>
      <c r="F10" s="903" t="str">
        <f>B20</f>
        <v>Ksenija Matšneva, Veroonika Mendes</v>
      </c>
      <c r="G10" s="900">
        <v>13</v>
      </c>
      <c r="H10" s="901" t="s">
        <v>450</v>
      </c>
      <c r="I10" s="902">
        <v>9</v>
      </c>
      <c r="J10" s="903" t="str">
        <f>B11</f>
        <v>Henri Mitt, Matti Vinni</v>
      </c>
      <c r="K10" s="900">
        <v>12</v>
      </c>
      <c r="L10" s="901" t="s">
        <v>450</v>
      </c>
      <c r="M10" s="902">
        <v>13</v>
      </c>
      <c r="N10" s="903" t="str">
        <f>B9</f>
        <v>Elmo Lageda, Tõnu Piik</v>
      </c>
      <c r="O10" s="900">
        <v>13</v>
      </c>
      <c r="P10" s="901" t="s">
        <v>450</v>
      </c>
      <c r="Q10" s="902">
        <v>12</v>
      </c>
      <c r="R10" s="903" t="str">
        <f>B15</f>
        <v>Karoliina Sild, Tõnis Neiland</v>
      </c>
      <c r="S10" s="900">
        <v>13</v>
      </c>
      <c r="T10" s="901" t="s">
        <v>450</v>
      </c>
      <c r="U10" s="902">
        <v>5</v>
      </c>
      <c r="V10" s="903" t="str">
        <f>B18</f>
        <v>Enn Tokman, Tarmo Bombe</v>
      </c>
      <c r="W10" s="900"/>
      <c r="X10" s="901" t="s">
        <v>450</v>
      </c>
      <c r="Y10" s="902"/>
      <c r="Z10" s="903"/>
      <c r="AA10" s="904">
        <f t="shared" si="0"/>
        <v>4</v>
      </c>
      <c r="AB10" s="905"/>
      <c r="AC10" s="900">
        <f t="shared" si="1"/>
        <v>64</v>
      </c>
      <c r="AD10" s="901" t="s">
        <v>450</v>
      </c>
      <c r="AE10" s="906">
        <f t="shared" si="2"/>
        <v>41</v>
      </c>
      <c r="AF10" s="907">
        <f t="shared" si="3"/>
        <v>23</v>
      </c>
      <c r="AG10" s="908"/>
      <c r="AH10" s="764">
        <f t="shared" si="4"/>
        <v>317</v>
      </c>
      <c r="AI10" s="784">
        <f>IFERROR(INDEX(V!$R:$R,MATCH(AJ10,V!$L:$L,0)),"")</f>
        <v>159</v>
      </c>
      <c r="AJ10" s="783" t="str">
        <f t="shared" si="5"/>
        <v>Jaan Sepp</v>
      </c>
      <c r="AK10" s="784">
        <f>IFERROR(INDEX(V!$R:$R,MATCH(AL10,V!$L:$L,0)),"")</f>
        <v>158</v>
      </c>
      <c r="AL10" s="783" t="str">
        <f t="shared" si="6"/>
        <v>Oskar Sepp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</row>
    <row r="11" spans="1:43" x14ac:dyDescent="0.2">
      <c r="A11" s="897">
        <v>4</v>
      </c>
      <c r="B11" s="940" t="s">
        <v>509</v>
      </c>
      <c r="C11" s="900">
        <v>13</v>
      </c>
      <c r="D11" s="901" t="s">
        <v>450</v>
      </c>
      <c r="E11" s="902">
        <v>5</v>
      </c>
      <c r="F11" s="903" t="str">
        <f>B18</f>
        <v>Enn Tokman, Tarmo Bombe</v>
      </c>
      <c r="G11" s="900">
        <v>9</v>
      </c>
      <c r="H11" s="901" t="s">
        <v>450</v>
      </c>
      <c r="I11" s="902">
        <v>13</v>
      </c>
      <c r="J11" s="903" t="str">
        <f>B10</f>
        <v>Jaan Sepp, Oskar Sepp</v>
      </c>
      <c r="K11" s="900">
        <v>13</v>
      </c>
      <c r="L11" s="901" t="s">
        <v>450</v>
      </c>
      <c r="M11" s="902">
        <v>11</v>
      </c>
      <c r="N11" s="903" t="str">
        <f>B14</f>
        <v>Janek Tarto, Kenneth Muusikus</v>
      </c>
      <c r="O11" s="900">
        <v>9</v>
      </c>
      <c r="P11" s="901" t="s">
        <v>450</v>
      </c>
      <c r="Q11" s="902">
        <v>13</v>
      </c>
      <c r="R11" s="903" t="str">
        <f>B8</f>
        <v>Peep Peenema, Ülo Piik</v>
      </c>
      <c r="S11" s="900">
        <v>13</v>
      </c>
      <c r="T11" s="901" t="s">
        <v>450</v>
      </c>
      <c r="U11" s="902">
        <v>5</v>
      </c>
      <c r="V11" s="903" t="str">
        <f>B19</f>
        <v>Aigi Orro, Andres Veski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00">
        <f t="shared" si="1"/>
        <v>57</v>
      </c>
      <c r="AD11" s="901" t="s">
        <v>450</v>
      </c>
      <c r="AE11" s="906">
        <f t="shared" si="2"/>
        <v>47</v>
      </c>
      <c r="AF11" s="907">
        <f t="shared" si="3"/>
        <v>10</v>
      </c>
      <c r="AG11" s="908"/>
      <c r="AH11" s="764">
        <f t="shared" si="4"/>
        <v>171</v>
      </c>
      <c r="AI11" s="784">
        <f>IFERROR(INDEX(V!$R:$R,MATCH(AJ11,V!$L:$L,0)),"")</f>
        <v>61</v>
      </c>
      <c r="AJ11" s="783" t="str">
        <f t="shared" si="5"/>
        <v>Henri Mitt</v>
      </c>
      <c r="AK11" s="784">
        <f>IFERROR(INDEX(V!$R:$R,MATCH(AL11,V!$L:$L,0)),"")</f>
        <v>110</v>
      </c>
      <c r="AL11" s="783" t="str">
        <f t="shared" si="6"/>
        <v>Matti Vinni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</row>
    <row r="12" spans="1:43" x14ac:dyDescent="0.2">
      <c r="A12" s="897">
        <v>5</v>
      </c>
      <c r="B12" s="940" t="s">
        <v>460</v>
      </c>
      <c r="C12" s="900">
        <v>13</v>
      </c>
      <c r="D12" s="901" t="s">
        <v>450</v>
      </c>
      <c r="E12" s="902">
        <v>11</v>
      </c>
      <c r="F12" s="903" t="str">
        <f>B16</f>
        <v>Karla Purgats, Lemmit Toomra</v>
      </c>
      <c r="G12" s="900">
        <v>6</v>
      </c>
      <c r="H12" s="901" t="s">
        <v>450</v>
      </c>
      <c r="I12" s="902">
        <v>13</v>
      </c>
      <c r="J12" s="903" t="str">
        <f>B19</f>
        <v>Aigi Orro, Andres Veski</v>
      </c>
      <c r="K12" s="900">
        <v>13</v>
      </c>
      <c r="L12" s="901" t="s">
        <v>450</v>
      </c>
      <c r="M12" s="902">
        <v>6</v>
      </c>
      <c r="N12" s="903" t="str">
        <f>B17</f>
        <v>Illar Tõnurist, Klavdia Piik</v>
      </c>
      <c r="O12" s="900">
        <v>8</v>
      </c>
      <c r="P12" s="901" t="s">
        <v>450</v>
      </c>
      <c r="Q12" s="902">
        <v>13</v>
      </c>
      <c r="R12" s="903" t="str">
        <f>B18</f>
        <v>Enn Tokman, Tarmo Bombe</v>
      </c>
      <c r="S12" s="900">
        <v>13</v>
      </c>
      <c r="T12" s="901" t="s">
        <v>450</v>
      </c>
      <c r="U12" s="902">
        <v>2</v>
      </c>
      <c r="V12" s="903" t="str">
        <f>B20</f>
        <v>Ksenija Matšneva, Veroonika Mendes</v>
      </c>
      <c r="W12" s="900"/>
      <c r="X12" s="901" t="s">
        <v>450</v>
      </c>
      <c r="Y12" s="902"/>
      <c r="Z12" s="903"/>
      <c r="AA12" s="910">
        <f t="shared" si="0"/>
        <v>3</v>
      </c>
      <c r="AB12" s="905"/>
      <c r="AC12" s="900">
        <f t="shared" si="1"/>
        <v>53</v>
      </c>
      <c r="AD12" s="901" t="s">
        <v>450</v>
      </c>
      <c r="AE12" s="906">
        <f t="shared" si="2"/>
        <v>45</v>
      </c>
      <c r="AF12" s="907">
        <f t="shared" si="3"/>
        <v>8</v>
      </c>
      <c r="AG12" s="908"/>
      <c r="AH12" s="764">
        <f t="shared" si="4"/>
        <v>93</v>
      </c>
      <c r="AI12" s="784">
        <f>IFERROR(INDEX(V!$R:$R,MATCH(AJ12,V!$L:$L,0)),"")</f>
        <v>46.5</v>
      </c>
      <c r="AJ12" s="783" t="str">
        <f t="shared" si="5"/>
        <v>Ljudmila Varendi</v>
      </c>
      <c r="AK12" s="784">
        <f>IFERROR(INDEX(V!$R:$R,MATCH(AL12,V!$L:$L,0)),"")</f>
        <v>46.5</v>
      </c>
      <c r="AL12" s="783" t="str">
        <f t="shared" si="6"/>
        <v>Viktor Švarõgin</v>
      </c>
      <c r="AM12" s="784" t="str">
        <f>IFERROR(INDEX(V!$R:$R,MATCH(AN12,V!$L:$L,0)),"")</f>
        <v/>
      </c>
      <c r="AN12" s="785" t="str">
        <f t="shared" si="7"/>
        <v/>
      </c>
      <c r="AO12" s="784" t="str">
        <f>IFERROR(INDEX(V!$R:$R,MATCH(AP12,V!$L:$L,0)),"")</f>
        <v/>
      </c>
      <c r="AP12" s="785" t="str">
        <f t="shared" si="8"/>
        <v/>
      </c>
      <c r="AQ12" s="760"/>
    </row>
    <row r="13" spans="1:43" x14ac:dyDescent="0.2">
      <c r="A13" s="897">
        <v>5</v>
      </c>
      <c r="B13" s="940" t="s">
        <v>396</v>
      </c>
      <c r="C13" s="900">
        <v>6</v>
      </c>
      <c r="D13" s="901" t="s">
        <v>450</v>
      </c>
      <c r="E13" s="902">
        <v>13</v>
      </c>
      <c r="F13" s="903" t="str">
        <f>B8</f>
        <v>Peep Peenema, Ülo Piik</v>
      </c>
      <c r="G13" s="900">
        <v>13</v>
      </c>
      <c r="H13" s="901" t="s">
        <v>450</v>
      </c>
      <c r="I13" s="902">
        <v>10</v>
      </c>
      <c r="J13" s="903" t="str">
        <f>B18</f>
        <v>Enn Tokman, Tarmo Bombe</v>
      </c>
      <c r="K13" s="900">
        <v>5</v>
      </c>
      <c r="L13" s="901" t="s">
        <v>450</v>
      </c>
      <c r="M13" s="902">
        <v>13</v>
      </c>
      <c r="N13" s="903" t="str">
        <f>B19</f>
        <v>Aigi Orro, Andres Veski</v>
      </c>
      <c r="O13" s="900">
        <v>13</v>
      </c>
      <c r="P13" s="901" t="s">
        <v>450</v>
      </c>
      <c r="Q13" s="902">
        <v>5</v>
      </c>
      <c r="R13" s="903" t="str">
        <f>B20</f>
        <v>Ksenija Matšneva, Veroonika Mendes</v>
      </c>
      <c r="S13" s="900">
        <v>13</v>
      </c>
      <c r="T13" s="901" t="s">
        <v>450</v>
      </c>
      <c r="U13" s="902">
        <v>7</v>
      </c>
      <c r="V13" s="903" t="s">
        <v>472</v>
      </c>
      <c r="W13" s="900"/>
      <c r="X13" s="901" t="s">
        <v>450</v>
      </c>
      <c r="Y13" s="902"/>
      <c r="Z13" s="903"/>
      <c r="AA13" s="910">
        <f t="shared" si="0"/>
        <v>3</v>
      </c>
      <c r="AB13" s="905"/>
      <c r="AC13" s="900">
        <f t="shared" si="1"/>
        <v>50</v>
      </c>
      <c r="AD13" s="901" t="s">
        <v>450</v>
      </c>
      <c r="AE13" s="906">
        <f t="shared" si="2"/>
        <v>48</v>
      </c>
      <c r="AF13" s="907">
        <f t="shared" si="3"/>
        <v>2</v>
      </c>
      <c r="AG13" s="908"/>
      <c r="AH13" s="764">
        <f t="shared" si="4"/>
        <v>164.5</v>
      </c>
      <c r="AI13" s="784">
        <f>IFERROR(INDEX(V!$R:$R,MATCH(AJ13,V!$L:$L,0)),"")</f>
        <v>57</v>
      </c>
      <c r="AJ13" s="783" t="str">
        <f t="shared" si="5"/>
        <v>Tõnu Kapper</v>
      </c>
      <c r="AK13" s="784">
        <f>IFERROR(INDEX(V!$R:$R,MATCH(AL13,V!$L:$L,0)),"")</f>
        <v>107.5</v>
      </c>
      <c r="AL13" s="783" t="str">
        <f t="shared" si="6"/>
        <v>Vladimir Ogneštšikov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</row>
    <row r="14" spans="1:43" x14ac:dyDescent="0.2">
      <c r="A14" s="897">
        <v>7</v>
      </c>
      <c r="B14" s="941" t="s">
        <v>510</v>
      </c>
      <c r="C14" s="900">
        <v>13</v>
      </c>
      <c r="D14" s="901" t="s">
        <v>450</v>
      </c>
      <c r="E14" s="902">
        <v>7</v>
      </c>
      <c r="F14" s="903" t="s">
        <v>472</v>
      </c>
      <c r="G14" s="900">
        <v>12</v>
      </c>
      <c r="H14" s="901" t="s">
        <v>450</v>
      </c>
      <c r="I14" s="902">
        <v>13</v>
      </c>
      <c r="J14" s="903" t="str">
        <f>B8</f>
        <v>Peep Peenema, Ülo Piik</v>
      </c>
      <c r="K14" s="900">
        <v>11</v>
      </c>
      <c r="L14" s="901" t="s">
        <v>450</v>
      </c>
      <c r="M14" s="902">
        <v>13</v>
      </c>
      <c r="N14" s="903" t="str">
        <f>B11</f>
        <v>Henri Mitt, Matti Vinni</v>
      </c>
      <c r="O14" s="900">
        <v>13</v>
      </c>
      <c r="P14" s="901" t="s">
        <v>450</v>
      </c>
      <c r="Q14" s="902">
        <v>10</v>
      </c>
      <c r="R14" s="903" t="str">
        <f>B16</f>
        <v>Karla Purgats, Lemmit Toomra</v>
      </c>
      <c r="S14" s="900">
        <v>13</v>
      </c>
      <c r="T14" s="901" t="s">
        <v>450</v>
      </c>
      <c r="U14" s="902">
        <v>11</v>
      </c>
      <c r="V14" s="903" t="str">
        <f>B15</f>
        <v>Karoliina Sild, Tõnis Neiland</v>
      </c>
      <c r="W14" s="900"/>
      <c r="X14" s="901" t="s">
        <v>450</v>
      </c>
      <c r="Y14" s="902"/>
      <c r="Z14" s="903"/>
      <c r="AA14" s="910">
        <f t="shared" si="0"/>
        <v>3</v>
      </c>
      <c r="AB14" s="905"/>
      <c r="AC14" s="900">
        <f t="shared" si="1"/>
        <v>62</v>
      </c>
      <c r="AD14" s="901" t="s">
        <v>450</v>
      </c>
      <c r="AE14" s="906">
        <f t="shared" si="2"/>
        <v>54</v>
      </c>
      <c r="AF14" s="907">
        <f t="shared" si="3"/>
        <v>8</v>
      </c>
      <c r="AG14" s="908"/>
      <c r="AH14" s="764">
        <f t="shared" si="4"/>
        <v>182</v>
      </c>
      <c r="AI14" s="784">
        <f>IFERROR(INDEX(V!$R:$R,MATCH(AJ14,V!$L:$L,0)),"")</f>
        <v>51</v>
      </c>
      <c r="AJ14" s="783" t="str">
        <f t="shared" si="5"/>
        <v>Janek Tarto</v>
      </c>
      <c r="AK14" s="784">
        <f>IFERROR(INDEX(V!$R:$R,MATCH(AL14,V!$L:$L,0)),"")</f>
        <v>131</v>
      </c>
      <c r="AL14" s="783" t="str">
        <f t="shared" si="6"/>
        <v>Kenneth Muusikus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</row>
    <row r="15" spans="1:43" x14ac:dyDescent="0.2">
      <c r="A15" s="897">
        <v>8</v>
      </c>
      <c r="B15" s="941" t="s">
        <v>511</v>
      </c>
      <c r="C15" s="900">
        <v>8</v>
      </c>
      <c r="D15" s="901" t="s">
        <v>450</v>
      </c>
      <c r="E15" s="902">
        <v>13</v>
      </c>
      <c r="F15" s="903" t="str">
        <f>B9</f>
        <v>Elmo Lageda, Tõnu Piik</v>
      </c>
      <c r="G15" s="900">
        <v>13</v>
      </c>
      <c r="H15" s="901" t="s">
        <v>450</v>
      </c>
      <c r="I15" s="902">
        <v>3</v>
      </c>
      <c r="J15" s="903" t="str">
        <f>B16</f>
        <v>Karla Purgats, Lemmit Toomra</v>
      </c>
      <c r="K15" s="900">
        <v>13</v>
      </c>
      <c r="L15" s="901" t="s">
        <v>450</v>
      </c>
      <c r="M15" s="902">
        <v>9</v>
      </c>
      <c r="N15" s="903" t="str">
        <f>B8</f>
        <v>Peep Peenema, Ülo Piik</v>
      </c>
      <c r="O15" s="900">
        <v>12</v>
      </c>
      <c r="P15" s="901" t="s">
        <v>450</v>
      </c>
      <c r="Q15" s="902">
        <v>13</v>
      </c>
      <c r="R15" s="903" t="str">
        <f>B10</f>
        <v>Jaan Sepp, Oskar Sepp</v>
      </c>
      <c r="S15" s="900">
        <v>11</v>
      </c>
      <c r="T15" s="901" t="s">
        <v>450</v>
      </c>
      <c r="U15" s="902">
        <v>13</v>
      </c>
      <c r="V15" s="903" t="str">
        <f>B14</f>
        <v>Janek Tarto, Kenneth Muusikus</v>
      </c>
      <c r="W15" s="900"/>
      <c r="X15" s="901" t="s">
        <v>450</v>
      </c>
      <c r="Y15" s="902"/>
      <c r="Z15" s="903"/>
      <c r="AA15" s="904">
        <f t="shared" si="0"/>
        <v>2</v>
      </c>
      <c r="AB15" s="905"/>
      <c r="AC15" s="900">
        <f t="shared" si="1"/>
        <v>57</v>
      </c>
      <c r="AD15" s="901" t="s">
        <v>450</v>
      </c>
      <c r="AE15" s="906">
        <f t="shared" si="2"/>
        <v>51</v>
      </c>
      <c r="AF15" s="907">
        <f t="shared" si="3"/>
        <v>6</v>
      </c>
      <c r="AG15" s="908"/>
      <c r="AH15" s="764">
        <f t="shared" si="4"/>
        <v>61</v>
      </c>
      <c r="AI15" s="784">
        <f>IFERROR(INDEX(V!$R:$R,MATCH(AJ15,V!$L:$L,0)),"")</f>
        <v>23</v>
      </c>
      <c r="AJ15" s="783" t="str">
        <f t="shared" si="5"/>
        <v>Karoliina Sild</v>
      </c>
      <c r="AK15" s="784">
        <f>IFERROR(INDEX(V!$R:$R,MATCH(AL15,V!$L:$L,0)),"")</f>
        <v>38</v>
      </c>
      <c r="AL15" s="783" t="str">
        <f t="shared" si="6"/>
        <v>Tõnis Neiland</v>
      </c>
      <c r="AM15" s="784" t="str">
        <f>IFERROR(INDEX(V!$R:$R,MATCH(AN15,V!$L:$L,0)),"")</f>
        <v/>
      </c>
      <c r="AN15" s="785" t="str">
        <f t="shared" si="7"/>
        <v/>
      </c>
      <c r="AO15" s="784" t="str">
        <f>IFERROR(INDEX(V!$R:$R,MATCH(AP15,V!$L:$L,0)),"")</f>
        <v/>
      </c>
      <c r="AP15" s="785" t="str">
        <f t="shared" si="8"/>
        <v/>
      </c>
      <c r="AQ15" s="760"/>
    </row>
    <row r="16" spans="1:43" x14ac:dyDescent="0.2">
      <c r="A16" s="897">
        <v>9</v>
      </c>
      <c r="B16" s="940" t="s">
        <v>399</v>
      </c>
      <c r="C16" s="900">
        <v>11</v>
      </c>
      <c r="D16" s="901" t="s">
        <v>450</v>
      </c>
      <c r="E16" s="902">
        <v>13</v>
      </c>
      <c r="F16" s="903" t="str">
        <f>B12</f>
        <v>Ljudmila Varendi, Viktor Švarõgin</v>
      </c>
      <c r="G16" s="900">
        <v>3</v>
      </c>
      <c r="H16" s="901" t="s">
        <v>450</v>
      </c>
      <c r="I16" s="902">
        <v>13</v>
      </c>
      <c r="J16" s="903" t="str">
        <f>B15</f>
        <v>Karoliina Sild, Tõnis Neiland</v>
      </c>
      <c r="K16" s="900">
        <v>13</v>
      </c>
      <c r="L16" s="901" t="s">
        <v>450</v>
      </c>
      <c r="M16" s="902">
        <v>7</v>
      </c>
      <c r="N16" s="903" t="s">
        <v>472</v>
      </c>
      <c r="O16" s="900">
        <v>10</v>
      </c>
      <c r="P16" s="901" t="s">
        <v>450</v>
      </c>
      <c r="Q16" s="902">
        <v>13</v>
      </c>
      <c r="R16" s="903" t="str">
        <f>B14</f>
        <v>Janek Tarto, Kenneth Muusikus</v>
      </c>
      <c r="S16" s="900">
        <v>13</v>
      </c>
      <c r="T16" s="901" t="s">
        <v>450</v>
      </c>
      <c r="U16" s="902">
        <v>10</v>
      </c>
      <c r="V16" s="903" t="str">
        <f>B17</f>
        <v>Illar Tõnurist, Klavdia Piik</v>
      </c>
      <c r="W16" s="900"/>
      <c r="X16" s="901" t="s">
        <v>450</v>
      </c>
      <c r="Y16" s="902"/>
      <c r="Z16" s="903"/>
      <c r="AA16" s="904">
        <f t="shared" si="0"/>
        <v>2</v>
      </c>
      <c r="AB16" s="905"/>
      <c r="AC16" s="900">
        <f t="shared" si="1"/>
        <v>50</v>
      </c>
      <c r="AD16" s="901" t="s">
        <v>450</v>
      </c>
      <c r="AE16" s="906">
        <f t="shared" si="2"/>
        <v>56</v>
      </c>
      <c r="AF16" s="907">
        <f t="shared" si="3"/>
        <v>-6</v>
      </c>
      <c r="AG16" s="908"/>
      <c r="AH16" s="764">
        <f t="shared" si="4"/>
        <v>200</v>
      </c>
      <c r="AI16" s="784">
        <f>IFERROR(INDEX(V!$R:$R,MATCH(AJ16,V!$L:$L,0)),"")</f>
        <v>123.5</v>
      </c>
      <c r="AJ16" s="783" t="str">
        <f t="shared" si="5"/>
        <v>Karla Purgats</v>
      </c>
      <c r="AK16" s="784">
        <f>IFERROR(INDEX(V!$R:$R,MATCH(AL16,V!$L:$L,0)),"")</f>
        <v>76.5</v>
      </c>
      <c r="AL16" s="783" t="str">
        <f t="shared" si="6"/>
        <v>Lemmit Toomra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</row>
    <row r="17" spans="1:43" x14ac:dyDescent="0.2">
      <c r="A17" s="897">
        <v>10</v>
      </c>
      <c r="B17" s="940" t="s">
        <v>512</v>
      </c>
      <c r="C17" s="900">
        <v>13</v>
      </c>
      <c r="D17" s="901" t="s">
        <v>450</v>
      </c>
      <c r="E17" s="902">
        <v>10</v>
      </c>
      <c r="F17" s="903" t="str">
        <f>B19</f>
        <v>Aigi Orro, Andres Veski</v>
      </c>
      <c r="G17" s="900">
        <v>2</v>
      </c>
      <c r="H17" s="901" t="s">
        <v>450</v>
      </c>
      <c r="I17" s="902">
        <v>13</v>
      </c>
      <c r="J17" s="903" t="str">
        <f>B9</f>
        <v>Elmo Lageda, Tõnu Piik</v>
      </c>
      <c r="K17" s="900">
        <v>6</v>
      </c>
      <c r="L17" s="901" t="s">
        <v>450</v>
      </c>
      <c r="M17" s="902">
        <v>13</v>
      </c>
      <c r="N17" s="903" t="str">
        <f>B12</f>
        <v>Ljudmila Varendi, Viktor Švarõgin</v>
      </c>
      <c r="O17" s="900">
        <v>13</v>
      </c>
      <c r="P17" s="901" t="s">
        <v>450</v>
      </c>
      <c r="Q17" s="902">
        <v>7</v>
      </c>
      <c r="R17" s="903" t="s">
        <v>472</v>
      </c>
      <c r="S17" s="900">
        <v>10</v>
      </c>
      <c r="T17" s="901" t="s">
        <v>450</v>
      </c>
      <c r="U17" s="902">
        <v>13</v>
      </c>
      <c r="V17" s="903" t="str">
        <f>B16</f>
        <v>Karla Purgats, Lemmit Toomra</v>
      </c>
      <c r="W17" s="900"/>
      <c r="X17" s="901" t="s">
        <v>450</v>
      </c>
      <c r="Y17" s="902"/>
      <c r="Z17" s="903"/>
      <c r="AA17" s="904">
        <f t="shared" si="0"/>
        <v>2</v>
      </c>
      <c r="AB17" s="905"/>
      <c r="AC17" s="900">
        <f t="shared" si="1"/>
        <v>44</v>
      </c>
      <c r="AD17" s="901" t="s">
        <v>450</v>
      </c>
      <c r="AE17" s="906">
        <f t="shared" si="2"/>
        <v>56</v>
      </c>
      <c r="AF17" s="907">
        <f t="shared" si="3"/>
        <v>-12</v>
      </c>
      <c r="AG17" s="908"/>
      <c r="AH17" s="764">
        <f t="shared" si="4"/>
        <v>196</v>
      </c>
      <c r="AI17" s="784">
        <f>IFERROR(INDEX(V!$R:$R,MATCH(AJ17,V!$L:$L,0)),"")</f>
        <v>98.5</v>
      </c>
      <c r="AJ17" s="783" t="str">
        <f t="shared" si="5"/>
        <v>Illar Tõnurist</v>
      </c>
      <c r="AK17" s="784">
        <f>IFERROR(INDEX(V!$R:$R,MATCH(AL17,V!$L:$L,0)),"")</f>
        <v>97.5</v>
      </c>
      <c r="AL17" s="783" t="str">
        <f t="shared" si="6"/>
        <v>Klavdia Piik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</row>
    <row r="18" spans="1:43" x14ac:dyDescent="0.2">
      <c r="A18" s="897">
        <v>11</v>
      </c>
      <c r="B18" s="941" t="s">
        <v>369</v>
      </c>
      <c r="C18" s="900">
        <v>5</v>
      </c>
      <c r="D18" s="901" t="s">
        <v>450</v>
      </c>
      <c r="E18" s="902">
        <v>13</v>
      </c>
      <c r="F18" s="903" t="str">
        <f>B11</f>
        <v>Henri Mitt, Matti Vinni</v>
      </c>
      <c r="G18" s="900">
        <v>10</v>
      </c>
      <c r="H18" s="901" t="s">
        <v>450</v>
      </c>
      <c r="I18" s="902">
        <v>13</v>
      </c>
      <c r="J18" s="903" t="str">
        <f>B13</f>
        <v>Tõnu Kapper, Vladimir Ogneštšikov</v>
      </c>
      <c r="K18" s="900">
        <v>13</v>
      </c>
      <c r="L18" s="901" t="s">
        <v>450</v>
      </c>
      <c r="M18" s="902">
        <v>1</v>
      </c>
      <c r="N18" s="903" t="str">
        <f>B20</f>
        <v>Ksenija Matšneva, Veroonika Mendes</v>
      </c>
      <c r="O18" s="900">
        <v>13</v>
      </c>
      <c r="P18" s="901" t="s">
        <v>450</v>
      </c>
      <c r="Q18" s="902">
        <v>8</v>
      </c>
      <c r="R18" s="903" t="str">
        <f>B12</f>
        <v>Ljudmila Varendi, Viktor Švarõgin</v>
      </c>
      <c r="S18" s="900">
        <v>5</v>
      </c>
      <c r="T18" s="901" t="s">
        <v>450</v>
      </c>
      <c r="U18" s="902">
        <v>13</v>
      </c>
      <c r="V18" s="903" t="str">
        <f>B10</f>
        <v>Jaan Sepp, Oskar Sepp</v>
      </c>
      <c r="W18" s="900"/>
      <c r="X18" s="901" t="s">
        <v>450</v>
      </c>
      <c r="Y18" s="902"/>
      <c r="Z18" s="903"/>
      <c r="AA18" s="904">
        <f t="shared" si="0"/>
        <v>2</v>
      </c>
      <c r="AB18" s="905"/>
      <c r="AC18" s="900">
        <f t="shared" si="1"/>
        <v>46</v>
      </c>
      <c r="AD18" s="901" t="s">
        <v>450</v>
      </c>
      <c r="AE18" s="906">
        <f t="shared" si="2"/>
        <v>48</v>
      </c>
      <c r="AF18" s="907">
        <f t="shared" si="3"/>
        <v>-2</v>
      </c>
      <c r="AG18" s="908"/>
      <c r="AH18" s="764">
        <f t="shared" si="4"/>
        <v>164</v>
      </c>
      <c r="AI18" s="784">
        <f>IFERROR(INDEX(V!$R:$R,MATCH(AJ18,V!$L:$L,0)),"")</f>
        <v>88</v>
      </c>
      <c r="AJ18" s="783" t="str">
        <f t="shared" si="5"/>
        <v>Enn Tokman</v>
      </c>
      <c r="AK18" s="784">
        <f>IFERROR(INDEX(V!$R:$R,MATCH(AL18,V!$L:$L,0)),"")</f>
        <v>76</v>
      </c>
      <c r="AL18" s="783" t="str">
        <f t="shared" si="6"/>
        <v>Tarmo Bombe</v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</row>
    <row r="19" spans="1:43" x14ac:dyDescent="0.2">
      <c r="A19" s="897">
        <v>12</v>
      </c>
      <c r="B19" s="941" t="s">
        <v>513</v>
      </c>
      <c r="C19" s="900">
        <v>10</v>
      </c>
      <c r="D19" s="901" t="s">
        <v>450</v>
      </c>
      <c r="E19" s="902">
        <v>13</v>
      </c>
      <c r="F19" s="903" t="str">
        <f>B17</f>
        <v>Illar Tõnurist, Klavdia Piik</v>
      </c>
      <c r="G19" s="900">
        <v>13</v>
      </c>
      <c r="H19" s="901" t="s">
        <v>450</v>
      </c>
      <c r="I19" s="902">
        <v>6</v>
      </c>
      <c r="J19" s="903" t="str">
        <f>B12</f>
        <v>Ljudmila Varendi, Viktor Švarõgin</v>
      </c>
      <c r="K19" s="900">
        <v>13</v>
      </c>
      <c r="L19" s="901" t="s">
        <v>450</v>
      </c>
      <c r="M19" s="902">
        <v>5</v>
      </c>
      <c r="N19" s="903" t="str">
        <f>B13</f>
        <v>Tõnu Kapper, Vladimir Ogneštšikov</v>
      </c>
      <c r="O19" s="900">
        <v>4</v>
      </c>
      <c r="P19" s="901" t="s">
        <v>450</v>
      </c>
      <c r="Q19" s="902">
        <v>13</v>
      </c>
      <c r="R19" s="903" t="str">
        <f>B9</f>
        <v>Elmo Lageda, Tõnu Piik</v>
      </c>
      <c r="S19" s="900">
        <v>5</v>
      </c>
      <c r="T19" s="901" t="s">
        <v>450</v>
      </c>
      <c r="U19" s="902">
        <v>13</v>
      </c>
      <c r="V19" s="903" t="str">
        <f>B11</f>
        <v>Henri Mitt, Matti Vinni</v>
      </c>
      <c r="W19" s="900"/>
      <c r="X19" s="901" t="s">
        <v>450</v>
      </c>
      <c r="Y19" s="902"/>
      <c r="Z19" s="903"/>
      <c r="AA19" s="904">
        <f t="shared" si="0"/>
        <v>2</v>
      </c>
      <c r="AB19" s="905"/>
      <c r="AC19" s="900">
        <f t="shared" si="1"/>
        <v>45</v>
      </c>
      <c r="AD19" s="901" t="s">
        <v>450</v>
      </c>
      <c r="AE19" s="906">
        <f t="shared" si="2"/>
        <v>50</v>
      </c>
      <c r="AF19" s="907">
        <f t="shared" si="3"/>
        <v>-5</v>
      </c>
      <c r="AG19" s="908"/>
      <c r="AH19" s="764">
        <f t="shared" si="4"/>
        <v>88.5</v>
      </c>
      <c r="AI19" s="784">
        <f>IFERROR(INDEX(V!$R:$R,MATCH(AJ19,V!$L:$L,0)),"")</f>
        <v>40.5</v>
      </c>
      <c r="AJ19" s="783" t="str">
        <f t="shared" si="5"/>
        <v>Aigi Orro</v>
      </c>
      <c r="AK19" s="784">
        <f>IFERROR(INDEX(V!$R:$R,MATCH(AL19,V!$L:$L,0)),"")</f>
        <v>48</v>
      </c>
      <c r="AL19" s="783" t="str">
        <f t="shared" si="6"/>
        <v>Andres Veski</v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</row>
    <row r="20" spans="1:43" x14ac:dyDescent="0.2">
      <c r="A20" s="897">
        <v>13</v>
      </c>
      <c r="B20" s="940" t="s">
        <v>514</v>
      </c>
      <c r="C20" s="900">
        <v>2</v>
      </c>
      <c r="D20" s="901" t="s">
        <v>450</v>
      </c>
      <c r="E20" s="902">
        <v>13</v>
      </c>
      <c r="F20" s="903" t="str">
        <f>B10</f>
        <v>Jaan Sepp, Oskar Sepp</v>
      </c>
      <c r="G20" s="900">
        <v>13</v>
      </c>
      <c r="H20" s="901" t="s">
        <v>450</v>
      </c>
      <c r="I20" s="902">
        <v>7</v>
      </c>
      <c r="J20" s="903" t="s">
        <v>472</v>
      </c>
      <c r="K20" s="900">
        <v>1</v>
      </c>
      <c r="L20" s="901" t="s">
        <v>450</v>
      </c>
      <c r="M20" s="902">
        <v>13</v>
      </c>
      <c r="N20" s="903" t="str">
        <f>B18</f>
        <v>Enn Tokman, Tarmo Bombe</v>
      </c>
      <c r="O20" s="900">
        <v>5</v>
      </c>
      <c r="P20" s="901" t="s">
        <v>450</v>
      </c>
      <c r="Q20" s="902">
        <v>13</v>
      </c>
      <c r="R20" s="903" t="str">
        <f>B13</f>
        <v>Tõnu Kapper, Vladimir Ogneštšikov</v>
      </c>
      <c r="S20" s="900">
        <v>2</v>
      </c>
      <c r="T20" s="901" t="s">
        <v>450</v>
      </c>
      <c r="U20" s="902">
        <v>13</v>
      </c>
      <c r="V20" s="903" t="str">
        <f>B12</f>
        <v>Ljudmila Varendi, Viktor Švarõgin</v>
      </c>
      <c r="W20" s="900"/>
      <c r="X20" s="901" t="s">
        <v>450</v>
      </c>
      <c r="Y20" s="902"/>
      <c r="Z20" s="903"/>
      <c r="AA20" s="910">
        <f t="shared" si="0"/>
        <v>1</v>
      </c>
      <c r="AB20" s="905"/>
      <c r="AC20" s="900">
        <f t="shared" si="1"/>
        <v>23</v>
      </c>
      <c r="AD20" s="901" t="s">
        <v>450</v>
      </c>
      <c r="AE20" s="906">
        <f t="shared" si="2"/>
        <v>59</v>
      </c>
      <c r="AF20" s="907">
        <f t="shared" si="3"/>
        <v>-36</v>
      </c>
      <c r="AG20" s="908"/>
      <c r="AH20" s="764">
        <f t="shared" si="4"/>
        <v>31</v>
      </c>
      <c r="AI20" s="784">
        <f>IFERROR(INDEX(V!$R:$R,MATCH(AJ20,V!$L:$L,0)),"")</f>
        <v>16</v>
      </c>
      <c r="AJ20" s="783" t="str">
        <f t="shared" si="5"/>
        <v>Ksenija Matšneva</v>
      </c>
      <c r="AK20" s="784">
        <f>IFERROR(INDEX(V!$R:$R,MATCH(AL20,V!$L:$L,0)),"")</f>
        <v>15</v>
      </c>
      <c r="AL20" s="783" t="str">
        <f t="shared" si="6"/>
        <v>Veroonika Mendes</v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</row>
    <row r="21" spans="1:43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908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</row>
    <row r="22" spans="1:43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908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</row>
    <row r="23" spans="1:43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908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</row>
    <row r="24" spans="1:43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908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</row>
    <row r="25" spans="1:43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908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</row>
    <row r="26" spans="1:43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908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</row>
    <row r="27" spans="1:43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908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</row>
    <row r="28" spans="1:43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908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</row>
    <row r="29" spans="1:43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908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</row>
    <row r="30" spans="1:43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908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</row>
    <row r="31" spans="1:43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908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</row>
    <row r="32" spans="1:43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908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</row>
    <row r="33" spans="1:43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908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</row>
    <row r="34" spans="1:43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908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</row>
    <row r="35" spans="1:43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908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</row>
    <row r="36" spans="1:43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908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</row>
    <row r="37" spans="1:43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908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</row>
    <row r="38" spans="1:43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908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</row>
    <row r="39" spans="1:43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908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</row>
    <row r="40" spans="1:43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908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</row>
    <row r="41" spans="1:43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908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</row>
    <row r="42" spans="1:43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908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</row>
    <row r="43" spans="1:43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908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</row>
    <row r="44" spans="1:43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908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</row>
    <row r="45" spans="1:43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908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</row>
    <row r="46" spans="1:43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908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</row>
    <row r="47" spans="1:43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908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</row>
    <row r="48" spans="1:43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908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</row>
    <row r="49" spans="1:43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908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</row>
    <row r="50" spans="1:43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908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</row>
    <row r="51" spans="1:43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908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</row>
    <row r="52" spans="1:43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908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</row>
    <row r="53" spans="1:43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908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</row>
    <row r="54" spans="1:43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908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</row>
    <row r="55" spans="1:43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908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</row>
    <row r="56" spans="1:43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908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</row>
    <row r="57" spans="1:43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908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</row>
    <row r="58" spans="1:43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908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</row>
    <row r="59" spans="1:43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908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</row>
    <row r="60" spans="1:43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908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</row>
    <row r="61" spans="1:43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908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</row>
    <row r="62" spans="1:43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908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</row>
    <row r="63" spans="1:43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908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</row>
    <row r="64" spans="1:43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908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</row>
    <row r="65" spans="1:43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908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</row>
    <row r="66" spans="1:43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908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</row>
    <row r="67" spans="1:43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908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</row>
    <row r="68" spans="1:43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908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</row>
    <row r="69" spans="1:43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908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</row>
    <row r="70" spans="1:43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908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</row>
    <row r="71" spans="1:43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908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</row>
    <row r="72" spans="1:43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908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</row>
    <row r="73" spans="1:43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908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</row>
    <row r="74" spans="1:43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908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</row>
    <row r="75" spans="1:43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908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</row>
    <row r="76" spans="1:43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908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</row>
    <row r="77" spans="1:43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908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</row>
    <row r="78" spans="1:43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908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</row>
    <row r="79" spans="1:43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908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</row>
    <row r="80" spans="1:43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908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</row>
    <row r="81" spans="1:43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908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</row>
    <row r="82" spans="1:43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908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</row>
    <row r="83" spans="1:43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908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</row>
    <row r="84" spans="1:43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908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</row>
    <row r="85" spans="1:43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908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</row>
    <row r="86" spans="1:43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908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</row>
    <row r="87" spans="1:43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908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</row>
    <row r="88" spans="1:43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908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</row>
    <row r="89" spans="1:43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908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</row>
    <row r="90" spans="1:43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908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</row>
    <row r="91" spans="1:43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908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</row>
    <row r="92" spans="1:43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908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</row>
    <row r="93" spans="1:43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908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</row>
    <row r="94" spans="1:43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908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</row>
    <row r="95" spans="1:43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908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</row>
    <row r="96" spans="1:43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908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</row>
    <row r="97" spans="1:43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908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</row>
    <row r="98" spans="1:43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908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</row>
    <row r="99" spans="1:43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908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</row>
    <row r="100" spans="1:43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908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</row>
    <row r="101" spans="1:43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908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</row>
    <row r="102" spans="1:43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908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</row>
    <row r="103" spans="1:43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908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</row>
    <row r="104" spans="1:43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908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</row>
    <row r="105" spans="1:43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908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</row>
    <row r="106" spans="1:43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908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</row>
    <row r="107" spans="1:43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908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</row>
    <row r="108" spans="1:43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908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</row>
    <row r="109" spans="1:43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908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</row>
    <row r="110" spans="1:43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908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</row>
    <row r="111" spans="1:43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908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</row>
    <row r="112" spans="1:43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908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</row>
    <row r="113" spans="1:43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908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</row>
    <row r="114" spans="1:43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908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</row>
    <row r="115" spans="1:43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908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</row>
    <row r="116" spans="1:43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908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</row>
    <row r="117" spans="1:43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908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</row>
    <row r="118" spans="1:43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908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</row>
    <row r="119" spans="1:43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908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</row>
    <row r="120" spans="1:43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908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</row>
    <row r="121" spans="1:43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908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</row>
    <row r="122" spans="1:43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908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</row>
    <row r="123" spans="1:43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908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</row>
    <row r="124" spans="1:43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908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</row>
    <row r="125" spans="1:43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908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</row>
    <row r="126" spans="1:43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908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</row>
    <row r="127" spans="1:43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908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</row>
    <row r="128" spans="1:43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908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</row>
    <row r="129" spans="1:43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908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</row>
    <row r="130" spans="1:43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908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</row>
    <row r="131" spans="1:43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908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</row>
    <row r="132" spans="1:43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908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</row>
    <row r="133" spans="1:43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908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</row>
    <row r="134" spans="1:43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908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</row>
    <row r="135" spans="1:43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908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</row>
    <row r="136" spans="1:43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908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</row>
    <row r="137" spans="1:43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908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</row>
    <row r="138" spans="1:43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908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</row>
    <row r="139" spans="1:43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908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</row>
    <row r="140" spans="1:43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908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</row>
    <row r="141" spans="1:43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908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</row>
    <row r="142" spans="1:43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908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</row>
    <row r="143" spans="1:43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908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</row>
    <row r="144" spans="1:43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908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</row>
    <row r="145" spans="1:43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908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</row>
    <row r="146" spans="1:43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908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</row>
    <row r="147" spans="1:43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908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</row>
    <row r="148" spans="1:43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908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</row>
    <row r="149" spans="1:43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908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</row>
    <row r="150" spans="1:43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908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</row>
    <row r="151" spans="1:43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908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</row>
    <row r="152" spans="1:43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908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</row>
    <row r="153" spans="1:43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908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</row>
    <row r="154" spans="1:43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908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</row>
    <row r="155" spans="1:43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908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</row>
    <row r="156" spans="1:43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908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</row>
    <row r="157" spans="1:43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908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</row>
    <row r="158" spans="1:43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908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</row>
    <row r="159" spans="1:43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908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</row>
    <row r="160" spans="1:43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908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</row>
    <row r="161" spans="1:43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908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</row>
    <row r="162" spans="1:43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908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</row>
    <row r="163" spans="1:43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908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</row>
    <row r="164" spans="1:43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908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</row>
    <row r="165" spans="1:43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908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</row>
    <row r="166" spans="1:43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908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</row>
    <row r="167" spans="1:43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908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</row>
    <row r="168" spans="1:43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908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</row>
    <row r="169" spans="1:43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908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</row>
    <row r="170" spans="1:43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908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</row>
    <row r="171" spans="1:43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908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</row>
    <row r="172" spans="1:43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908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</row>
    <row r="173" spans="1:43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908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</row>
    <row r="174" spans="1:43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908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</row>
    <row r="175" spans="1:43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908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</row>
    <row r="176" spans="1:43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908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</row>
    <row r="177" spans="1:43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908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</row>
    <row r="178" spans="1:43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908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</row>
    <row r="179" spans="1:43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908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</row>
    <row r="180" spans="1:43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908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</row>
    <row r="181" spans="1:43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908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</row>
    <row r="182" spans="1:43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908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</row>
    <row r="183" spans="1:43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908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</row>
    <row r="184" spans="1:43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908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</row>
    <row r="185" spans="1:43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908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</row>
    <row r="186" spans="1:43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908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</row>
    <row r="187" spans="1:43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908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</row>
    <row r="188" spans="1:43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908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</row>
    <row r="189" spans="1:43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908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</row>
    <row r="190" spans="1:43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908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</row>
    <row r="191" spans="1:43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908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</row>
    <row r="192" spans="1:43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908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</row>
    <row r="193" spans="1:43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908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</row>
    <row r="194" spans="1:43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908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</row>
    <row r="195" spans="1:43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908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</row>
    <row r="196" spans="1:43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908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</row>
    <row r="197" spans="1:43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908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</row>
    <row r="198" spans="1:43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908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</row>
    <row r="199" spans="1:43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908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</row>
    <row r="200" spans="1:43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908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</row>
    <row r="201" spans="1:43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908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</row>
    <row r="202" spans="1:43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908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</row>
    <row r="203" spans="1:43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908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</row>
    <row r="204" spans="1:43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908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</row>
    <row r="205" spans="1:43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908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</row>
    <row r="206" spans="1:43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908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</row>
    <row r="207" spans="1:43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908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</row>
    <row r="208" spans="1:43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908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</row>
    <row r="209" spans="1:43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908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</row>
    <row r="210" spans="1:43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908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</row>
    <row r="211" spans="1:43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908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</row>
    <row r="212" spans="1:43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908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</row>
    <row r="213" spans="1:43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908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</row>
    <row r="214" spans="1:43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908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</row>
    <row r="215" spans="1:43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908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</row>
    <row r="216" spans="1:43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908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</row>
    <row r="217" spans="1:43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908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</row>
    <row r="218" spans="1:43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908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</row>
    <row r="219" spans="1:43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908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</row>
    <row r="220" spans="1:43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908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</row>
    <row r="221" spans="1:43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908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</row>
    <row r="222" spans="1:43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908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</row>
    <row r="223" spans="1:43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908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</row>
    <row r="224" spans="1:43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908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</row>
    <row r="225" spans="1:43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908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</row>
    <row r="226" spans="1:43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908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</row>
    <row r="227" spans="1:43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908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</row>
    <row r="228" spans="1:43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908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</row>
    <row r="229" spans="1:43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908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</row>
    <row r="230" spans="1:43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908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</row>
    <row r="231" spans="1:43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908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</row>
    <row r="232" spans="1:43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908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</row>
    <row r="233" spans="1:43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908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</row>
    <row r="234" spans="1:43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908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</row>
    <row r="235" spans="1:43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908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</row>
    <row r="236" spans="1:43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908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</row>
    <row r="237" spans="1:43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908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</row>
    <row r="238" spans="1:43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908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</row>
    <row r="239" spans="1:43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908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</row>
    <row r="240" spans="1:43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908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</row>
    <row r="241" spans="1:43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908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</row>
    <row r="242" spans="1:43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908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</row>
    <row r="243" spans="1:43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908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</row>
    <row r="244" spans="1:43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908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</row>
    <row r="245" spans="1:43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908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</row>
    <row r="246" spans="1:43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908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</row>
    <row r="247" spans="1:43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908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</row>
    <row r="248" spans="1:43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908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</row>
    <row r="249" spans="1:43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908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</row>
    <row r="250" spans="1:43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908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</row>
    <row r="251" spans="1:43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908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</row>
    <row r="252" spans="1:43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908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</row>
    <row r="253" spans="1:43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908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</row>
    <row r="254" spans="1:43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908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</row>
    <row r="255" spans="1:43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908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</row>
    <row r="256" spans="1:43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908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</row>
    <row r="257" spans="1:43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908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</row>
    <row r="258" spans="1:43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908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</row>
    <row r="259" spans="1:43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908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</row>
    <row r="260" spans="1:43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908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</row>
    <row r="261" spans="1:43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908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</row>
    <row r="262" spans="1:43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908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</row>
    <row r="263" spans="1:43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908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</row>
    <row r="264" spans="1:43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908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</row>
    <row r="265" spans="1:43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908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</row>
    <row r="266" spans="1:43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908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</row>
    <row r="267" spans="1:43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908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</row>
    <row r="268" spans="1:43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908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</row>
    <row r="269" spans="1:43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908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</row>
    <row r="270" spans="1:43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908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</row>
    <row r="271" spans="1:43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908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</row>
    <row r="272" spans="1:43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908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</row>
    <row r="273" spans="1:43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908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</row>
    <row r="274" spans="1:43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908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</row>
    <row r="275" spans="1:43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908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</row>
    <row r="276" spans="1:43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908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</row>
    <row r="277" spans="1:43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908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</row>
    <row r="278" spans="1:43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908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</row>
    <row r="279" spans="1:43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908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</row>
    <row r="280" spans="1:43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908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</row>
    <row r="281" spans="1:43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908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</row>
    <row r="282" spans="1:43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908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</row>
    <row r="283" spans="1:43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908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</row>
    <row r="284" spans="1:43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908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</row>
    <row r="285" spans="1:43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908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</row>
    <row r="286" spans="1:43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908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</row>
    <row r="287" spans="1:43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908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</row>
    <row r="288" spans="1:43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908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</row>
    <row r="289" spans="1:43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908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</row>
    <row r="290" spans="1:43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908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</row>
    <row r="291" spans="1:43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908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</row>
    <row r="292" spans="1:43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908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</row>
    <row r="293" spans="1:43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908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</row>
    <row r="294" spans="1:43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908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</row>
    <row r="295" spans="1:43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908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</row>
    <row r="296" spans="1:43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908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</row>
    <row r="297" spans="1:43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908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</row>
    <row r="298" spans="1:43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</row>
    <row r="299" spans="1:43" x14ac:dyDescent="0.2">
      <c r="A299" s="760"/>
      <c r="B299" s="760"/>
      <c r="C299" s="912" t="s">
        <v>232</v>
      </c>
      <c r="D299" s="814"/>
      <c r="E299" s="814"/>
      <c r="F299" s="919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60"/>
      <c r="R299" s="760"/>
      <c r="S299" s="760"/>
      <c r="T299" s="760"/>
      <c r="U299" s="760"/>
      <c r="V299" s="76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</row>
    <row r="300" spans="1:43" x14ac:dyDescent="0.2">
      <c r="A300" s="815">
        <v>1</v>
      </c>
      <c r="B300" s="816" t="str">
        <f>IFERROR(INDEX(B$1:B$100,MATCH(A300,A$1:A$100,0)),"")</f>
        <v>Peep Peenema, Ülo Piik</v>
      </c>
      <c r="C300" s="760">
        <f>IF(16-A300&gt;0,IF(OR(A300=A301,A299=A300),16-A300-0.5,16-A300),1)</f>
        <v>15</v>
      </c>
      <c r="D300" s="755"/>
      <c r="E300" s="755"/>
      <c r="F300" s="832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60"/>
      <c r="R300" s="760"/>
      <c r="S300" s="760"/>
      <c r="T300" s="760"/>
      <c r="U300" s="760"/>
      <c r="V300" s="76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</row>
    <row r="301" spans="1:43" x14ac:dyDescent="0.2">
      <c r="A301" s="815">
        <v>2</v>
      </c>
      <c r="B301" s="816" t="str">
        <f t="shared" ref="B301:B312" si="9">IFERROR(INDEX(B$1:B$100,MATCH(A301,A$1:A$100,0)),"")</f>
        <v>Elmo Lageda, Tõnu Piik</v>
      </c>
      <c r="C301" s="760">
        <f t="shared" ref="C301:C312" si="10">IF(16-A301&gt;0,IF(OR(A301=A302,A300=A301),16-A301-0.5,16-A301),1)</f>
        <v>14</v>
      </c>
      <c r="D301" s="817"/>
      <c r="E301" s="817"/>
      <c r="F301" s="832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60"/>
      <c r="R301" s="760"/>
      <c r="S301" s="760"/>
      <c r="T301" s="760"/>
      <c r="U301" s="760"/>
      <c r="V301" s="760"/>
      <c r="W301" s="880"/>
      <c r="X301" s="760"/>
      <c r="Y301" s="760"/>
      <c r="Z301" s="760"/>
      <c r="AA301" s="942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</row>
    <row r="302" spans="1:43" x14ac:dyDescent="0.2">
      <c r="A302" s="815">
        <v>3</v>
      </c>
      <c r="B302" s="816" t="str">
        <f t="shared" si="9"/>
        <v>Jaan Sepp, Oskar Sepp</v>
      </c>
      <c r="C302" s="760">
        <f t="shared" si="10"/>
        <v>13</v>
      </c>
      <c r="D302" s="817"/>
      <c r="E302" s="817"/>
      <c r="F302" s="832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60"/>
      <c r="R302" s="760"/>
      <c r="S302" s="760"/>
      <c r="T302" s="760"/>
      <c r="U302" s="760"/>
      <c r="V302" s="76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</row>
    <row r="303" spans="1:43" x14ac:dyDescent="0.2">
      <c r="A303" s="815">
        <v>4</v>
      </c>
      <c r="B303" s="816" t="str">
        <f t="shared" si="9"/>
        <v>Henri Mitt, Matti Vinni</v>
      </c>
      <c r="C303" s="760">
        <f t="shared" si="10"/>
        <v>12</v>
      </c>
      <c r="D303" s="817"/>
      <c r="E303" s="817"/>
      <c r="F303" s="832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60"/>
      <c r="S303" s="760"/>
      <c r="T303" s="760"/>
      <c r="U303" s="760"/>
      <c r="V303" s="76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</row>
    <row r="304" spans="1:43" x14ac:dyDescent="0.2">
      <c r="A304" s="815">
        <v>5</v>
      </c>
      <c r="B304" s="816" t="str">
        <f>B12</f>
        <v>Ljudmila Varendi, Viktor Švarõgin</v>
      </c>
      <c r="C304" s="760">
        <f t="shared" si="10"/>
        <v>10.5</v>
      </c>
      <c r="D304" s="817"/>
      <c r="E304" s="817"/>
      <c r="F304" s="832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60"/>
      <c r="R304" s="760"/>
      <c r="S304" s="760"/>
      <c r="T304" s="760"/>
      <c r="U304" s="760"/>
      <c r="V304" s="76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</row>
    <row r="305" spans="1:43" x14ac:dyDescent="0.2">
      <c r="A305" s="815">
        <v>5</v>
      </c>
      <c r="B305" s="816" t="str">
        <f>B13</f>
        <v>Tõnu Kapper, Vladimir Ogneštšikov</v>
      </c>
      <c r="C305" s="760">
        <f t="shared" si="10"/>
        <v>10.5</v>
      </c>
      <c r="D305" s="817"/>
      <c r="E305" s="817"/>
      <c r="F305" s="832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60"/>
      <c r="R305" s="760"/>
      <c r="S305" s="760"/>
      <c r="T305" s="760"/>
      <c r="U305" s="760"/>
      <c r="V305" s="76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</row>
    <row r="306" spans="1:43" x14ac:dyDescent="0.2">
      <c r="A306" s="815">
        <v>7</v>
      </c>
      <c r="B306" s="816" t="str">
        <f t="shared" si="9"/>
        <v>Janek Tarto, Kenneth Muusikus</v>
      </c>
      <c r="C306" s="760">
        <f t="shared" si="10"/>
        <v>9</v>
      </c>
      <c r="D306" s="817"/>
      <c r="E306" s="817"/>
      <c r="F306" s="832"/>
      <c r="G306" s="760"/>
      <c r="H306" s="760"/>
      <c r="I306" s="760"/>
      <c r="J306" s="760"/>
      <c r="K306" s="760"/>
      <c r="L306" s="760"/>
      <c r="M306" s="760"/>
      <c r="N306" s="760"/>
      <c r="O306" s="760"/>
      <c r="P306" s="760"/>
      <c r="Q306" s="760"/>
      <c r="R306" s="760"/>
      <c r="S306" s="760"/>
      <c r="T306" s="760"/>
      <c r="U306" s="760"/>
      <c r="V306" s="760"/>
      <c r="W306" s="880"/>
      <c r="X306" s="760"/>
      <c r="Y306" s="760"/>
      <c r="Z306" s="760"/>
      <c r="AA306" s="942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</row>
    <row r="307" spans="1:43" x14ac:dyDescent="0.2">
      <c r="A307" s="815">
        <v>8</v>
      </c>
      <c r="B307" s="816" t="str">
        <f t="shared" si="9"/>
        <v>Karoliina Sild, Tõnis Neiland</v>
      </c>
      <c r="C307" s="760">
        <f t="shared" si="10"/>
        <v>8</v>
      </c>
      <c r="D307" s="817"/>
      <c r="E307" s="817"/>
      <c r="F307" s="832"/>
      <c r="G307" s="760"/>
      <c r="H307" s="760"/>
      <c r="I307" s="760"/>
      <c r="J307" s="760"/>
      <c r="K307" s="760"/>
      <c r="L307" s="760"/>
      <c r="M307" s="760"/>
      <c r="N307" s="760"/>
      <c r="O307" s="760"/>
      <c r="P307" s="760"/>
      <c r="Q307" s="760"/>
      <c r="R307" s="760"/>
      <c r="S307" s="760"/>
      <c r="T307" s="760"/>
      <c r="U307" s="760"/>
      <c r="V307" s="76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</row>
    <row r="308" spans="1:43" x14ac:dyDescent="0.2">
      <c r="A308" s="815">
        <v>9</v>
      </c>
      <c r="B308" s="816" t="str">
        <f t="shared" si="9"/>
        <v>Karla Purgats, Lemmit Toomra</v>
      </c>
      <c r="C308" s="760">
        <f t="shared" si="10"/>
        <v>7</v>
      </c>
      <c r="D308" s="817"/>
      <c r="E308" s="817"/>
      <c r="F308" s="832"/>
      <c r="G308" s="760"/>
      <c r="H308" s="760"/>
      <c r="I308" s="760"/>
      <c r="J308" s="760"/>
      <c r="K308" s="760"/>
      <c r="L308" s="760"/>
      <c r="M308" s="760"/>
      <c r="N308" s="760"/>
      <c r="O308" s="760"/>
      <c r="P308" s="760"/>
      <c r="Q308" s="760"/>
      <c r="R308" s="760"/>
      <c r="S308" s="760"/>
      <c r="T308" s="760"/>
      <c r="U308" s="760"/>
      <c r="V308" s="76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</row>
    <row r="309" spans="1:43" x14ac:dyDescent="0.2">
      <c r="A309" s="815">
        <v>10</v>
      </c>
      <c r="B309" s="816" t="str">
        <f t="shared" si="9"/>
        <v>Illar Tõnurist, Klavdia Piik</v>
      </c>
      <c r="C309" s="760">
        <f t="shared" si="10"/>
        <v>6</v>
      </c>
      <c r="D309" s="817"/>
      <c r="E309" s="817"/>
      <c r="F309" s="832"/>
      <c r="G309" s="760"/>
      <c r="H309" s="760"/>
      <c r="I309" s="760"/>
      <c r="J309" s="760"/>
      <c r="K309" s="760"/>
      <c r="L309" s="760"/>
      <c r="M309" s="760"/>
      <c r="N309" s="760"/>
      <c r="O309" s="760"/>
      <c r="P309" s="760"/>
      <c r="Q309" s="760"/>
      <c r="R309" s="760"/>
      <c r="S309" s="760"/>
      <c r="T309" s="760"/>
      <c r="U309" s="760"/>
      <c r="V309" s="76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</row>
    <row r="310" spans="1:43" x14ac:dyDescent="0.2">
      <c r="A310" s="815">
        <v>11</v>
      </c>
      <c r="B310" s="816" t="str">
        <f t="shared" si="9"/>
        <v>Enn Tokman, Tarmo Bombe</v>
      </c>
      <c r="C310" s="760">
        <f t="shared" si="10"/>
        <v>5</v>
      </c>
      <c r="D310" s="760"/>
      <c r="E310" s="760"/>
      <c r="F310" s="832"/>
      <c r="G310" s="760"/>
      <c r="H310" s="760"/>
      <c r="I310" s="760"/>
      <c r="J310" s="760"/>
      <c r="K310" s="760"/>
      <c r="L310" s="760"/>
      <c r="M310" s="760"/>
      <c r="N310" s="760"/>
      <c r="O310" s="760"/>
      <c r="P310" s="760"/>
      <c r="Q310" s="760"/>
      <c r="R310" s="760"/>
      <c r="S310" s="760"/>
      <c r="T310" s="760"/>
      <c r="U310" s="760"/>
      <c r="V310" s="76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</row>
    <row r="311" spans="1:43" x14ac:dyDescent="0.2">
      <c r="A311" s="815">
        <v>12</v>
      </c>
      <c r="B311" s="816" t="str">
        <f t="shared" si="9"/>
        <v>Aigi Orro, Andres Veski</v>
      </c>
      <c r="C311" s="760">
        <f t="shared" si="10"/>
        <v>4</v>
      </c>
      <c r="D311" s="760"/>
      <c r="E311" s="760"/>
      <c r="F311" s="832"/>
      <c r="G311" s="760"/>
      <c r="H311" s="760"/>
      <c r="I311" s="760"/>
      <c r="J311" s="760"/>
      <c r="K311" s="760"/>
      <c r="L311" s="760"/>
      <c r="M311" s="760"/>
      <c r="N311" s="760"/>
      <c r="O311" s="760"/>
      <c r="P311" s="760"/>
      <c r="Q311" s="760"/>
      <c r="R311" s="760"/>
      <c r="S311" s="760"/>
      <c r="T311" s="760"/>
      <c r="U311" s="760"/>
      <c r="V311" s="760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</row>
    <row r="312" spans="1:43" x14ac:dyDescent="0.2">
      <c r="A312" s="815">
        <v>13</v>
      </c>
      <c r="B312" s="816" t="str">
        <f t="shared" si="9"/>
        <v>Ksenija Matšneva, Veroonika Mendes</v>
      </c>
      <c r="C312" s="760">
        <f t="shared" si="10"/>
        <v>3</v>
      </c>
      <c r="D312" s="760"/>
      <c r="E312" s="760"/>
      <c r="F312" s="832"/>
      <c r="G312" s="760"/>
      <c r="H312" s="760"/>
      <c r="I312" s="760"/>
      <c r="J312" s="760"/>
      <c r="K312" s="760"/>
      <c r="L312" s="760"/>
      <c r="M312" s="760"/>
      <c r="N312" s="760"/>
      <c r="O312" s="760"/>
      <c r="P312" s="760"/>
      <c r="Q312" s="760"/>
      <c r="R312" s="760"/>
      <c r="S312" s="760"/>
      <c r="T312" s="760"/>
      <c r="U312" s="760"/>
      <c r="V312" s="760"/>
      <c r="W312" s="88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  <c r="AJ312" s="760"/>
      <c r="AK312" s="760"/>
      <c r="AL312" s="760"/>
      <c r="AM312" s="760"/>
      <c r="AN312" s="760"/>
      <c r="AO312" s="760"/>
      <c r="AP312" s="760"/>
      <c r="AQ312" s="760"/>
    </row>
    <row r="313" spans="1:43" x14ac:dyDescent="0.2">
      <c r="A313" s="760"/>
      <c r="B313" s="760"/>
      <c r="C313" s="760"/>
      <c r="D313" s="760"/>
      <c r="E313" s="760"/>
      <c r="F313" s="760"/>
      <c r="G313" s="760"/>
      <c r="H313" s="760"/>
      <c r="I313" s="760"/>
      <c r="J313" s="760"/>
      <c r="K313" s="760"/>
      <c r="L313" s="760"/>
      <c r="M313" s="760"/>
      <c r="N313" s="760"/>
      <c r="O313" s="760"/>
      <c r="P313" s="760"/>
      <c r="Q313" s="760"/>
      <c r="R313" s="760"/>
      <c r="S313" s="760"/>
      <c r="T313" s="760"/>
      <c r="U313" s="760"/>
      <c r="V313" s="760"/>
      <c r="W313" s="88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  <c r="AJ313" s="760"/>
      <c r="AK313" s="760"/>
      <c r="AL313" s="760"/>
      <c r="AM313" s="760"/>
      <c r="AN313" s="760"/>
      <c r="AO313" s="760"/>
      <c r="AP313" s="760"/>
      <c r="AQ313" s="760"/>
    </row>
    <row r="314" spans="1:43" x14ac:dyDescent="0.2">
      <c r="A314" s="760"/>
      <c r="B314" s="760"/>
      <c r="C314" s="760"/>
      <c r="D314" s="760"/>
      <c r="E314" s="760"/>
      <c r="F314" s="760"/>
      <c r="G314" s="760"/>
      <c r="H314" s="760"/>
      <c r="I314" s="760"/>
      <c r="J314" s="760"/>
      <c r="K314" s="760"/>
      <c r="L314" s="760"/>
      <c r="M314" s="760"/>
      <c r="N314" s="760"/>
      <c r="O314" s="760"/>
      <c r="P314" s="760"/>
      <c r="Q314" s="760"/>
      <c r="R314" s="760"/>
      <c r="S314" s="760"/>
      <c r="T314" s="760"/>
      <c r="U314" s="760"/>
      <c r="V314" s="760"/>
      <c r="W314" s="880"/>
      <c r="X314" s="760"/>
      <c r="Y314" s="760"/>
      <c r="Z314" s="760"/>
      <c r="AA314" s="760"/>
      <c r="AB314" s="760"/>
      <c r="AC314" s="760"/>
      <c r="AD314" s="760"/>
      <c r="AE314" s="760"/>
      <c r="AF314" s="760"/>
      <c r="AG314" s="760"/>
      <c r="AH314" s="760"/>
      <c r="AI314" s="760"/>
      <c r="AJ314" s="760"/>
      <c r="AK314" s="760"/>
      <c r="AL314" s="760"/>
      <c r="AM314" s="760"/>
      <c r="AN314" s="760"/>
      <c r="AO314" s="760"/>
      <c r="AP314" s="760"/>
      <c r="AQ314" s="760"/>
    </row>
    <row r="315" spans="1:43" x14ac:dyDescent="0.2">
      <c r="A315" s="760"/>
      <c r="B315" s="760"/>
      <c r="C315" s="760"/>
      <c r="D315" s="760"/>
      <c r="E315" s="760"/>
      <c r="F315" s="760"/>
      <c r="G315" s="760"/>
      <c r="H315" s="760"/>
      <c r="I315" s="760"/>
      <c r="J315" s="760"/>
      <c r="K315" s="760"/>
      <c r="L315" s="760"/>
      <c r="M315" s="760"/>
      <c r="N315" s="760"/>
      <c r="O315" s="760"/>
      <c r="P315" s="760"/>
      <c r="Q315" s="760"/>
      <c r="R315" s="760"/>
      <c r="S315" s="760"/>
      <c r="T315" s="760"/>
      <c r="U315" s="760"/>
      <c r="V315" s="760"/>
      <c r="W315" s="880"/>
      <c r="X315" s="760"/>
      <c r="Y315" s="760"/>
      <c r="Z315" s="760"/>
      <c r="AA315" s="760"/>
      <c r="AB315" s="760"/>
      <c r="AC315" s="760"/>
      <c r="AD315" s="760"/>
      <c r="AE315" s="760"/>
      <c r="AF315" s="760"/>
      <c r="AG315" s="760"/>
      <c r="AH315" s="760"/>
      <c r="AI315" s="760"/>
      <c r="AJ315" s="760"/>
      <c r="AK315" s="760"/>
      <c r="AL315" s="760"/>
      <c r="AM315" s="760"/>
      <c r="AN315" s="760"/>
      <c r="AO315" s="760"/>
      <c r="AP315" s="760"/>
      <c r="AQ315" s="760"/>
    </row>
    <row r="316" spans="1:43" x14ac:dyDescent="0.2">
      <c r="A316" s="760"/>
      <c r="B316" s="760"/>
      <c r="C316" s="760"/>
      <c r="D316" s="760"/>
      <c r="E316" s="760"/>
      <c r="F316" s="760"/>
      <c r="G316" s="760"/>
      <c r="H316" s="760"/>
      <c r="I316" s="760"/>
      <c r="J316" s="760"/>
      <c r="K316" s="760"/>
      <c r="L316" s="760"/>
      <c r="M316" s="760"/>
      <c r="N316" s="760"/>
      <c r="O316" s="760"/>
      <c r="P316" s="760"/>
      <c r="Q316" s="760"/>
      <c r="R316" s="760"/>
      <c r="S316" s="760"/>
      <c r="T316" s="880"/>
      <c r="U316" s="880"/>
      <c r="V316" s="880"/>
      <c r="W316" s="880"/>
      <c r="X316" s="760"/>
      <c r="Y316" s="760"/>
      <c r="Z316" s="760"/>
      <c r="AA316" s="760"/>
      <c r="AB316" s="760"/>
      <c r="AC316" s="760"/>
      <c r="AD316" s="760"/>
      <c r="AE316" s="760"/>
      <c r="AF316" s="760"/>
      <c r="AG316" s="760"/>
      <c r="AH316" s="760"/>
      <c r="AI316" s="760"/>
      <c r="AJ316" s="760"/>
      <c r="AK316" s="760"/>
      <c r="AL316" s="760"/>
      <c r="AM316" s="760"/>
      <c r="AN316" s="760"/>
      <c r="AO316" s="760"/>
      <c r="AP316" s="760"/>
      <c r="AQ316" s="760"/>
    </row>
    <row r="317" spans="1:43" x14ac:dyDescent="0.2">
      <c r="A317" s="760"/>
      <c r="B317" s="760"/>
      <c r="C317" s="760"/>
      <c r="D317" s="760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885"/>
      <c r="P317" s="760"/>
      <c r="Q317" s="760"/>
      <c r="R317" s="760"/>
      <c r="S317" s="760"/>
      <c r="T317" s="880"/>
      <c r="U317" s="880"/>
      <c r="V317" s="880"/>
      <c r="W317" s="88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</row>
  </sheetData>
  <conditionalFormatting sqref="A300:A312">
    <cfRule type="duplicateValues" dxfId="2285" priority="48"/>
  </conditionalFormatting>
  <conditionalFormatting sqref="B300:B312">
    <cfRule type="expression" dxfId="2284" priority="40">
      <formula>A300=3</formula>
    </cfRule>
    <cfRule type="expression" dxfId="2283" priority="41">
      <formula>A300=2</formula>
    </cfRule>
    <cfRule type="expression" dxfId="2282" priority="42">
      <formula>A300=1</formula>
    </cfRule>
    <cfRule type="containsBlanks" dxfId="2281" priority="43">
      <formula>LEN(TRIM(B300))=0</formula>
    </cfRule>
    <cfRule type="duplicateValues" dxfId="2280" priority="44"/>
  </conditionalFormatting>
  <conditionalFormatting sqref="A8:A20">
    <cfRule type="duplicateValues" dxfId="2279" priority="39"/>
  </conditionalFormatting>
  <conditionalFormatting sqref="C8:C20">
    <cfRule type="expression" dxfId="2278" priority="21">
      <formula>IF($C8&gt;$E8,TRUE)</formula>
    </cfRule>
  </conditionalFormatting>
  <conditionalFormatting sqref="E8:E20">
    <cfRule type="expression" dxfId="2277" priority="22">
      <formula>IF($C8&lt;$E8,TRUE)</formula>
    </cfRule>
  </conditionalFormatting>
  <conditionalFormatting sqref="K8:K20">
    <cfRule type="expression" dxfId="2276" priority="29">
      <formula>IF($K8&gt;$M8,TRUE)</formula>
    </cfRule>
  </conditionalFormatting>
  <conditionalFormatting sqref="M8:M20">
    <cfRule type="expression" dxfId="2275" priority="30">
      <formula>IF($K8&lt;$M8,TRUE)</formula>
    </cfRule>
  </conditionalFormatting>
  <conditionalFormatting sqref="O8:O20">
    <cfRule type="expression" dxfId="2274" priority="33">
      <formula>IF($O8&gt;$Q8,TRUE)</formula>
    </cfRule>
  </conditionalFormatting>
  <conditionalFormatting sqref="Q8:Q20">
    <cfRule type="expression" dxfId="2273" priority="34">
      <formula>IF($O8&lt;$Q8,TRUE)</formula>
    </cfRule>
  </conditionalFormatting>
  <conditionalFormatting sqref="S8:S20">
    <cfRule type="expression" dxfId="2272" priority="37">
      <formula>IF($S8&gt;$U8,TRUE)</formula>
    </cfRule>
  </conditionalFormatting>
  <conditionalFormatting sqref="U8:U20">
    <cfRule type="expression" dxfId="2271" priority="38">
      <formula>IF($S8&lt;$U8,TRUE)</formula>
    </cfRule>
  </conditionalFormatting>
  <conditionalFormatting sqref="G8:G20">
    <cfRule type="expression" dxfId="2270" priority="25">
      <formula>IF($G8&gt;$I8,TRUE)</formula>
    </cfRule>
  </conditionalFormatting>
  <conditionalFormatting sqref="I8:I20">
    <cfRule type="expression" dxfId="2269" priority="26">
      <formula>IF($G8&lt;$I8,TRUE)</formula>
    </cfRule>
  </conditionalFormatting>
  <conditionalFormatting sqref="F8:F20">
    <cfRule type="containsText" dxfId="2268" priority="7" operator="containsText" text="vaba voor">
      <formula>NOT(ISERROR(SEARCH("vaba voor",F8)))</formula>
    </cfRule>
  </conditionalFormatting>
  <conditionalFormatting sqref="N8:N20">
    <cfRule type="containsText" dxfId="2267" priority="5" operator="containsText" text="vaba voor">
      <formula>NOT(ISERROR(SEARCH("vaba voor",N8)))</formula>
    </cfRule>
  </conditionalFormatting>
  <conditionalFormatting sqref="R8:R20">
    <cfRule type="containsText" dxfId="2266" priority="8" operator="containsText" text="vaba voor">
      <formula>NOT(ISERROR(SEARCH("vaba voor",R8)))</formula>
    </cfRule>
  </conditionalFormatting>
  <conditionalFormatting sqref="V8:V20">
    <cfRule type="containsText" dxfId="2265" priority="4" operator="containsText" text="vaba voor">
      <formula>NOT(ISERROR(SEARCH("vaba voor",V8)))</formula>
    </cfRule>
  </conditionalFormatting>
  <conditionalFormatting sqref="Z8:Z20">
    <cfRule type="containsText" dxfId="2264" priority="3" operator="containsText" text="vaba voor">
      <formula>NOT(ISERROR(SEARCH("vaba voor",Z8)))</formula>
    </cfRule>
  </conditionalFormatting>
  <conditionalFormatting sqref="W8:W20">
    <cfRule type="expression" dxfId="2263" priority="12">
      <formula>IF($W8&gt;$Y8,TRUE)</formula>
    </cfRule>
  </conditionalFormatting>
  <conditionalFormatting sqref="Y8:Y20">
    <cfRule type="expression" dxfId="2262" priority="13">
      <formula>IF($W8&lt;$Y8,TRUE)</formula>
    </cfRule>
  </conditionalFormatting>
  <conditionalFormatting sqref="J8:J20">
    <cfRule type="containsText" dxfId="2261" priority="6" operator="containsText" text="vaba voor">
      <formula>NOT(ISERROR(SEARCH("vaba voor",J8)))</formula>
    </cfRule>
  </conditionalFormatting>
  <conditionalFormatting sqref="C8:F20">
    <cfRule type="expression" dxfId="2260" priority="17">
      <formula>IF(AND(ISNUMBER($C8),$C8=$E8),TRUE)</formula>
    </cfRule>
    <cfRule type="expression" dxfId="2259" priority="19">
      <formula>IF($C8&gt;$E8,TRUE)</formula>
    </cfRule>
    <cfRule type="expression" dxfId="2258" priority="20">
      <formula>IF($C8&lt;$E8,TRUE)</formula>
    </cfRule>
  </conditionalFormatting>
  <conditionalFormatting sqref="G8:J20">
    <cfRule type="expression" dxfId="2257" priority="18">
      <formula>IF(AND(ISNUMBER($G8),$G8=$I8),TRUE)</formula>
    </cfRule>
    <cfRule type="expression" dxfId="2256" priority="23">
      <formula>IF($G8&gt;$I8,TRUE)</formula>
    </cfRule>
    <cfRule type="expression" dxfId="2255" priority="24">
      <formula>IF($G8&lt;$I8,TRUE)</formula>
    </cfRule>
  </conditionalFormatting>
  <conditionalFormatting sqref="K8:N20">
    <cfRule type="expression" dxfId="2254" priority="16">
      <formula>IF(AND(ISNUMBER($K8),$K8=$M8),TRUE)</formula>
    </cfRule>
    <cfRule type="expression" dxfId="2253" priority="27">
      <formula>IF($K8&gt;$M8,TRUE)</formula>
    </cfRule>
    <cfRule type="expression" dxfId="2252" priority="28">
      <formula>IF($K8&lt;$M8,TRUE)</formula>
    </cfRule>
  </conditionalFormatting>
  <conditionalFormatting sqref="O8:R20">
    <cfRule type="expression" dxfId="2251" priority="15">
      <formula>IF(AND(ISNUMBER($O8),$O8=$Q8),TRUE)</formula>
    </cfRule>
    <cfRule type="expression" dxfId="2250" priority="31">
      <formula>IF($O8&gt;$Q8,TRUE)</formula>
    </cfRule>
    <cfRule type="expression" dxfId="2249" priority="32">
      <formula>IF($O8&lt;$Q8,TRUE)</formula>
    </cfRule>
  </conditionalFormatting>
  <conditionalFormatting sqref="S8:V20">
    <cfRule type="expression" dxfId="2248" priority="14">
      <formula>IF(AND(ISNUMBER($S8),$S8=$U8),TRUE)</formula>
    </cfRule>
    <cfRule type="expression" dxfId="2247" priority="35">
      <formula>IF($S8&gt;$U8,TRUE)</formula>
    </cfRule>
    <cfRule type="expression" dxfId="2246" priority="36">
      <formula>IF($S8&lt;$U8,TRUE)</formula>
    </cfRule>
  </conditionalFormatting>
  <conditionalFormatting sqref="W8:Z20">
    <cfRule type="expression" dxfId="2245" priority="9">
      <formula>IF(AND(ISNUMBER($W8),$W8=$Y8),TRUE)</formula>
    </cfRule>
    <cfRule type="expression" dxfId="2244" priority="10">
      <formula>IF($W8&gt;$Y8,TRUE)</formula>
    </cfRule>
    <cfRule type="expression" dxfId="2243" priority="11">
      <formula>IF($W8&lt;$Y8,TRUE)</formula>
    </cfRule>
  </conditionalFormatting>
  <conditionalFormatting sqref="C8:C20 G8:G20 K8:K20 O8:O20 S8:S20 W8:W20">
    <cfRule type="expression" dxfId="2242" priority="1">
      <formula>AND(C8=0,E8=13)</formula>
    </cfRule>
  </conditionalFormatting>
  <conditionalFormatting sqref="E8:E20 I8:I20 M8:M20 Q8:Q20 U8:U20 Y8:Y20">
    <cfRule type="expression" dxfId="2241" priority="2">
      <formula>AND(E8=0,C8=13)</formula>
    </cfRule>
  </conditionalFormatting>
  <conditionalFormatting sqref="AJ8:AJ20 AN8:AN20 AP8:AP20">
    <cfRule type="expression" dxfId="2240" priority="288">
      <formula>AND(AI8="",COUNTIF(AJ8,"*,*")=0)</formula>
    </cfRule>
  </conditionalFormatting>
  <conditionalFormatting sqref="AL8:AL20">
    <cfRule type="expression" dxfId="2239" priority="289">
      <formula>AND(AK8="",FIND(",",AL8))</formula>
    </cfRule>
    <cfRule type="expression" dxfId="2238" priority="290">
      <formula>AND(AK8="",COUNTIF(AL8,"*,*")=0)</formula>
    </cfRule>
  </conditionalFormatting>
  <pageMargins left="0.78740157480314965" right="0.39370078740157483" top="0.78740157480314965" bottom="0.39370078740157483" header="0.59055118110236227" footer="0"/>
  <pageSetup paperSize="9" fitToHeight="0" orientation="landscape" verticalDpi="0" r:id="rId1"/>
  <headerFooter>
    <oddHeader>&amp;RPage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132"/>
  <sheetViews>
    <sheetView showGridLines="0" showRowColHeaders="0" tabSelected="1" zoomScaleNormal="100" workbookViewId="0">
      <pane ySplit="3" topLeftCell="A4" activePane="bottomLeft" state="frozen"/>
      <selection pane="bottomLeft" activeCell="K105" sqref="K105"/>
    </sheetView>
  </sheetViews>
  <sheetFormatPr defaultRowHeight="12.75" x14ac:dyDescent="0.2"/>
  <cols>
    <col min="1" max="1" width="5.42578125" style="1" customWidth="1"/>
    <col min="2" max="2" width="3" style="1" customWidth="1"/>
    <col min="3" max="3" width="8.5703125" style="1" customWidth="1"/>
    <col min="4" max="4" width="3" style="1" customWidth="1"/>
    <col min="5" max="5" width="5.42578125" style="1" customWidth="1"/>
    <col min="6" max="6" width="3" style="1" customWidth="1"/>
    <col min="7" max="7" width="5.42578125" style="1" customWidth="1"/>
    <col min="8" max="8" width="3" style="1" customWidth="1"/>
    <col min="9" max="9" width="8.28515625" style="1" customWidth="1"/>
    <col min="10" max="10" width="3" style="1" customWidth="1"/>
    <col min="11" max="11" width="22.7109375" style="1" customWidth="1"/>
    <col min="12" max="12" width="3" style="1" customWidth="1"/>
    <col min="13" max="13" width="22.7109375" style="1" customWidth="1"/>
    <col min="14" max="14" width="3" style="1" customWidth="1"/>
    <col min="15" max="16384" width="9.140625" style="1"/>
  </cols>
  <sheetData>
    <row r="1" spans="1:19" x14ac:dyDescent="0.2">
      <c r="A1" s="171" t="s">
        <v>160</v>
      </c>
      <c r="B1" s="172"/>
      <c r="C1" s="173"/>
      <c r="D1" s="173"/>
      <c r="E1" s="172"/>
      <c r="F1" s="172"/>
      <c r="G1" s="173"/>
      <c r="H1" s="173"/>
      <c r="I1" s="173"/>
      <c r="J1" s="173"/>
      <c r="K1" s="173"/>
      <c r="L1" s="12" t="str">
        <f>HYPERLINK("","")</f>
        <v/>
      </c>
      <c r="M1" s="1145" t="s">
        <v>619</v>
      </c>
      <c r="N1" s="174"/>
      <c r="O1" s="173"/>
      <c r="P1" s="173"/>
      <c r="Q1" s="173"/>
      <c r="R1" s="173"/>
      <c r="S1" s="173"/>
    </row>
    <row r="2" spans="1:19" ht="13.5" thickBot="1" x14ac:dyDescent="0.25">
      <c r="A2" s="175"/>
      <c r="B2" s="173"/>
      <c r="C2" s="173"/>
      <c r="D2" s="173"/>
      <c r="E2" s="172"/>
      <c r="F2" s="172"/>
      <c r="G2" s="173"/>
      <c r="H2" s="173"/>
      <c r="I2" s="173"/>
      <c r="J2" s="173"/>
      <c r="K2" s="173"/>
      <c r="L2" s="173"/>
      <c r="M2" s="173"/>
      <c r="N2" s="172"/>
      <c r="O2" s="173"/>
      <c r="P2" s="173"/>
      <c r="Q2" s="173"/>
      <c r="R2" s="173"/>
      <c r="S2" s="173"/>
    </row>
    <row r="3" spans="1:19" ht="13.5" thickBot="1" x14ac:dyDescent="0.25">
      <c r="A3" s="176" t="s">
        <v>161</v>
      </c>
      <c r="B3" s="177"/>
      <c r="C3" s="178" t="s">
        <v>162</v>
      </c>
      <c r="D3" s="177"/>
      <c r="E3" s="176" t="s">
        <v>163</v>
      </c>
      <c r="F3" s="177"/>
      <c r="G3" s="176" t="s">
        <v>164</v>
      </c>
      <c r="H3" s="177"/>
      <c r="I3" s="1254" t="s">
        <v>165</v>
      </c>
      <c r="J3" s="1255"/>
      <c r="K3" s="176" t="s">
        <v>166</v>
      </c>
      <c r="L3" s="177"/>
      <c r="M3" s="176" t="s">
        <v>167</v>
      </c>
      <c r="N3" s="177"/>
      <c r="O3" s="173"/>
      <c r="P3" s="173"/>
      <c r="Q3" s="173"/>
      <c r="R3" s="173"/>
      <c r="S3" s="173"/>
    </row>
    <row r="4" spans="1:19" ht="13.5" thickBot="1" x14ac:dyDescent="0.25">
      <c r="A4" s="179" t="s">
        <v>45</v>
      </c>
      <c r="B4" s="180"/>
      <c r="C4" s="181"/>
      <c r="D4" s="182"/>
      <c r="E4" s="183"/>
      <c r="F4" s="182"/>
      <c r="G4" s="183"/>
      <c r="H4" s="182"/>
      <c r="I4" s="182"/>
      <c r="J4" s="182"/>
      <c r="K4" s="183"/>
      <c r="L4" s="182"/>
      <c r="M4" s="183"/>
      <c r="N4" s="182"/>
      <c r="O4" s="184"/>
      <c r="P4" s="184"/>
      <c r="Q4" s="184"/>
      <c r="R4" s="184"/>
      <c r="S4" s="184"/>
    </row>
    <row r="5" spans="1:19" x14ac:dyDescent="0.2">
      <c r="A5" s="185"/>
      <c r="B5" s="186">
        <v>15</v>
      </c>
      <c r="C5" s="187"/>
      <c r="D5" s="186">
        <v>16</v>
      </c>
      <c r="E5" s="187"/>
      <c r="F5" s="186">
        <v>17</v>
      </c>
      <c r="G5" s="187"/>
      <c r="H5" s="186">
        <v>18</v>
      </c>
      <c r="I5" s="188"/>
      <c r="J5" s="186">
        <v>19</v>
      </c>
      <c r="K5" s="189" t="str">
        <f>HYPERLINK("#V1!I1","Voka 2. sise-KV 1. etapp")</f>
        <v>Voka 2. sise-KV 1. etapp</v>
      </c>
      <c r="L5" s="186">
        <v>20</v>
      </c>
      <c r="M5" s="187"/>
      <c r="N5" s="186">
        <v>21</v>
      </c>
      <c r="O5" s="184"/>
      <c r="P5" s="184"/>
      <c r="Q5" s="184"/>
      <c r="R5" s="184"/>
      <c r="S5" s="184"/>
    </row>
    <row r="6" spans="1:19" x14ac:dyDescent="0.2">
      <c r="A6" s="190"/>
      <c r="B6" s="191"/>
      <c r="C6" s="183"/>
      <c r="D6" s="192"/>
      <c r="E6" s="183"/>
      <c r="F6" s="191"/>
      <c r="G6" s="183"/>
      <c r="H6" s="192"/>
      <c r="I6" s="193"/>
      <c r="J6" s="192"/>
      <c r="K6" s="194" t="s">
        <v>168</v>
      </c>
      <c r="L6" s="195"/>
      <c r="M6" s="183"/>
      <c r="N6" s="192"/>
      <c r="O6" s="184"/>
      <c r="P6" s="184"/>
      <c r="Q6" s="184"/>
      <c r="R6" s="184"/>
      <c r="S6" s="184"/>
    </row>
    <row r="7" spans="1:19" ht="13.5" thickBot="1" x14ac:dyDescent="0.25">
      <c r="A7" s="196"/>
      <c r="B7" s="197"/>
      <c r="C7" s="198"/>
      <c r="D7" s="199"/>
      <c r="E7" s="198"/>
      <c r="F7" s="197"/>
      <c r="G7" s="198"/>
      <c r="H7" s="199"/>
      <c r="I7" s="200"/>
      <c r="J7" s="199"/>
      <c r="K7" s="201" t="str">
        <f>HYPERLINK("https://kaart.delfi.ee/?bookmark=236e0f8de3f3d8e7138807663f9b5d14","Voka petangihall")</f>
        <v>Voka petangihall</v>
      </c>
      <c r="L7" s="202"/>
      <c r="M7" s="198"/>
      <c r="N7" s="199"/>
      <c r="O7" s="184"/>
      <c r="P7" s="184"/>
      <c r="Q7" s="184"/>
      <c r="R7" s="184"/>
      <c r="S7" s="184"/>
    </row>
    <row r="8" spans="1:19" x14ac:dyDescent="0.2">
      <c r="A8" s="185"/>
      <c r="B8" s="186">
        <v>22</v>
      </c>
      <c r="C8" s="187"/>
      <c r="D8" s="186">
        <v>23</v>
      </c>
      <c r="E8" s="187"/>
      <c r="F8" s="186">
        <v>24</v>
      </c>
      <c r="G8" s="187"/>
      <c r="H8" s="186">
        <v>25</v>
      </c>
      <c r="I8" s="188"/>
      <c r="J8" s="186">
        <v>26</v>
      </c>
      <c r="K8" s="187"/>
      <c r="L8" s="186">
        <v>27</v>
      </c>
      <c r="M8" s="189" t="str">
        <f>HYPERLINK("#V2!I1","Voka 2. sise-KV 2. etapp")</f>
        <v>Voka 2. sise-KV 2. etapp</v>
      </c>
      <c r="N8" s="186">
        <v>28</v>
      </c>
      <c r="O8" s="203"/>
      <c r="P8" s="204"/>
      <c r="Q8" s="204"/>
      <c r="R8" s="204"/>
      <c r="S8" s="204"/>
    </row>
    <row r="9" spans="1:19" x14ac:dyDescent="0.2">
      <c r="A9" s="190"/>
      <c r="B9" s="191"/>
      <c r="C9" s="183"/>
      <c r="D9" s="192"/>
      <c r="E9" s="183"/>
      <c r="F9" s="191"/>
      <c r="G9" s="183"/>
      <c r="H9" s="192"/>
      <c r="I9" s="193"/>
      <c r="J9" s="192"/>
      <c r="K9" s="183"/>
      <c r="L9" s="192"/>
      <c r="M9" s="194" t="s">
        <v>168</v>
      </c>
      <c r="N9" s="195"/>
      <c r="O9" s="204"/>
      <c r="P9" s="204"/>
      <c r="Q9" s="204"/>
      <c r="R9" s="204"/>
      <c r="S9" s="204"/>
    </row>
    <row r="10" spans="1:19" ht="13.5" thickBot="1" x14ac:dyDescent="0.25">
      <c r="A10" s="196"/>
      <c r="B10" s="197"/>
      <c r="C10" s="198"/>
      <c r="D10" s="199"/>
      <c r="E10" s="198"/>
      <c r="F10" s="197"/>
      <c r="G10" s="198"/>
      <c r="H10" s="199"/>
      <c r="I10" s="200"/>
      <c r="J10" s="199"/>
      <c r="K10" s="198"/>
      <c r="L10" s="199"/>
      <c r="M10" s="201" t="str">
        <f>HYPERLINK("https://kaart.delfi.ee/?bookmark=236e0f8de3f3d8e7138807663f9b5d14","Voka petangihall")</f>
        <v>Voka petangihall</v>
      </c>
      <c r="N10" s="202"/>
      <c r="O10" s="204"/>
      <c r="P10" s="204"/>
      <c r="Q10" s="204"/>
      <c r="R10" s="204"/>
      <c r="S10" s="204"/>
    </row>
    <row r="11" spans="1:19" ht="13.5" thickBot="1" x14ac:dyDescent="0.25">
      <c r="A11" s="205" t="s">
        <v>53</v>
      </c>
      <c r="B11" s="206"/>
      <c r="C11" s="207"/>
      <c r="D11" s="208"/>
      <c r="E11" s="209"/>
      <c r="F11" s="209"/>
      <c r="G11" s="208"/>
      <c r="H11" s="208"/>
      <c r="I11" s="208"/>
      <c r="J11" s="210"/>
      <c r="K11" s="211"/>
      <c r="L11" s="211"/>
      <c r="M11" s="212"/>
      <c r="N11" s="213"/>
      <c r="O11" s="210"/>
      <c r="P11" s="210"/>
      <c r="Q11" s="210"/>
      <c r="R11" s="210"/>
      <c r="S11" s="210"/>
    </row>
    <row r="12" spans="1:19" x14ac:dyDescent="0.2">
      <c r="A12" s="185"/>
      <c r="B12" s="186">
        <v>29</v>
      </c>
      <c r="C12" s="214"/>
      <c r="D12" s="215">
        <v>30</v>
      </c>
      <c r="E12" s="216"/>
      <c r="F12" s="217">
        <v>31</v>
      </c>
      <c r="G12" s="187"/>
      <c r="H12" s="218">
        <v>1</v>
      </c>
      <c r="I12" s="187"/>
      <c r="J12" s="218">
        <v>2</v>
      </c>
      <c r="K12" s="219" t="str">
        <f>HYPERLINK("http://hpet.fi/70-lokakuun-kisa-2018","Lokakuun kisa")</f>
        <v>Lokakuun kisa</v>
      </c>
      <c r="L12" s="218">
        <v>3</v>
      </c>
      <c r="M12" s="189" t="str">
        <f>HYPERLINK("#V3!I1","Voka 2. sise-KV 3. etapp")</f>
        <v>Voka 2. sise-KV 3. etapp</v>
      </c>
      <c r="N12" s="220">
        <v>4</v>
      </c>
      <c r="O12" s="204"/>
      <c r="P12" s="204"/>
      <c r="Q12" s="204"/>
      <c r="R12" s="204"/>
      <c r="S12" s="204"/>
    </row>
    <row r="13" spans="1:19" x14ac:dyDescent="0.2">
      <c r="A13" s="190"/>
      <c r="B13" s="191"/>
      <c r="C13" s="183"/>
      <c r="D13" s="182"/>
      <c r="E13" s="221"/>
      <c r="F13" s="222"/>
      <c r="G13" s="183"/>
      <c r="H13" s="192"/>
      <c r="I13" s="193"/>
      <c r="J13" s="192"/>
      <c r="K13" s="223" t="s">
        <v>169</v>
      </c>
      <c r="L13" s="192"/>
      <c r="M13" s="194" t="s">
        <v>168</v>
      </c>
      <c r="N13" s="224"/>
      <c r="O13" s="204"/>
      <c r="P13" s="204"/>
      <c r="Q13" s="203"/>
      <c r="R13" s="204"/>
      <c r="S13" s="204"/>
    </row>
    <row r="14" spans="1:19" hidden="1" x14ac:dyDescent="0.2">
      <c r="A14" s="190"/>
      <c r="B14" s="191"/>
      <c r="C14" s="183"/>
      <c r="D14" s="182"/>
      <c r="E14" s="221"/>
      <c r="F14" s="222"/>
      <c r="G14" s="183"/>
      <c r="H14" s="192"/>
      <c r="I14" s="193"/>
      <c r="J14" s="192"/>
      <c r="K14" s="225" t="str">
        <f>HYPERLINK("https://www.google.fi/maps/place/Pohjoinen+Hesperiankatu+24,+00260+Helsinki,+Soome/@60.1769272,24.9181523,17z/data=!4m5!3m4!1s0x46920a3011cda835:0x7443e5f2b27974f2!8m2!3d60.1769272!4d24.920341","Helsingi (Soome)")</f>
        <v>Helsingi (Soome)</v>
      </c>
      <c r="L14" s="192"/>
      <c r="M14" s="226" t="s">
        <v>170</v>
      </c>
      <c r="N14" s="227"/>
      <c r="O14" s="582"/>
      <c r="P14" s="204"/>
      <c r="Q14" s="203"/>
      <c r="R14" s="204"/>
      <c r="S14" s="204"/>
    </row>
    <row r="15" spans="1:19" ht="13.5" thickBot="1" x14ac:dyDescent="0.25">
      <c r="A15" s="228"/>
      <c r="B15" s="229"/>
      <c r="C15" s="230"/>
      <c r="D15" s="231"/>
      <c r="E15" s="232"/>
      <c r="F15" s="233"/>
      <c r="G15" s="198"/>
      <c r="H15" s="199"/>
      <c r="I15" s="234"/>
      <c r="J15" s="199"/>
      <c r="K15" s="225" t="str">
        <f>HYPERLINK("https://www.google.fi/maps/place/Pohjoinen+Hesperiankatu+24,+00260+Helsinki,+Soome/@60.1769272,24.9181523,17z/data=!4m5!3m4!1s0x46920a3011cda835:0x7443e5f2b27974f2!8m2!3d60.1769272!4d24.920341","Helsingi (Soome)")</f>
        <v>Helsingi (Soome)</v>
      </c>
      <c r="L15" s="199"/>
      <c r="M15" s="201" t="str">
        <f>HYPERLINK("https://kaart.delfi.ee/?bookmark=236e0f8de3f3d8e7138807663f9b5d14","Voka petangihall")</f>
        <v>Voka petangihall</v>
      </c>
      <c r="N15" s="235"/>
      <c r="O15" s="204"/>
      <c r="P15" s="204"/>
      <c r="Q15" s="204"/>
      <c r="R15" s="204"/>
      <c r="S15" s="204"/>
    </row>
    <row r="16" spans="1:19" ht="13.5" thickTop="1" x14ac:dyDescent="0.2">
      <c r="A16" s="236"/>
      <c r="B16" s="237">
        <v>5</v>
      </c>
      <c r="C16" s="238"/>
      <c r="D16" s="237">
        <v>6</v>
      </c>
      <c r="E16" s="239"/>
      <c r="F16" s="237">
        <v>7</v>
      </c>
      <c r="G16" s="240"/>
      <c r="H16" s="237">
        <v>8</v>
      </c>
      <c r="I16" s="183"/>
      <c r="J16" s="241">
        <v>9</v>
      </c>
      <c r="K16" s="189" t="str">
        <f>HYPERLINK("#V4!N1","Voka 2. sise-KV 4. etapp")</f>
        <v>Voka 2. sise-KV 4. etapp</v>
      </c>
      <c r="L16" s="242">
        <v>10</v>
      </c>
      <c r="M16" s="243"/>
      <c r="N16" s="242">
        <v>11</v>
      </c>
      <c r="O16" s="172"/>
      <c r="P16" s="210"/>
      <c r="Q16" s="210"/>
      <c r="R16" s="172"/>
      <c r="S16" s="172"/>
    </row>
    <row r="17" spans="1:19" x14ac:dyDescent="0.2">
      <c r="A17" s="244"/>
      <c r="B17" s="245"/>
      <c r="C17" s="238"/>
      <c r="D17" s="245"/>
      <c r="E17" s="239"/>
      <c r="F17" s="246"/>
      <c r="G17" s="240"/>
      <c r="H17" s="246"/>
      <c r="I17" s="183"/>
      <c r="J17" s="247"/>
      <c r="K17" s="194" t="s">
        <v>168</v>
      </c>
      <c r="L17" s="195"/>
      <c r="M17" s="243"/>
      <c r="N17" s="248"/>
      <c r="O17" s="172"/>
      <c r="P17" s="210"/>
      <c r="Q17" s="210"/>
      <c r="R17" s="172"/>
      <c r="S17" s="172"/>
    </row>
    <row r="18" spans="1:19" ht="13.5" thickBot="1" x14ac:dyDescent="0.25">
      <c r="A18" s="244"/>
      <c r="B18" s="245"/>
      <c r="C18" s="238"/>
      <c r="D18" s="245"/>
      <c r="E18" s="239"/>
      <c r="F18" s="246"/>
      <c r="G18" s="240"/>
      <c r="H18" s="246"/>
      <c r="I18" s="249"/>
      <c r="J18" s="250"/>
      <c r="K18" s="201" t="str">
        <f>HYPERLINK("https://kaart.delfi.ee/?bookmark=236e0f8de3f3d8e7138807663f9b5d14","Voka petangihall")</f>
        <v>Voka petangihall</v>
      </c>
      <c r="L18" s="251"/>
      <c r="M18" s="252"/>
      <c r="N18" s="253"/>
      <c r="O18" s="173"/>
      <c r="P18" s="210"/>
      <c r="Q18" s="210"/>
      <c r="R18" s="173"/>
      <c r="S18" s="173"/>
    </row>
    <row r="19" spans="1:19" x14ac:dyDescent="0.2">
      <c r="A19" s="254"/>
      <c r="B19" s="255">
        <v>12</v>
      </c>
      <c r="C19" s="256"/>
      <c r="D19" s="255">
        <v>13</v>
      </c>
      <c r="E19" s="257"/>
      <c r="F19" s="255">
        <v>14</v>
      </c>
      <c r="G19" s="258"/>
      <c r="H19" s="255">
        <v>15</v>
      </c>
      <c r="I19" s="258"/>
      <c r="J19" s="255">
        <v>16</v>
      </c>
      <c r="K19" s="259" t="str">
        <f>HYPERLINK("http://www.petanque.ee/index.php?id=103778&amp;cid=626","Eesti sise-MV")</f>
        <v>Eesti sise-MV</v>
      </c>
      <c r="L19" s="260">
        <v>17</v>
      </c>
      <c r="M19" s="259" t="str">
        <f>HYPERLINK("http://www.petanque.ee/index.php?id=103778&amp;cid=627","Eesti sise-MV")</f>
        <v>Eesti sise-MV</v>
      </c>
      <c r="N19" s="261">
        <v>18</v>
      </c>
      <c r="O19" s="172"/>
      <c r="P19" s="210"/>
      <c r="Q19" s="210"/>
      <c r="R19" s="172"/>
      <c r="S19" s="172"/>
    </row>
    <row r="20" spans="1:19" x14ac:dyDescent="0.2">
      <c r="A20" s="244"/>
      <c r="B20" s="245"/>
      <c r="C20" s="238"/>
      <c r="D20" s="246"/>
      <c r="E20" s="239"/>
      <c r="F20" s="246"/>
      <c r="G20" s="240"/>
      <c r="H20" s="246"/>
      <c r="I20" s="240"/>
      <c r="J20" s="246"/>
      <c r="K20" s="262" t="s">
        <v>171</v>
      </c>
      <c r="L20" s="263"/>
      <c r="M20" s="262" t="s">
        <v>171</v>
      </c>
      <c r="N20" s="264"/>
      <c r="O20" s="172"/>
      <c r="P20" s="210"/>
      <c r="Q20" s="210"/>
      <c r="R20" s="172"/>
      <c r="S20" s="172"/>
    </row>
    <row r="21" spans="1:19" ht="13.5" thickBot="1" x14ac:dyDescent="0.25">
      <c r="A21" s="244"/>
      <c r="B21" s="245"/>
      <c r="C21" s="238"/>
      <c r="D21" s="246"/>
      <c r="E21" s="239"/>
      <c r="F21" s="246"/>
      <c r="G21" s="240"/>
      <c r="H21" s="246"/>
      <c r="I21" s="240"/>
      <c r="J21" s="246"/>
      <c r="K21" s="265" t="str">
        <f>HYPERLINK("https://kaart.delfi.ee/?bookmark=0807568cf7d8a03cedbb545921254497","Tallinn, Algi 38")</f>
        <v>Tallinn, Algi 38</v>
      </c>
      <c r="L21" s="1251" t="str">
        <f>HYPERLINK("http://www.petanque.ee/index.php?id=&amp;news_id=1219","Hooaja lõpetamine")</f>
        <v>Hooaja lõpetamine</v>
      </c>
      <c r="M21" s="266" t="str">
        <f>HYPERLINK("https://kaart.delfi.ee/?bookmark=0807568cf7d8a03cedbb545921254497","Tallinn, Algi 38")</f>
        <v>Tallinn, Algi 38</v>
      </c>
      <c r="N21" s="264"/>
      <c r="O21" s="172"/>
      <c r="P21" s="210"/>
      <c r="Q21" s="172"/>
      <c r="R21" s="172"/>
      <c r="S21" s="172"/>
    </row>
    <row r="22" spans="1:19" ht="13.5" hidden="1" thickBot="1" x14ac:dyDescent="0.25">
      <c r="A22" s="267"/>
      <c r="B22" s="268"/>
      <c r="C22" s="269"/>
      <c r="D22" s="268"/>
      <c r="E22" s="270"/>
      <c r="F22" s="271"/>
      <c r="G22" s="272"/>
      <c r="H22" s="271"/>
      <c r="I22" s="272"/>
      <c r="J22" s="271"/>
      <c r="K22" s="583" t="s">
        <v>209</v>
      </c>
      <c r="L22" s="273" t="str">
        <f>HYPERLINK("https://kaart.delfi.ee/?bookmark=c86d4a7e4fd84a49abbd6cf94674f685","K")</f>
        <v>K</v>
      </c>
      <c r="M22" s="274"/>
      <c r="N22" s="275"/>
      <c r="O22" s="584"/>
      <c r="P22" s="210"/>
      <c r="Q22" s="173"/>
      <c r="R22" s="173"/>
      <c r="S22" s="172"/>
    </row>
    <row r="23" spans="1:19" x14ac:dyDescent="0.2">
      <c r="A23" s="276"/>
      <c r="B23" s="277">
        <v>19</v>
      </c>
      <c r="C23" s="278"/>
      <c r="D23" s="277">
        <v>20</v>
      </c>
      <c r="E23" s="279"/>
      <c r="F23" s="277">
        <v>21</v>
      </c>
      <c r="G23" s="279"/>
      <c r="H23" s="277">
        <v>22</v>
      </c>
      <c r="I23" s="280"/>
      <c r="J23" s="218">
        <v>23</v>
      </c>
      <c r="K23" s="189" t="str">
        <f>HYPERLINK("#V5!N1","Voka 2. sise-KV 5. etapp")</f>
        <v>Voka 2. sise-KV 5. etapp</v>
      </c>
      <c r="L23" s="281">
        <v>24</v>
      </c>
      <c r="M23" s="282" t="s">
        <v>172</v>
      </c>
      <c r="N23" s="283">
        <v>25</v>
      </c>
      <c r="O23" s="172"/>
      <c r="P23" s="210"/>
      <c r="Q23" s="210"/>
      <c r="R23" s="172"/>
      <c r="S23" s="172"/>
    </row>
    <row r="24" spans="1:19" x14ac:dyDescent="0.2">
      <c r="A24" s="244"/>
      <c r="B24" s="245"/>
      <c r="C24" s="238"/>
      <c r="D24" s="245"/>
      <c r="E24" s="239"/>
      <c r="F24" s="246"/>
      <c r="G24" s="240"/>
      <c r="H24" s="246"/>
      <c r="I24" s="240"/>
      <c r="J24" s="246"/>
      <c r="K24" s="194" t="s">
        <v>168</v>
      </c>
      <c r="L24" s="284"/>
      <c r="M24" s="285" t="s">
        <v>173</v>
      </c>
      <c r="N24" s="286" t="str">
        <f>HYPERLINK("https://www.facebook.com/pg/ivpetanque/posts/","tul")</f>
        <v>tul</v>
      </c>
      <c r="O24" s="172"/>
      <c r="P24" s="172"/>
      <c r="Q24" s="172"/>
      <c r="R24" s="172"/>
      <c r="S24" s="172"/>
    </row>
    <row r="25" spans="1:19" x14ac:dyDescent="0.2">
      <c r="A25" s="244"/>
      <c r="B25" s="287"/>
      <c r="C25" s="244"/>
      <c r="D25" s="288"/>
      <c r="E25" s="289"/>
      <c r="F25" s="246"/>
      <c r="G25" s="240"/>
      <c r="H25" s="246"/>
      <c r="I25" s="240"/>
      <c r="J25" s="246"/>
      <c r="K25" s="290" t="str">
        <f>HYPERLINK("https://kaart.delfi.ee/?bookmark=236e0f8de3f3d8e7138807663f9b5d14","Voka petangihall")</f>
        <v>Voka petangihall</v>
      </c>
      <c r="L25" s="291"/>
      <c r="M25" s="292" t="str">
        <f>HYPERLINK("https://kaart.delfi.ee/?bookmark=225e5f274dc79e88e106035de3e50b2d","K-Järve petangihall")</f>
        <v>K-Järve petangihall</v>
      </c>
      <c r="N25" s="293"/>
      <c r="O25" s="172"/>
      <c r="P25" s="172"/>
      <c r="Q25" s="172"/>
      <c r="R25" s="172"/>
      <c r="S25" s="172"/>
    </row>
    <row r="26" spans="1:19" x14ac:dyDescent="0.2">
      <c r="A26" s="244"/>
      <c r="B26" s="287"/>
      <c r="C26" s="244"/>
      <c r="D26" s="288"/>
      <c r="E26" s="289"/>
      <c r="F26" s="294"/>
      <c r="G26" s="295"/>
      <c r="H26" s="296"/>
      <c r="I26" s="294"/>
      <c r="J26" s="246"/>
      <c r="K26" s="297" t="str">
        <f>HYPERLINK("http://www.petanque.ee/index.php?id=103778&amp;cid=628","2. Klubide sari, 1. etapp")</f>
        <v>2. Klubide sari, 1. etapp</v>
      </c>
      <c r="L26" s="298"/>
      <c r="M26" s="299"/>
      <c r="N26" s="300"/>
      <c r="O26" s="172"/>
      <c r="P26" s="172"/>
      <c r="Q26" s="172"/>
      <c r="R26" s="172"/>
      <c r="S26" s="172"/>
    </row>
    <row r="27" spans="1:19" x14ac:dyDescent="0.2">
      <c r="A27" s="244"/>
      <c r="B27" s="287"/>
      <c r="C27" s="244"/>
      <c r="D27" s="288"/>
      <c r="E27" s="289"/>
      <c r="F27" s="294"/>
      <c r="G27" s="295"/>
      <c r="H27" s="296"/>
      <c r="I27" s="294"/>
      <c r="J27" s="588" t="str">
        <f>HYPERLINK("https://www.tropheedesvilles.fr/programme","ajakava")</f>
        <v>ajakava</v>
      </c>
      <c r="K27" s="262" t="s">
        <v>174</v>
      </c>
      <c r="L27" s="301"/>
      <c r="M27" s="302"/>
      <c r="N27" s="293"/>
      <c r="O27" s="172"/>
      <c r="P27" s="172"/>
      <c r="Q27" s="172"/>
      <c r="R27" s="172"/>
      <c r="S27" s="172"/>
    </row>
    <row r="28" spans="1:19" ht="13.5" thickBot="1" x14ac:dyDescent="0.25">
      <c r="A28" s="244"/>
      <c r="B28" s="287"/>
      <c r="C28" s="244"/>
      <c r="D28" s="288"/>
      <c r="E28" s="289"/>
      <c r="F28" s="294"/>
      <c r="G28" s="303"/>
      <c r="H28" s="304"/>
      <c r="I28" s="294"/>
      <c r="J28" s="589" t="s">
        <v>210</v>
      </c>
      <c r="K28" s="305" t="str">
        <f>HYPERLINK("https://kaart.delfi.ee/?bookmark=0807568cf7d8a03cedbb545921254497","Tallinn, Algi 38")</f>
        <v>Tallinn, Algi 38</v>
      </c>
      <c r="L28" s="301"/>
      <c r="M28" s="306"/>
      <c r="N28" s="307"/>
      <c r="O28" s="172"/>
      <c r="P28" s="172"/>
      <c r="Q28" s="172"/>
      <c r="R28" s="172"/>
      <c r="S28" s="172"/>
    </row>
    <row r="29" spans="1:19" ht="13.5" hidden="1" thickBot="1" x14ac:dyDescent="0.25">
      <c r="A29" s="244"/>
      <c r="B29" s="287"/>
      <c r="C29" s="244"/>
      <c r="D29" s="288"/>
      <c r="E29" s="289"/>
      <c r="F29" s="296"/>
      <c r="G29" s="308"/>
      <c r="H29" s="309"/>
      <c r="I29" s="310"/>
      <c r="J29" s="590" t="s">
        <v>210</v>
      </c>
      <c r="K29" s="311"/>
      <c r="L29" s="310"/>
      <c r="M29" s="312"/>
      <c r="N29" s="588" t="str">
        <f>HYPERLINK("https://www.tropheedesvilles.fr/programme","ajakava")</f>
        <v>ajakava</v>
      </c>
      <c r="O29" s="586"/>
      <c r="P29" s="172"/>
      <c r="Q29" s="172"/>
      <c r="R29" s="172"/>
      <c r="S29" s="172"/>
    </row>
    <row r="30" spans="1:19" ht="13.5" thickBot="1" x14ac:dyDescent="0.25">
      <c r="A30" s="313" t="s">
        <v>72</v>
      </c>
      <c r="B30" s="314"/>
      <c r="C30" s="315"/>
      <c r="D30" s="316"/>
      <c r="E30" s="317"/>
      <c r="F30" s="316"/>
      <c r="G30" s="317"/>
      <c r="H30" s="318"/>
      <c r="I30" s="316"/>
      <c r="J30" s="318"/>
      <c r="K30" s="187"/>
      <c r="L30" s="319"/>
      <c r="M30" s="187"/>
      <c r="N30" s="319"/>
      <c r="O30" s="173"/>
      <c r="P30" s="173"/>
      <c r="Q30" s="173"/>
      <c r="R30" s="172"/>
      <c r="S30" s="172"/>
    </row>
    <row r="31" spans="1:19" x14ac:dyDescent="0.2">
      <c r="A31" s="320"/>
      <c r="B31" s="255">
        <v>26</v>
      </c>
      <c r="C31" s="256"/>
      <c r="D31" s="255">
        <v>27</v>
      </c>
      <c r="E31" s="320"/>
      <c r="F31" s="255">
        <v>28</v>
      </c>
      <c r="G31" s="320"/>
      <c r="H31" s="321">
        <v>29</v>
      </c>
      <c r="I31" s="322"/>
      <c r="J31" s="217">
        <v>30</v>
      </c>
      <c r="K31" s="323"/>
      <c r="L31" s="324">
        <v>1</v>
      </c>
      <c r="M31" s="189" t="str">
        <f>HYPERLINK("#V6!N1","Voka 2. sise-KV 6. etapp")</f>
        <v>Voka 2. sise-KV 6. etapp</v>
      </c>
      <c r="N31" s="324">
        <v>2</v>
      </c>
      <c r="O31" s="172"/>
      <c r="P31" s="172"/>
      <c r="Q31" s="172"/>
      <c r="R31" s="172"/>
      <c r="S31" s="172"/>
    </row>
    <row r="32" spans="1:19" x14ac:dyDescent="0.2">
      <c r="A32" s="325"/>
      <c r="B32" s="245"/>
      <c r="C32" s="238"/>
      <c r="D32" s="245"/>
      <c r="E32" s="325"/>
      <c r="F32" s="246"/>
      <c r="G32" s="240"/>
      <c r="H32" s="287"/>
      <c r="I32" s="326"/>
      <c r="J32" s="327"/>
      <c r="K32" s="172"/>
      <c r="L32" s="263"/>
      <c r="M32" s="194" t="s">
        <v>168</v>
      </c>
      <c r="N32" s="328"/>
      <c r="O32" s="172"/>
      <c r="P32" s="172"/>
      <c r="Q32" s="172"/>
      <c r="R32" s="172"/>
      <c r="S32" s="172"/>
    </row>
    <row r="33" spans="1:19" x14ac:dyDescent="0.2">
      <c r="A33" s="325"/>
      <c r="B33" s="245"/>
      <c r="C33" s="238"/>
      <c r="D33" s="245"/>
      <c r="E33" s="325"/>
      <c r="F33" s="246"/>
      <c r="G33" s="240"/>
      <c r="H33" s="287"/>
      <c r="I33" s="329"/>
      <c r="J33" s="330"/>
      <c r="K33" s="331"/>
      <c r="L33" s="332"/>
      <c r="M33" s="290" t="str">
        <f>HYPERLINK("https://kaart.delfi.ee/?bookmark=236e0f8de3f3d8e7138807663f9b5d14","Voka petangihall")</f>
        <v>Voka petangihall</v>
      </c>
      <c r="N33" s="333"/>
      <c r="O33" s="172"/>
      <c r="P33" s="172"/>
      <c r="Q33" s="172"/>
      <c r="R33" s="172"/>
      <c r="S33" s="172"/>
    </row>
    <row r="34" spans="1:19" x14ac:dyDescent="0.2">
      <c r="A34" s="325"/>
      <c r="B34" s="245"/>
      <c r="C34" s="238"/>
      <c r="D34" s="246"/>
      <c r="E34" s="325"/>
      <c r="F34" s="245"/>
      <c r="G34" s="240"/>
      <c r="H34" s="246"/>
      <c r="I34" s="334" t="str">
        <f>HYPERLINK("http://www.cep-petanque.com/eurocup.html","21. EuroCup finaalid")</f>
        <v>21. EuroCup finaalid</v>
      </c>
      <c r="J34" s="335"/>
      <c r="K34" s="336"/>
      <c r="L34" s="337"/>
      <c r="M34" s="337"/>
      <c r="N34" s="338" t="s">
        <v>175</v>
      </c>
      <c r="O34" s="173"/>
      <c r="P34" s="173"/>
      <c r="Q34" s="173"/>
      <c r="R34" s="173"/>
      <c r="S34" s="173"/>
    </row>
    <row r="35" spans="1:19" ht="13.5" thickBot="1" x14ac:dyDescent="0.25">
      <c r="A35" s="339"/>
      <c r="B35" s="340"/>
      <c r="C35" s="341"/>
      <c r="D35" s="342"/>
      <c r="E35" s="339"/>
      <c r="F35" s="340"/>
      <c r="G35" s="343"/>
      <c r="H35" s="342"/>
      <c r="I35" s="344"/>
      <c r="J35" s="345"/>
      <c r="K35" s="173"/>
      <c r="L35" s="346" t="s">
        <v>176</v>
      </c>
      <c r="M35" s="347"/>
      <c r="N35" s="348" t="str">
        <f>HYPERLINK("http://www.cep-petanque.com/eurocup.html","tulemused")</f>
        <v>tulemused</v>
      </c>
      <c r="O35" s="173"/>
      <c r="P35" s="173"/>
      <c r="Q35" s="173"/>
      <c r="R35" s="173"/>
      <c r="S35" s="173"/>
    </row>
    <row r="36" spans="1:19" ht="13.5" thickTop="1" x14ac:dyDescent="0.2">
      <c r="A36" s="349"/>
      <c r="B36" s="350">
        <v>3</v>
      </c>
      <c r="C36" s="351"/>
      <c r="D36" s="350">
        <v>4</v>
      </c>
      <c r="E36" s="349"/>
      <c r="F36" s="350">
        <v>5</v>
      </c>
      <c r="G36" s="352"/>
      <c r="H36" s="350">
        <v>6</v>
      </c>
      <c r="I36" s="325"/>
      <c r="J36" s="241">
        <v>7</v>
      </c>
      <c r="K36" s="189" t="str">
        <f>HYPERLINK("#V7!N1","Voka 2. sise-KV 7. etapp")</f>
        <v>Voka 2. sise-KV 7. etapp</v>
      </c>
      <c r="L36" s="353">
        <v>8</v>
      </c>
      <c r="M36" s="354"/>
      <c r="N36" s="355">
        <v>9</v>
      </c>
      <c r="O36" s="173"/>
      <c r="P36" s="173"/>
      <c r="Q36" s="173"/>
      <c r="R36" s="173"/>
      <c r="S36" s="173"/>
    </row>
    <row r="37" spans="1:19" x14ac:dyDescent="0.2">
      <c r="A37" s="356"/>
      <c r="B37" s="357"/>
      <c r="C37" s="358"/>
      <c r="D37" s="357"/>
      <c r="E37" s="356"/>
      <c r="F37" s="357"/>
      <c r="G37" s="359"/>
      <c r="H37" s="357"/>
      <c r="I37" s="325"/>
      <c r="J37" s="360"/>
      <c r="K37" s="194" t="s">
        <v>168</v>
      </c>
      <c r="L37" s="284"/>
      <c r="M37" s="243"/>
      <c r="N37" s="361"/>
      <c r="O37" s="173"/>
      <c r="P37" s="173"/>
      <c r="Q37" s="173"/>
      <c r="R37" s="173"/>
      <c r="S37" s="173"/>
    </row>
    <row r="38" spans="1:19" ht="13.5" thickBot="1" x14ac:dyDescent="0.25">
      <c r="A38" s="356"/>
      <c r="B38" s="357"/>
      <c r="C38" s="358"/>
      <c r="D38" s="357"/>
      <c r="E38" s="356"/>
      <c r="F38" s="357"/>
      <c r="G38" s="362"/>
      <c r="H38" s="357"/>
      <c r="I38" s="325"/>
      <c r="J38" s="360"/>
      <c r="K38" s="290" t="str">
        <f>HYPERLINK("https://kaart.delfi.ee/?bookmark=236e0f8de3f3d8e7138807663f9b5d14","Voka petangihall")</f>
        <v>Voka petangihall</v>
      </c>
      <c r="L38" s="291"/>
      <c r="M38" s="252"/>
      <c r="N38" s="363"/>
      <c r="O38" s="173"/>
      <c r="P38" s="173"/>
      <c r="Q38" s="173"/>
      <c r="R38" s="173"/>
      <c r="S38" s="173"/>
    </row>
    <row r="39" spans="1:19" x14ac:dyDescent="0.2">
      <c r="A39" s="364"/>
      <c r="B39" s="365">
        <v>10</v>
      </c>
      <c r="C39" s="366"/>
      <c r="D39" s="365">
        <v>11</v>
      </c>
      <c r="E39" s="364"/>
      <c r="F39" s="365">
        <v>12</v>
      </c>
      <c r="G39" s="364"/>
      <c r="H39" s="365">
        <v>13</v>
      </c>
      <c r="I39" s="367"/>
      <c r="J39" s="365">
        <v>14</v>
      </c>
      <c r="K39" s="368" t="str">
        <f>HYPERLINK("http://www.petanque.ee/index.php?id=103778&amp;cid=631","Eesti sise-MV")</f>
        <v>Eesti sise-MV</v>
      </c>
      <c r="L39" s="260">
        <v>15</v>
      </c>
      <c r="M39" s="369" t="str">
        <f>HYPERLINK("http://www.petanque.ee/index.php?id=103778&amp;cid=632","Eesti reiting")</f>
        <v>Eesti reiting</v>
      </c>
      <c r="N39" s="260">
        <v>16</v>
      </c>
      <c r="O39" s="173"/>
      <c r="P39" s="173"/>
      <c r="Q39" s="173"/>
      <c r="R39" s="173"/>
      <c r="S39" s="173"/>
    </row>
    <row r="40" spans="1:19" x14ac:dyDescent="0.2">
      <c r="A40" s="356"/>
      <c r="B40" s="357"/>
      <c r="C40" s="358"/>
      <c r="D40" s="357"/>
      <c r="E40" s="358"/>
      <c r="F40" s="357"/>
      <c r="G40" s="356"/>
      <c r="H40" s="357"/>
      <c r="I40" s="370"/>
      <c r="J40" s="357"/>
      <c r="K40" s="371" t="s">
        <v>177</v>
      </c>
      <c r="L40" s="585" t="str">
        <f>HYPERLINK("https://drive.google.com/drive/folders/1hKvxmXB6i0KWYwlsXYBu6HwN2mFvQJq4","fot")</f>
        <v>fot</v>
      </c>
      <c r="M40" s="371" t="s">
        <v>169</v>
      </c>
      <c r="N40" s="372"/>
      <c r="O40" s="173"/>
      <c r="P40" s="173"/>
      <c r="Q40" s="173"/>
      <c r="R40" s="173"/>
      <c r="S40" s="173"/>
    </row>
    <row r="41" spans="1:19" ht="13.5" thickBot="1" x14ac:dyDescent="0.25">
      <c r="A41" s="356"/>
      <c r="B41" s="357"/>
      <c r="C41" s="358"/>
      <c r="D41" s="357"/>
      <c r="E41" s="358"/>
      <c r="F41" s="357"/>
      <c r="G41" s="358"/>
      <c r="H41" s="357"/>
      <c r="I41" s="370"/>
      <c r="J41" s="357"/>
      <c r="K41" s="373" t="s">
        <v>81</v>
      </c>
      <c r="L41" s="263"/>
      <c r="M41" s="375" t="str">
        <f>HYPERLINK("https://kaart.delfi.ee/?bookmark=236e0f8de3f3d8e7138807663f9b5d14","Voka petangihall")</f>
        <v>Voka petangihall</v>
      </c>
      <c r="N41" s="372"/>
      <c r="O41" s="173"/>
      <c r="P41" s="173"/>
      <c r="Q41" s="173"/>
      <c r="R41" s="173"/>
      <c r="S41" s="173"/>
    </row>
    <row r="42" spans="1:19" x14ac:dyDescent="0.2">
      <c r="A42" s="364"/>
      <c r="B42" s="379">
        <v>17</v>
      </c>
      <c r="C42" s="364"/>
      <c r="D42" s="365">
        <v>18</v>
      </c>
      <c r="E42" s="364"/>
      <c r="F42" s="379">
        <v>19</v>
      </c>
      <c r="G42" s="364"/>
      <c r="H42" s="365">
        <v>20</v>
      </c>
      <c r="I42" s="364"/>
      <c r="J42" s="365">
        <v>21</v>
      </c>
      <c r="K42" s="380" t="str">
        <f>HYPERLINK("#'V-jh'!N1","''Jõuluhane'' turniir")</f>
        <v>''Jõuluhane'' turniir</v>
      </c>
      <c r="L42" s="381">
        <v>22</v>
      </c>
      <c r="M42" s="382" t="str">
        <f>HYPERLINK("#'Vi-d'!I1","Viru SK meistrivõistlused")</f>
        <v>Viru SK meistrivõistlused</v>
      </c>
      <c r="N42" s="383">
        <v>23</v>
      </c>
      <c r="O42" s="173"/>
      <c r="P42" s="173"/>
      <c r="Q42" s="173"/>
      <c r="R42" s="173"/>
      <c r="S42" s="173"/>
    </row>
    <row r="43" spans="1:19" x14ac:dyDescent="0.2">
      <c r="A43" s="356"/>
      <c r="B43" s="370"/>
      <c r="C43" s="356"/>
      <c r="D43" s="357"/>
      <c r="E43" s="356"/>
      <c r="F43" s="370"/>
      <c r="G43" s="356"/>
      <c r="H43" s="357"/>
      <c r="I43" s="356"/>
      <c r="J43" s="384" t="s">
        <v>178</v>
      </c>
      <c r="K43" s="385" t="s">
        <v>168</v>
      </c>
      <c r="L43" s="386"/>
      <c r="M43" s="387" t="s">
        <v>179</v>
      </c>
      <c r="N43" s="388"/>
      <c r="O43" s="173"/>
      <c r="P43" s="173"/>
      <c r="Q43" s="173"/>
      <c r="R43" s="173"/>
      <c r="S43" s="173"/>
    </row>
    <row r="44" spans="1:19" ht="13.5" thickBot="1" x14ac:dyDescent="0.25">
      <c r="A44" s="389"/>
      <c r="B44" s="390"/>
      <c r="C44" s="389"/>
      <c r="D44" s="391"/>
      <c r="E44" s="392"/>
      <c r="F44" s="391"/>
      <c r="G44" s="389"/>
      <c r="H44" s="391"/>
      <c r="I44" s="389"/>
      <c r="J44" s="393" t="s">
        <v>180</v>
      </c>
      <c r="K44" s="394" t="str">
        <f>HYPERLINK("https://kaart.delfi.ee/?bookmark=236e0f8de3f3d8e7138807663f9b5d14","Voka petangihall")</f>
        <v>Voka petangihall</v>
      </c>
      <c r="L44" s="395"/>
      <c r="M44" s="396" t="str">
        <f>HYPERLINK("https://kaart.delfi.ee/?bookmark=236e0f8de3f3d8e7138807663f9b5d14","Voka petangihall")</f>
        <v>Voka petangihall</v>
      </c>
      <c r="N44" s="397"/>
      <c r="O44" s="173"/>
      <c r="P44" s="173"/>
      <c r="Q44" s="173"/>
      <c r="R44" s="173"/>
      <c r="S44" s="173"/>
    </row>
    <row r="45" spans="1:19" x14ac:dyDescent="0.2">
      <c r="A45" s="364"/>
      <c r="B45" s="398">
        <v>24</v>
      </c>
      <c r="C45" s="366"/>
      <c r="D45" s="398">
        <v>25</v>
      </c>
      <c r="E45" s="366"/>
      <c r="F45" s="398">
        <v>26</v>
      </c>
      <c r="G45" s="320"/>
      <c r="H45" s="365">
        <v>27</v>
      </c>
      <c r="I45" s="399"/>
      <c r="J45" s="365">
        <v>28</v>
      </c>
      <c r="K45" s="189" t="str">
        <f>HYPERLINK("#V8!N1","Voka 2. sise-KV 8. etapp")</f>
        <v>Voka 2. sise-KV 8. etapp</v>
      </c>
      <c r="L45" s="383">
        <v>29</v>
      </c>
      <c r="M45" s="400"/>
      <c r="N45" s="383">
        <v>30</v>
      </c>
      <c r="O45" s="173"/>
      <c r="P45" s="173"/>
      <c r="Q45" s="173"/>
      <c r="R45" s="173"/>
      <c r="S45" s="173"/>
    </row>
    <row r="46" spans="1:19" x14ac:dyDescent="0.2">
      <c r="A46" s="356"/>
      <c r="B46" s="370"/>
      <c r="C46" s="356"/>
      <c r="D46" s="357"/>
      <c r="E46" s="356"/>
      <c r="F46" s="357"/>
      <c r="G46" s="325"/>
      <c r="H46" s="357"/>
      <c r="I46" s="356"/>
      <c r="J46" s="357"/>
      <c r="K46" s="194" t="s">
        <v>168</v>
      </c>
      <c r="L46" s="328"/>
      <c r="M46" s="221"/>
      <c r="N46" s="372"/>
      <c r="O46" s="173"/>
      <c r="P46" s="173"/>
      <c r="Q46" s="173"/>
      <c r="R46" s="173"/>
      <c r="S46" s="173"/>
    </row>
    <row r="47" spans="1:19" ht="13.5" thickBot="1" x14ac:dyDescent="0.25">
      <c r="A47" s="389"/>
      <c r="B47" s="390"/>
      <c r="C47" s="389"/>
      <c r="D47" s="391"/>
      <c r="E47" s="389"/>
      <c r="F47" s="391"/>
      <c r="G47" s="401"/>
      <c r="H47" s="391"/>
      <c r="I47" s="402"/>
      <c r="J47" s="391"/>
      <c r="K47" s="403" t="str">
        <f>HYPERLINK("https://kaart.delfi.ee/?bookmark=236e0f8de3f3d8e7138807663f9b5d14","Voka petangihall")</f>
        <v>Voka petangihall</v>
      </c>
      <c r="L47" s="404"/>
      <c r="M47" s="378"/>
      <c r="N47" s="377"/>
      <c r="O47" s="173"/>
      <c r="P47" s="173"/>
      <c r="Q47" s="173"/>
      <c r="R47" s="173"/>
      <c r="S47" s="173"/>
    </row>
    <row r="48" spans="1:19" ht="13.5" thickBot="1" x14ac:dyDescent="0.25">
      <c r="A48" s="205" t="s">
        <v>91</v>
      </c>
      <c r="B48" s="206"/>
      <c r="C48" s="207"/>
      <c r="D48" s="294"/>
      <c r="E48" s="238"/>
      <c r="F48" s="287"/>
      <c r="G48" s="289"/>
      <c r="H48" s="294"/>
      <c r="I48" s="287"/>
      <c r="J48" s="172"/>
      <c r="K48" s="405"/>
      <c r="L48" s="301"/>
      <c r="M48" s="406"/>
      <c r="N48" s="301"/>
      <c r="O48" s="173"/>
      <c r="P48" s="173"/>
      <c r="Q48" s="173"/>
      <c r="R48" s="173"/>
      <c r="S48" s="173"/>
    </row>
    <row r="49" spans="1:19" x14ac:dyDescent="0.2">
      <c r="A49" s="364"/>
      <c r="B49" s="407">
        <v>31</v>
      </c>
      <c r="C49" s="408" t="s">
        <v>181</v>
      </c>
      <c r="D49" s="365">
        <v>1</v>
      </c>
      <c r="E49" s="364"/>
      <c r="F49" s="365">
        <v>2</v>
      </c>
      <c r="G49" s="320"/>
      <c r="H49" s="365">
        <v>3</v>
      </c>
      <c r="I49" s="409"/>
      <c r="J49" s="365">
        <v>4</v>
      </c>
      <c r="K49" s="189" t="str">
        <f>HYPERLINK("#V9!N1","Voka 2. sise-KV 9. etapp")</f>
        <v>Voka 2. sise-KV 9. etapp</v>
      </c>
      <c r="L49" s="410">
        <v>5</v>
      </c>
      <c r="M49" s="411"/>
      <c r="N49" s="410">
        <v>6</v>
      </c>
      <c r="O49" s="173"/>
      <c r="P49" s="173"/>
      <c r="Q49" s="173"/>
      <c r="R49" s="173"/>
      <c r="S49" s="173"/>
    </row>
    <row r="50" spans="1:19" x14ac:dyDescent="0.2">
      <c r="A50" s="356"/>
      <c r="B50" s="412"/>
      <c r="C50" s="413" t="s">
        <v>182</v>
      </c>
      <c r="D50" s="414"/>
      <c r="E50" s="356"/>
      <c r="F50" s="357"/>
      <c r="G50" s="325"/>
      <c r="H50" s="370"/>
      <c r="I50" s="415"/>
      <c r="J50" s="357"/>
      <c r="K50" s="194" t="s">
        <v>168</v>
      </c>
      <c r="L50" s="328"/>
      <c r="M50" s="416"/>
      <c r="N50" s="417"/>
      <c r="O50" s="173"/>
      <c r="P50" s="173"/>
      <c r="Q50" s="173"/>
      <c r="R50" s="173"/>
      <c r="S50" s="173"/>
    </row>
    <row r="51" spans="1:19" ht="13.5" thickBot="1" x14ac:dyDescent="0.25">
      <c r="A51" s="418"/>
      <c r="B51" s="419"/>
      <c r="C51" s="420" t="str">
        <f>HYPERLINK("https://kaart.delfi.ee/?bookmark=236e0f8de3f3d8e7138807663f9b5d14","Voka petangihall")</f>
        <v>Voka petangihall</v>
      </c>
      <c r="D51" s="414"/>
      <c r="E51" s="356"/>
      <c r="F51" s="421"/>
      <c r="G51" s="325"/>
      <c r="H51" s="422"/>
      <c r="I51" s="415"/>
      <c r="J51" s="422"/>
      <c r="K51" s="403" t="str">
        <f>HYPERLINK("https://kaart.delfi.ee/?bookmark=236e0f8de3f3d8e7138807663f9b5d14","Voka petangihall")</f>
        <v>Voka petangihall</v>
      </c>
      <c r="L51" s="333"/>
      <c r="M51" s="423"/>
      <c r="N51" s="424"/>
      <c r="O51" s="173"/>
      <c r="P51" s="173"/>
      <c r="Q51" s="173"/>
      <c r="R51" s="173"/>
      <c r="S51" s="173"/>
    </row>
    <row r="52" spans="1:19" ht="13.5" thickTop="1" x14ac:dyDescent="0.2">
      <c r="A52" s="325"/>
      <c r="B52" s="237">
        <v>7</v>
      </c>
      <c r="C52" s="425"/>
      <c r="D52" s="255">
        <v>8</v>
      </c>
      <c r="E52" s="426"/>
      <c r="F52" s="255">
        <v>9</v>
      </c>
      <c r="G52" s="427"/>
      <c r="H52" s="255">
        <v>10</v>
      </c>
      <c r="I52" s="428"/>
      <c r="J52" s="255">
        <v>11</v>
      </c>
      <c r="K52" s="173"/>
      <c r="L52" s="260">
        <v>12</v>
      </c>
      <c r="M52" s="382" t="str">
        <f>HYPERLINK("#'Vi-t'!I1","Viru SK meistrivõistlused")</f>
        <v>Viru SK meistrivõistlused</v>
      </c>
      <c r="N52" s="260">
        <v>13</v>
      </c>
      <c r="O52" s="173"/>
      <c r="P52" s="173"/>
      <c r="Q52" s="173"/>
      <c r="R52" s="173"/>
      <c r="S52" s="173"/>
    </row>
    <row r="53" spans="1:19" x14ac:dyDescent="0.2">
      <c r="A53" s="325"/>
      <c r="B53" s="245"/>
      <c r="C53" s="238"/>
      <c r="D53" s="246"/>
      <c r="E53" s="238"/>
      <c r="F53" s="294"/>
      <c r="G53" s="240"/>
      <c r="H53" s="246"/>
      <c r="I53" s="294"/>
      <c r="J53" s="296"/>
      <c r="K53" s="429"/>
      <c r="L53" s="263"/>
      <c r="M53" s="387" t="s">
        <v>183</v>
      </c>
      <c r="N53" s="430"/>
      <c r="O53" s="173"/>
      <c r="P53" s="173"/>
      <c r="Q53" s="173"/>
      <c r="R53" s="173"/>
      <c r="S53" s="173"/>
    </row>
    <row r="54" spans="1:19" x14ac:dyDescent="0.2">
      <c r="A54" s="325"/>
      <c r="B54" s="245"/>
      <c r="C54" s="238"/>
      <c r="D54" s="246"/>
      <c r="E54" s="238"/>
      <c r="F54" s="294"/>
      <c r="G54" s="240"/>
      <c r="H54" s="246"/>
      <c r="I54" s="294"/>
      <c r="J54" s="296"/>
      <c r="K54" s="431" t="str">
        <f>HYPERLINK("http://www.petanque.ee/index.php?id=103778&amp;cid=633","MM katsevõistlus")</f>
        <v>MM katsevõistlus</v>
      </c>
      <c r="L54" s="263"/>
      <c r="M54" s="432" t="str">
        <f>HYPERLINK("https://kaart.delfi.ee/?bookmark=236e0f8de3f3d8e7138807663f9b5d14","Voka petangihall")</f>
        <v>Voka petangihall</v>
      </c>
      <c r="N54" s="433"/>
      <c r="O54" s="173"/>
      <c r="P54" s="173"/>
      <c r="Q54" s="173"/>
      <c r="R54" s="173"/>
      <c r="S54" s="173"/>
    </row>
    <row r="55" spans="1:19" hidden="1" x14ac:dyDescent="0.2">
      <c r="A55" s="325"/>
      <c r="B55" s="245"/>
      <c r="C55" s="238"/>
      <c r="D55" s="246"/>
      <c r="E55" s="238"/>
      <c r="F55" s="294"/>
      <c r="G55" s="240"/>
      <c r="H55" s="246"/>
      <c r="I55" s="294"/>
      <c r="J55" s="296"/>
      <c r="K55" s="173"/>
      <c r="L55" s="301"/>
      <c r="M55" s="434" t="str">
        <f>HYPERLINK("http://www.petanque.ee/index.php?id=103778&amp;cid=634","MM katsevõistlus")</f>
        <v>MM katsevõistlus</v>
      </c>
      <c r="N55" s="435"/>
      <c r="O55" s="584"/>
      <c r="P55" s="173"/>
      <c r="Q55" s="173"/>
      <c r="R55" s="173"/>
      <c r="S55" s="173"/>
    </row>
    <row r="56" spans="1:19" x14ac:dyDescent="0.2">
      <c r="A56" s="325"/>
      <c r="B56" s="245"/>
      <c r="C56" s="238"/>
      <c r="D56" s="246"/>
      <c r="E56" s="238"/>
      <c r="F56" s="294"/>
      <c r="G56" s="240"/>
      <c r="H56" s="246"/>
      <c r="I56" s="294"/>
      <c r="J56" s="296"/>
      <c r="K56" s="436" t="s">
        <v>184</v>
      </c>
      <c r="L56" s="437"/>
      <c r="M56" s="438" t="s">
        <v>184</v>
      </c>
      <c r="N56" s="439"/>
      <c r="O56" s="173"/>
      <c r="P56" s="173"/>
      <c r="Q56" s="173"/>
      <c r="R56" s="173"/>
      <c r="S56" s="173"/>
    </row>
    <row r="57" spans="1:19" ht="13.5" thickBot="1" x14ac:dyDescent="0.25">
      <c r="A57" s="325"/>
      <c r="B57" s="245"/>
      <c r="C57" s="238"/>
      <c r="D57" s="246"/>
      <c r="E57" s="325"/>
      <c r="F57" s="245"/>
      <c r="G57" s="240"/>
      <c r="H57" s="246"/>
      <c r="I57" s="440"/>
      <c r="J57" s="296"/>
      <c r="K57" s="441" t="str">
        <f>HYPERLINK("https://kaart.delfi.ee/?bookmark=0807568cf7d8a03cedbb545921254497","Tallinn, Algi 38")</f>
        <v>Tallinn, Algi 38</v>
      </c>
      <c r="L57" s="442"/>
      <c r="M57" s="443" t="str">
        <f>HYPERLINK("https://kaart.delfi.ee/?bookmark=0807568cf7d8a03cedbb545921254497","Tallinn, Algi 38")</f>
        <v>Tallinn, Algi 38</v>
      </c>
      <c r="N57" s="439"/>
      <c r="O57" s="173"/>
      <c r="P57" s="173"/>
      <c r="Q57" s="173"/>
      <c r="R57" s="173"/>
      <c r="S57" s="173"/>
    </row>
    <row r="58" spans="1:19" x14ac:dyDescent="0.2">
      <c r="A58" s="320"/>
      <c r="B58" s="255">
        <v>14</v>
      </c>
      <c r="C58" s="256"/>
      <c r="D58" s="255">
        <v>15</v>
      </c>
      <c r="E58" s="257"/>
      <c r="F58" s="255">
        <v>16</v>
      </c>
      <c r="G58" s="258"/>
      <c r="H58" s="255">
        <v>17</v>
      </c>
      <c r="I58" s="444"/>
      <c r="J58" s="445">
        <v>18</v>
      </c>
      <c r="K58" s="189" t="str">
        <f>HYPERLINK("#V10!I1","Voka 2. sise-KV 10. etapp")</f>
        <v>Voka 2. sise-KV 10. etapp</v>
      </c>
      <c r="L58" s="260">
        <v>19</v>
      </c>
      <c r="M58" s="282" t="s">
        <v>185</v>
      </c>
      <c r="N58" s="260">
        <v>20</v>
      </c>
      <c r="O58" s="173"/>
      <c r="P58" s="173"/>
      <c r="Q58" s="173"/>
      <c r="R58" s="173"/>
      <c r="S58" s="173"/>
    </row>
    <row r="59" spans="1:19" x14ac:dyDescent="0.2">
      <c r="A59" s="325"/>
      <c r="B59" s="245"/>
      <c r="C59" s="238"/>
      <c r="D59" s="245"/>
      <c r="E59" s="239"/>
      <c r="F59" s="246"/>
      <c r="G59" s="240"/>
      <c r="H59" s="246"/>
      <c r="I59" s="294"/>
      <c r="J59" s="296"/>
      <c r="K59" s="194" t="s">
        <v>168</v>
      </c>
      <c r="L59" s="284"/>
      <c r="M59" s="285" t="s">
        <v>173</v>
      </c>
      <c r="N59" s="286" t="str">
        <f>HYPERLINK("https://www.facebook.com/pg/ivpetanque/posts/","tul")</f>
        <v>tul</v>
      </c>
      <c r="O59" s="173"/>
      <c r="P59" s="173"/>
      <c r="Q59" s="173"/>
      <c r="R59" s="173"/>
      <c r="S59" s="173"/>
    </row>
    <row r="60" spans="1:19" ht="13.5" thickBot="1" x14ac:dyDescent="0.25">
      <c r="A60" s="325"/>
      <c r="B60" s="245"/>
      <c r="C60" s="238"/>
      <c r="D60" s="245"/>
      <c r="E60" s="239"/>
      <c r="F60" s="246"/>
      <c r="G60" s="240"/>
      <c r="H60" s="246"/>
      <c r="I60" s="240"/>
      <c r="J60" s="296"/>
      <c r="K60" s="403" t="str">
        <f>HYPERLINK("https://kaart.delfi.ee/?bookmark=236e0f8de3f3d8e7138807663f9b5d14","Voka petangihall")</f>
        <v>Voka petangihall</v>
      </c>
      <c r="L60" s="284"/>
      <c r="M60" s="292" t="str">
        <f>HYPERLINK("https://kaart.delfi.ee/?bookmark=225e5f274dc79e88e106035de3e50b2d","K-Järve petangihall")</f>
        <v>K-Järve petangihall</v>
      </c>
      <c r="N60" s="446"/>
      <c r="O60" s="173"/>
      <c r="P60" s="173"/>
      <c r="Q60" s="173"/>
      <c r="R60" s="173"/>
      <c r="S60" s="173"/>
    </row>
    <row r="61" spans="1:19" x14ac:dyDescent="0.2">
      <c r="A61" s="320"/>
      <c r="B61" s="255">
        <v>21</v>
      </c>
      <c r="C61" s="256"/>
      <c r="D61" s="447">
        <v>22</v>
      </c>
      <c r="E61" s="257"/>
      <c r="F61" s="255">
        <v>23</v>
      </c>
      <c r="G61" s="258"/>
      <c r="H61" s="447">
        <v>24</v>
      </c>
      <c r="I61" s="399"/>
      <c r="J61" s="255">
        <v>25</v>
      </c>
      <c r="K61" s="189" t="str">
        <f>HYPERLINK("#V11!N1","Voka 2. sise-KV 11. etapp")</f>
        <v>Voka 2. sise-KV 11. etapp</v>
      </c>
      <c r="L61" s="321">
        <v>26</v>
      </c>
      <c r="M61" s="257"/>
      <c r="N61" s="448">
        <v>27</v>
      </c>
      <c r="O61" s="173"/>
      <c r="P61" s="173"/>
      <c r="Q61" s="173"/>
      <c r="R61" s="173"/>
      <c r="S61" s="173"/>
    </row>
    <row r="62" spans="1:19" x14ac:dyDescent="0.2">
      <c r="A62" s="325"/>
      <c r="B62" s="245"/>
      <c r="C62" s="238"/>
      <c r="D62" s="287"/>
      <c r="E62" s="239"/>
      <c r="F62" s="246"/>
      <c r="G62" s="240"/>
      <c r="H62" s="294"/>
      <c r="I62" s="356"/>
      <c r="J62" s="449"/>
      <c r="K62" s="194" t="s">
        <v>168</v>
      </c>
      <c r="L62" s="450"/>
      <c r="M62" s="239"/>
      <c r="N62" s="451"/>
      <c r="O62" s="173"/>
      <c r="P62" s="173"/>
      <c r="Q62" s="173"/>
      <c r="R62" s="173"/>
      <c r="S62" s="173"/>
    </row>
    <row r="63" spans="1:19" x14ac:dyDescent="0.2">
      <c r="A63" s="325"/>
      <c r="B63" s="245"/>
      <c r="C63" s="238"/>
      <c r="D63" s="287"/>
      <c r="E63" s="239"/>
      <c r="F63" s="246"/>
      <c r="G63" s="240"/>
      <c r="H63" s="294"/>
      <c r="I63" s="452"/>
      <c r="J63" s="246"/>
      <c r="K63" s="290" t="str">
        <f>HYPERLINK("https://kaart.delfi.ee/?bookmark=236e0f8de3f3d8e7138807663f9b5d14","Voka petangihall")</f>
        <v>Voka petangihall</v>
      </c>
      <c r="L63" s="453"/>
      <c r="M63" s="239"/>
      <c r="N63" s="245"/>
      <c r="O63" s="173"/>
      <c r="P63" s="173"/>
      <c r="Q63" s="173"/>
      <c r="R63" s="173"/>
      <c r="S63" s="173"/>
    </row>
    <row r="64" spans="1:19" x14ac:dyDescent="0.2">
      <c r="A64" s="325"/>
      <c r="B64" s="245"/>
      <c r="C64" s="238"/>
      <c r="D64" s="287"/>
      <c r="E64" s="239"/>
      <c r="F64" s="246"/>
      <c r="G64" s="294"/>
      <c r="H64" s="294"/>
      <c r="I64" s="452"/>
      <c r="J64" s="246"/>
      <c r="K64" s="297" t="str">
        <f>HYPERLINK("http://www.petanque.ee/index.php?id=103778&amp;cid=635","2. Klubide sari, 2. etapp")</f>
        <v>2. Klubide sari, 2. etapp</v>
      </c>
      <c r="L64" s="298"/>
      <c r="M64" s="240"/>
      <c r="N64" s="246"/>
      <c r="O64" s="173"/>
      <c r="P64" s="173"/>
      <c r="Q64" s="173"/>
      <c r="R64" s="173"/>
      <c r="S64" s="173"/>
    </row>
    <row r="65" spans="1:19" x14ac:dyDescent="0.2">
      <c r="A65" s="325"/>
      <c r="B65" s="245"/>
      <c r="C65" s="238"/>
      <c r="D65" s="287"/>
      <c r="E65" s="239"/>
      <c r="F65" s="246"/>
      <c r="G65" s="294"/>
      <c r="H65" s="294"/>
      <c r="I65" s="452"/>
      <c r="J65" s="246"/>
      <c r="K65" s="262" t="s">
        <v>174</v>
      </c>
      <c r="L65" s="301"/>
      <c r="M65" s="240"/>
      <c r="N65" s="246"/>
      <c r="O65" s="173"/>
      <c r="P65" s="173"/>
      <c r="Q65" s="173"/>
      <c r="R65" s="173"/>
      <c r="S65" s="173"/>
    </row>
    <row r="66" spans="1:19" ht="13.5" thickBot="1" x14ac:dyDescent="0.25">
      <c r="A66" s="401"/>
      <c r="B66" s="454"/>
      <c r="C66" s="455"/>
      <c r="D66" s="456"/>
      <c r="E66" s="457"/>
      <c r="F66" s="458"/>
      <c r="G66" s="459"/>
      <c r="H66" s="459"/>
      <c r="I66" s="402"/>
      <c r="J66" s="458"/>
      <c r="K66" s="460" t="str">
        <f>HYPERLINK("https://kaart.delfi.ee/?bookmark=0807568cf7d8a03cedbb545921254497","Tallinn, Algi 38")</f>
        <v>Tallinn, Algi 38</v>
      </c>
      <c r="L66" s="461"/>
      <c r="M66" s="462"/>
      <c r="N66" s="458"/>
      <c r="O66" s="173"/>
      <c r="P66" s="173"/>
      <c r="Q66" s="173"/>
      <c r="R66" s="173"/>
      <c r="S66" s="173"/>
    </row>
    <row r="67" spans="1:19" ht="13.5" thickBot="1" x14ac:dyDescent="0.25">
      <c r="A67" s="205" t="s">
        <v>106</v>
      </c>
      <c r="B67" s="206"/>
      <c r="C67" s="207"/>
      <c r="D67" s="370"/>
      <c r="E67" s="358"/>
      <c r="F67" s="358"/>
      <c r="G67" s="370"/>
      <c r="H67" s="370"/>
      <c r="I67" s="370"/>
      <c r="J67" s="370"/>
      <c r="K67" s="370"/>
      <c r="L67" s="370"/>
      <c r="M67" s="463"/>
      <c r="N67" s="370"/>
      <c r="O67" s="173"/>
      <c r="P67" s="173"/>
      <c r="Q67" s="173"/>
      <c r="R67" s="173"/>
      <c r="S67" s="173"/>
    </row>
    <row r="68" spans="1:19" x14ac:dyDescent="0.2">
      <c r="A68" s="464"/>
      <c r="B68" s="465">
        <v>28</v>
      </c>
      <c r="C68" s="464"/>
      <c r="D68" s="465">
        <v>29</v>
      </c>
      <c r="E68" s="464"/>
      <c r="F68" s="466">
        <v>30</v>
      </c>
      <c r="G68" s="467"/>
      <c r="H68" s="468">
        <v>31</v>
      </c>
      <c r="I68" s="469"/>
      <c r="J68" s="465">
        <v>1</v>
      </c>
      <c r="K68" s="470" t="str">
        <f>HYPERLINK("#'iv-t'!N1","Ida-Virumaa sise-MV")</f>
        <v>Ida-Virumaa sise-MV</v>
      </c>
      <c r="L68" s="410">
        <v>2</v>
      </c>
      <c r="M68" s="411"/>
      <c r="N68" s="410">
        <v>3</v>
      </c>
      <c r="O68" s="173"/>
      <c r="P68" s="173"/>
      <c r="Q68" s="173"/>
      <c r="R68" s="173"/>
      <c r="S68" s="173"/>
    </row>
    <row r="69" spans="1:19" x14ac:dyDescent="0.2">
      <c r="A69" s="471"/>
      <c r="B69" s="472"/>
      <c r="C69" s="471"/>
      <c r="D69" s="472"/>
      <c r="E69" s="471"/>
      <c r="F69" s="473"/>
      <c r="G69" s="471"/>
      <c r="H69" s="474"/>
      <c r="I69" s="473"/>
      <c r="J69" s="475"/>
      <c r="K69" s="476" t="s">
        <v>169</v>
      </c>
      <c r="L69" s="477"/>
      <c r="M69" s="416"/>
      <c r="N69" s="478"/>
      <c r="O69" s="173"/>
      <c r="P69" s="173"/>
      <c r="Q69" s="173"/>
      <c r="R69" s="173"/>
      <c r="S69" s="173"/>
    </row>
    <row r="70" spans="1:19" ht="13.5" thickBot="1" x14ac:dyDescent="0.25">
      <c r="A70" s="479"/>
      <c r="B70" s="480"/>
      <c r="C70" s="479"/>
      <c r="D70" s="480"/>
      <c r="E70" s="479"/>
      <c r="F70" s="481"/>
      <c r="G70" s="482"/>
      <c r="H70" s="483"/>
      <c r="I70" s="484"/>
      <c r="J70" s="485"/>
      <c r="K70" s="486" t="str">
        <f>HYPERLINK("https://kaart.delfi.ee/?bookmark=236e0f8de3f3d8e7138807663f9b5d14","Voka petangihall")</f>
        <v>Voka petangihall</v>
      </c>
      <c r="L70" s="487" t="str">
        <f>HYPERLINK("https://webzone.ee/petank/juhendid/i-viru-sise-mv-2018-2019-juhend.pdf","juh")</f>
        <v>juh</v>
      </c>
      <c r="M70" s="423"/>
      <c r="N70" s="488"/>
      <c r="O70" s="173"/>
      <c r="P70" s="173"/>
      <c r="Q70" s="173"/>
      <c r="R70" s="173"/>
      <c r="S70" s="173"/>
    </row>
    <row r="71" spans="1:19" ht="13.5" thickTop="1" x14ac:dyDescent="0.2">
      <c r="A71" s="471"/>
      <c r="B71" s="489">
        <v>4</v>
      </c>
      <c r="C71" s="471"/>
      <c r="D71" s="489">
        <v>5</v>
      </c>
      <c r="E71" s="471"/>
      <c r="F71" s="489">
        <v>6</v>
      </c>
      <c r="G71" s="490"/>
      <c r="H71" s="489">
        <v>7</v>
      </c>
      <c r="I71" s="467"/>
      <c r="J71" s="465">
        <v>8</v>
      </c>
      <c r="K71" s="259" t="str">
        <f>HYPERLINK("http://www.petanque.ee/index.php?id=103778&amp;cid=637","Eesti sise-MV")</f>
        <v>Eesti sise-MV</v>
      </c>
      <c r="L71" s="410">
        <v>9</v>
      </c>
      <c r="M71" s="259" t="str">
        <f>HYPERLINK("http://www.petanque.ee/index.php?id=103778&amp;cid=638","Eesti sise-MV")</f>
        <v>Eesti sise-MV</v>
      </c>
      <c r="N71" s="410">
        <v>10</v>
      </c>
      <c r="O71" s="173"/>
      <c r="P71" s="173"/>
      <c r="Q71" s="173"/>
      <c r="R71" s="173"/>
      <c r="S71" s="173"/>
    </row>
    <row r="72" spans="1:19" x14ac:dyDescent="0.2">
      <c r="A72" s="471"/>
      <c r="B72" s="472"/>
      <c r="C72" s="471"/>
      <c r="D72" s="289"/>
      <c r="E72" s="471"/>
      <c r="F72" s="472"/>
      <c r="G72" s="490"/>
      <c r="H72" s="472"/>
      <c r="I72" s="490"/>
      <c r="J72" s="475"/>
      <c r="K72" s="262" t="s">
        <v>637</v>
      </c>
      <c r="L72" s="491"/>
      <c r="M72" s="262" t="s">
        <v>638</v>
      </c>
      <c r="N72" s="263"/>
      <c r="O72" s="173"/>
      <c r="P72" s="173"/>
      <c r="Q72" s="173"/>
      <c r="R72" s="173"/>
      <c r="S72" s="173"/>
    </row>
    <row r="73" spans="1:19" x14ac:dyDescent="0.2">
      <c r="A73" s="471"/>
      <c r="B73" s="472"/>
      <c r="C73" s="471"/>
      <c r="D73" s="289"/>
      <c r="E73" s="471"/>
      <c r="F73" s="472"/>
      <c r="G73" s="490"/>
      <c r="H73" s="472"/>
      <c r="I73" s="490"/>
      <c r="J73" s="492"/>
      <c r="K73" s="266" t="str">
        <f>HYPERLINK("https://kaart.delfi.ee/?bookmark=0807568cf7d8a03cedbb545921254497","Tallinn, Algi 38")</f>
        <v>Tallinn, Algi 38</v>
      </c>
      <c r="L73" s="491"/>
      <c r="M73" s="266" t="str">
        <f>HYPERLINK("https://kaart.delfi.ee/?bookmark=0807568cf7d8a03cedbb545921254497","Tallinn, Algi 38")</f>
        <v>Tallinn, Algi 38</v>
      </c>
      <c r="N73" s="263"/>
      <c r="O73" s="173"/>
    </row>
    <row r="74" spans="1:19" x14ac:dyDescent="0.2">
      <c r="A74" s="471"/>
      <c r="B74" s="472"/>
      <c r="C74" s="471"/>
      <c r="D74" s="289"/>
      <c r="E74" s="471"/>
      <c r="F74" s="472"/>
      <c r="G74" s="490"/>
      <c r="H74" s="472"/>
      <c r="I74" s="490"/>
      <c r="J74" s="492"/>
      <c r="K74" s="493"/>
      <c r="L74" s="472"/>
      <c r="M74" s="494" t="str">
        <f>HYPERLINK("#'V-n1'!I1","Turniir noortele (16:00), ÜKSIK")</f>
        <v>Turniir noortele (16:00), ÜKSIK</v>
      </c>
      <c r="N74" s="495"/>
      <c r="O74" s="173"/>
    </row>
    <row r="75" spans="1:19" ht="13.5" thickBot="1" x14ac:dyDescent="0.25">
      <c r="A75" s="496"/>
      <c r="B75" s="485"/>
      <c r="C75" s="496"/>
      <c r="D75" s="485"/>
      <c r="E75" s="496"/>
      <c r="F75" s="485"/>
      <c r="G75" s="497"/>
      <c r="H75" s="485"/>
      <c r="I75" s="497"/>
      <c r="J75" s="485"/>
      <c r="K75" s="498"/>
      <c r="L75" s="485"/>
      <c r="M75" s="499" t="str">
        <f>HYPERLINK("https://kaart.delfi.ee/?bookmark=236e0f8de3f3d8e7138807663f9b5d14","Voka petangihall")</f>
        <v>Voka petangihall</v>
      </c>
      <c r="N75" s="500"/>
      <c r="O75" s="173"/>
    </row>
    <row r="76" spans="1:19" x14ac:dyDescent="0.2">
      <c r="A76" s="464"/>
      <c r="B76" s="465">
        <v>11</v>
      </c>
      <c r="C76" s="464"/>
      <c r="D76" s="465">
        <v>12</v>
      </c>
      <c r="E76" s="464"/>
      <c r="F76" s="465">
        <v>13</v>
      </c>
      <c r="G76" s="467"/>
      <c r="H76" s="465">
        <v>14</v>
      </c>
      <c r="I76" s="467"/>
      <c r="J76" s="465">
        <v>15</v>
      </c>
      <c r="K76" s="189" t="str">
        <f>HYPERLINK("#V12!I1","Voka 2. sise-KV 12. etapp")</f>
        <v>Voka 2. sise-KV 12. etapp</v>
      </c>
      <c r="L76" s="260">
        <v>16</v>
      </c>
      <c r="M76" s="382" t="str">
        <f>HYPERLINK("#'Vi-ü'!I1","Viru SK meistrivõistlused")</f>
        <v>Viru SK meistrivõistlused</v>
      </c>
      <c r="N76" s="260">
        <v>17</v>
      </c>
      <c r="O76" s="173"/>
    </row>
    <row r="77" spans="1:19" x14ac:dyDescent="0.2">
      <c r="A77" s="471"/>
      <c r="B77" s="472"/>
      <c r="C77" s="471"/>
      <c r="D77" s="472"/>
      <c r="E77" s="471"/>
      <c r="F77" s="472"/>
      <c r="G77" s="490"/>
      <c r="H77" s="472"/>
      <c r="I77" s="490"/>
      <c r="J77" s="472"/>
      <c r="K77" s="194" t="s">
        <v>168</v>
      </c>
      <c r="L77" s="501"/>
      <c r="M77" s="387" t="s">
        <v>187</v>
      </c>
      <c r="N77" s="502"/>
      <c r="O77" s="173"/>
    </row>
    <row r="78" spans="1:19" x14ac:dyDescent="0.2">
      <c r="A78" s="471"/>
      <c r="B78" s="472"/>
      <c r="C78" s="471"/>
      <c r="D78" s="472"/>
      <c r="E78" s="471"/>
      <c r="F78" s="472"/>
      <c r="G78" s="490"/>
      <c r="H78" s="472"/>
      <c r="I78" s="490"/>
      <c r="J78" s="472"/>
      <c r="K78" s="503" t="str">
        <f>HYPERLINK("https://kaart.delfi.ee/?bookmark=236e0f8de3f3d8e7138807663f9b5d14","Voka petangihall")</f>
        <v>Voka petangihall</v>
      </c>
      <c r="L78" s="501"/>
      <c r="M78" s="504" t="str">
        <f>HYPERLINK("https://kaart.delfi.ee/?bookmark=236e0f8de3f3d8e7138807663f9b5d14","Voka petangihall")</f>
        <v>Voka petangihall</v>
      </c>
      <c r="N78" s="505"/>
      <c r="O78" s="173"/>
    </row>
    <row r="79" spans="1:19" x14ac:dyDescent="0.2">
      <c r="A79" s="471"/>
      <c r="B79" s="472"/>
      <c r="C79" s="471"/>
      <c r="D79" s="472"/>
      <c r="E79" s="471"/>
      <c r="F79" s="472"/>
      <c r="G79" s="490"/>
      <c r="H79" s="472"/>
      <c r="I79" s="490"/>
      <c r="J79" s="472"/>
      <c r="K79" s="503"/>
      <c r="L79" s="501"/>
      <c r="M79" s="506" t="s">
        <v>188</v>
      </c>
      <c r="N79" s="507"/>
      <c r="O79" s="173"/>
    </row>
    <row r="80" spans="1:19" x14ac:dyDescent="0.2">
      <c r="A80" s="471"/>
      <c r="B80" s="472"/>
      <c r="C80" s="471"/>
      <c r="D80" s="472"/>
      <c r="E80" s="471"/>
      <c r="F80" s="472"/>
      <c r="G80" s="490"/>
      <c r="H80" s="472"/>
      <c r="I80" s="490"/>
      <c r="J80" s="472"/>
      <c r="K80" s="503"/>
      <c r="L80" s="501"/>
      <c r="M80" s="285" t="s">
        <v>173</v>
      </c>
      <c r="N80" s="286" t="str">
        <f>HYPERLINK("https://www.facebook.com/pg/ivpetanque/posts/","tul")</f>
        <v>tul</v>
      </c>
      <c r="O80" s="173"/>
    </row>
    <row r="81" spans="1:19" ht="13.5" thickBot="1" x14ac:dyDescent="0.25">
      <c r="A81" s="471"/>
      <c r="B81" s="472"/>
      <c r="C81" s="471"/>
      <c r="D81" s="472"/>
      <c r="E81" s="471"/>
      <c r="F81" s="472"/>
      <c r="G81" s="490"/>
      <c r="H81" s="472"/>
      <c r="I81" s="490"/>
      <c r="J81" s="472"/>
      <c r="K81" s="503"/>
      <c r="L81" s="501"/>
      <c r="M81" s="292" t="str">
        <f>HYPERLINK("https://kaart.delfi.ee/?bookmark=225e5f274dc79e88e106035de3e50b2d","K-Järve petangihall")</f>
        <v>K-Järve petangihall</v>
      </c>
      <c r="N81" s="508"/>
      <c r="O81" s="173"/>
    </row>
    <row r="82" spans="1:19" x14ac:dyDescent="0.2">
      <c r="A82" s="464"/>
      <c r="B82" s="465">
        <v>18</v>
      </c>
      <c r="C82" s="464"/>
      <c r="D82" s="465">
        <v>19</v>
      </c>
      <c r="E82" s="464"/>
      <c r="F82" s="465">
        <v>20</v>
      </c>
      <c r="G82" s="467"/>
      <c r="H82" s="465">
        <v>21</v>
      </c>
      <c r="I82" s="464"/>
      <c r="J82" s="260">
        <v>22</v>
      </c>
      <c r="K82" s="509" t="str">
        <f>HYPERLINK("#EV101!I1","Eesti 101")</f>
        <v>Eesti 101</v>
      </c>
      <c r="L82" s="260">
        <v>23</v>
      </c>
      <c r="M82" s="510" t="s">
        <v>189</v>
      </c>
      <c r="N82" s="511">
        <v>24</v>
      </c>
      <c r="O82" s="173"/>
    </row>
    <row r="83" spans="1:19" x14ac:dyDescent="0.2">
      <c r="A83" s="471"/>
      <c r="B83" s="472"/>
      <c r="C83" s="471"/>
      <c r="D83" s="472"/>
      <c r="E83" s="471"/>
      <c r="F83" s="472"/>
      <c r="G83" s="490"/>
      <c r="H83" s="472"/>
      <c r="I83" s="512"/>
      <c r="J83" s="472"/>
      <c r="K83" s="513" t="s">
        <v>168</v>
      </c>
      <c r="L83" s="514" t="str">
        <f>HYPERLINK("https://webzone.ee/petank/juhendid/voka-ev101-juhend.pdf","juh")</f>
        <v>juh</v>
      </c>
      <c r="M83" s="515" t="s">
        <v>190</v>
      </c>
      <c r="N83" s="516"/>
      <c r="O83" s="173"/>
    </row>
    <row r="84" spans="1:19" x14ac:dyDescent="0.2">
      <c r="A84" s="471"/>
      <c r="B84" s="472"/>
      <c r="C84" s="471"/>
      <c r="D84" s="472"/>
      <c r="E84" s="471"/>
      <c r="F84" s="472"/>
      <c r="G84" s="490"/>
      <c r="H84" s="472"/>
      <c r="I84" s="512"/>
      <c r="J84" s="472"/>
      <c r="K84" s="517" t="s">
        <v>191</v>
      </c>
      <c r="L84" s="518"/>
      <c r="M84" s="519" t="s">
        <v>192</v>
      </c>
      <c r="N84" s="516"/>
      <c r="O84" s="532"/>
    </row>
    <row r="85" spans="1:19" x14ac:dyDescent="0.2">
      <c r="A85" s="471"/>
      <c r="B85" s="472"/>
      <c r="C85" s="471"/>
      <c r="D85" s="472"/>
      <c r="E85" s="471"/>
      <c r="F85" s="472"/>
      <c r="G85" s="490"/>
      <c r="H85" s="472"/>
      <c r="I85" s="512"/>
      <c r="J85" s="472"/>
      <c r="K85" s="520" t="s">
        <v>193</v>
      </c>
      <c r="L85" s="521" t="str">
        <f>HYPERLINK("https://webzone.ee/petank/juhendid/eesti-101-petangi-asetusvõistlus-riigikokku-kandideerijatele-ida-virumaalt-2018-2019-juhend.pdf","juh")</f>
        <v>juh</v>
      </c>
      <c r="M85" s="515" t="s">
        <v>194</v>
      </c>
      <c r="N85" s="516"/>
      <c r="O85" s="532"/>
      <c r="P85" s="173"/>
      <c r="Q85" s="173"/>
      <c r="R85" s="173"/>
      <c r="S85" s="173"/>
    </row>
    <row r="86" spans="1:19" x14ac:dyDescent="0.2">
      <c r="A86" s="471"/>
      <c r="B86" s="472"/>
      <c r="C86" s="471"/>
      <c r="D86" s="472"/>
      <c r="E86" s="471"/>
      <c r="F86" s="472"/>
      <c r="G86" s="490"/>
      <c r="H86" s="472"/>
      <c r="I86" s="512"/>
      <c r="J86" s="472"/>
      <c r="K86" s="522" t="str">
        <f>HYPERLINK("https://kaart.delfi.ee/?bookmark=236e0f8de3f3d8e7138807663f9b5d14","Voka petangihall")</f>
        <v>Voka petangihall</v>
      </c>
      <c r="L86" s="523"/>
      <c r="M86" s="524" t="s">
        <v>195</v>
      </c>
      <c r="N86" s="516"/>
      <c r="O86" s="173"/>
      <c r="P86" s="173"/>
      <c r="Q86" s="173"/>
      <c r="R86" s="173"/>
      <c r="S86" s="173"/>
    </row>
    <row r="87" spans="1:19" x14ac:dyDescent="0.2">
      <c r="A87" s="471"/>
      <c r="B87" s="472"/>
      <c r="C87" s="471"/>
      <c r="D87" s="472"/>
      <c r="E87" s="471"/>
      <c r="F87" s="472"/>
      <c r="G87" s="490"/>
      <c r="H87" s="472"/>
      <c r="I87" s="512"/>
      <c r="J87" s="472"/>
      <c r="K87" s="525" t="str">
        <f>HYPERLINK("http://www.petanque.ee/index.php?id=103778&amp;cid=632","Eesti reiting")</f>
        <v>Eesti reiting</v>
      </c>
      <c r="L87" s="526"/>
      <c r="M87" s="527" t="str">
        <f>HYPERLINK("http://kaart.delfi.ee//?bookmark=4268fea6e7fefa2ad9d600f7d3a5e1d9","(spordihoone juures - Metsa 2)")</f>
        <v>(spordihoone juures - Metsa 2)</v>
      </c>
      <c r="N87" s="516"/>
      <c r="O87" s="173"/>
      <c r="P87" s="173"/>
      <c r="Q87" s="173"/>
      <c r="R87" s="173"/>
      <c r="S87" s="173"/>
    </row>
    <row r="88" spans="1:19" x14ac:dyDescent="0.2">
      <c r="A88" s="471"/>
      <c r="B88" s="472"/>
      <c r="C88" s="471"/>
      <c r="D88" s="472"/>
      <c r="E88" s="471"/>
      <c r="F88" s="472"/>
      <c r="G88" s="490"/>
      <c r="H88" s="472"/>
      <c r="I88" s="512"/>
      <c r="J88" s="472"/>
      <c r="K88" s="262" t="s">
        <v>168</v>
      </c>
      <c r="L88" s="437"/>
      <c r="M88" s="527"/>
      <c r="N88" s="516"/>
      <c r="O88" s="173"/>
      <c r="P88" s="173"/>
      <c r="Q88" s="173"/>
      <c r="R88" s="173"/>
      <c r="S88" s="173"/>
    </row>
    <row r="89" spans="1:19" ht="13.5" thickBot="1" x14ac:dyDescent="0.25">
      <c r="A89" s="496"/>
      <c r="B89" s="485"/>
      <c r="C89" s="496"/>
      <c r="D89" s="485"/>
      <c r="E89" s="496"/>
      <c r="F89" s="485"/>
      <c r="G89" s="497"/>
      <c r="H89" s="485"/>
      <c r="I89" s="528"/>
      <c r="J89" s="485"/>
      <c r="K89" s="529" t="str">
        <f>HYPERLINK("https://kaart.delfi.ee/?bookmark=0807568cf7d8a03cedbb545921254497","Tallinn, Algi 38")</f>
        <v>Tallinn, Algi 38</v>
      </c>
      <c r="L89" s="442"/>
      <c r="M89" s="530"/>
      <c r="N89" s="531"/>
      <c r="O89" s="173"/>
      <c r="P89" s="173"/>
      <c r="Q89" s="173"/>
      <c r="R89" s="173"/>
      <c r="S89" s="173"/>
    </row>
    <row r="90" spans="1:19" ht="13.5" thickBot="1" x14ac:dyDescent="0.25">
      <c r="A90" s="205" t="s">
        <v>124</v>
      </c>
      <c r="B90" s="206"/>
      <c r="C90" s="207"/>
      <c r="D90" s="287"/>
      <c r="E90" s="238"/>
      <c r="F90" s="287"/>
      <c r="G90" s="289"/>
      <c r="H90" s="294"/>
      <c r="I90" s="294"/>
      <c r="J90" s="294"/>
      <c r="K90" s="405"/>
      <c r="L90" s="287"/>
      <c r="M90" s="406"/>
      <c r="N90" s="287"/>
      <c r="O90" s="173"/>
      <c r="P90" s="173"/>
      <c r="Q90" s="173"/>
      <c r="R90" s="173"/>
      <c r="S90" s="173"/>
    </row>
    <row r="91" spans="1:19" x14ac:dyDescent="0.2">
      <c r="A91" s="464"/>
      <c r="B91" s="465">
        <v>25</v>
      </c>
      <c r="C91" s="464"/>
      <c r="D91" s="465">
        <v>26</v>
      </c>
      <c r="E91" s="464"/>
      <c r="F91" s="466">
        <v>27</v>
      </c>
      <c r="G91" s="464"/>
      <c r="H91" s="468">
        <v>28</v>
      </c>
      <c r="I91" s="533"/>
      <c r="J91" s="465">
        <v>1</v>
      </c>
      <c r="K91" s="189" t="str">
        <f>HYPERLINK("#V13!I1","Voka 2. sise-KV 13. etapp")</f>
        <v>Voka 2. sise-KV 13. etapp</v>
      </c>
      <c r="L91" s="410">
        <v>2</v>
      </c>
      <c r="M91" s="411"/>
      <c r="N91" s="410">
        <v>3</v>
      </c>
      <c r="O91" s="173"/>
      <c r="P91" s="173"/>
      <c r="Q91" s="173"/>
      <c r="R91" s="173"/>
      <c r="S91" s="173"/>
    </row>
    <row r="92" spans="1:19" x14ac:dyDescent="0.2">
      <c r="A92" s="471"/>
      <c r="B92" s="472"/>
      <c r="C92" s="471"/>
      <c r="D92" s="472"/>
      <c r="E92" s="471"/>
      <c r="F92" s="473"/>
      <c r="G92" s="471"/>
      <c r="H92" s="474"/>
      <c r="I92" s="534"/>
      <c r="J92" s="472"/>
      <c r="K92" s="194" t="s">
        <v>168</v>
      </c>
      <c r="L92" s="501"/>
      <c r="M92" s="416"/>
      <c r="N92" s="374"/>
      <c r="O92" s="173"/>
      <c r="P92" s="173"/>
      <c r="Q92" s="173"/>
      <c r="R92" s="173"/>
      <c r="S92" s="173"/>
    </row>
    <row r="93" spans="1:19" ht="13.5" thickBot="1" x14ac:dyDescent="0.25">
      <c r="A93" s="479"/>
      <c r="B93" s="480"/>
      <c r="C93" s="479"/>
      <c r="D93" s="480"/>
      <c r="E93" s="479"/>
      <c r="F93" s="481"/>
      <c r="G93" s="479"/>
      <c r="H93" s="483"/>
      <c r="I93" s="534"/>
      <c r="J93" s="472"/>
      <c r="K93" s="503" t="str">
        <f>HYPERLINK("https://kaart.delfi.ee/?bookmark=236e0f8de3f3d8e7138807663f9b5d14","Voka petangihall")</f>
        <v>Voka petangihall</v>
      </c>
      <c r="L93" s="333"/>
      <c r="M93" s="423"/>
      <c r="N93" s="535"/>
      <c r="O93" s="173"/>
      <c r="P93" s="173"/>
      <c r="Q93" s="173"/>
      <c r="R93" s="173"/>
      <c r="S93" s="173"/>
    </row>
    <row r="94" spans="1:19" ht="13.5" thickTop="1" x14ac:dyDescent="0.2">
      <c r="A94" s="356"/>
      <c r="B94" s="489">
        <v>4</v>
      </c>
      <c r="C94" s="356"/>
      <c r="D94" s="489">
        <v>5</v>
      </c>
      <c r="E94" s="356"/>
      <c r="F94" s="489">
        <v>6</v>
      </c>
      <c r="G94" s="356"/>
      <c r="H94" s="489">
        <v>7</v>
      </c>
      <c r="I94" s="364"/>
      <c r="J94" s="465">
        <v>8</v>
      </c>
      <c r="K94" s="368" t="str">
        <f>HYPERLINK("http://www.petanque.ee/index.php?id=103778&amp;cid=640","Eesti sise-MV")</f>
        <v>Eesti sise-MV</v>
      </c>
      <c r="L94" s="410">
        <v>9</v>
      </c>
      <c r="M94" s="369" t="str">
        <f>HYPERLINK("http://www.petanque.ee/index.php?id=103778&amp;cid=641","Eesti reiting, Toila Spa")</f>
        <v>Eesti reiting, Toila Spa</v>
      </c>
      <c r="N94" s="410">
        <v>10</v>
      </c>
      <c r="O94" s="173"/>
      <c r="P94" s="173"/>
      <c r="Q94" s="173"/>
      <c r="R94" s="173"/>
      <c r="S94" s="532"/>
    </row>
    <row r="95" spans="1:19" x14ac:dyDescent="0.2">
      <c r="A95" s="356"/>
      <c r="B95" s="472"/>
      <c r="C95" s="356"/>
      <c r="D95" s="472"/>
      <c r="E95" s="356"/>
      <c r="F95" s="472"/>
      <c r="G95" s="356"/>
      <c r="H95" s="472"/>
      <c r="I95" s="356"/>
      <c r="J95" s="472"/>
      <c r="K95" s="371" t="s">
        <v>168</v>
      </c>
      <c r="L95" s="521"/>
      <c r="M95" s="1230" t="s">
        <v>196</v>
      </c>
      <c r="N95" s="521" t="str">
        <f>HYPERLINK("https://webzone.ee/petank/juhendid/e2018-2019-e10-juhend.pdf","juh")</f>
        <v>juh</v>
      </c>
      <c r="O95" s="173"/>
    </row>
    <row r="96" spans="1:19" x14ac:dyDescent="0.2">
      <c r="A96" s="356"/>
      <c r="B96" s="357"/>
      <c r="C96" s="356"/>
      <c r="D96" s="357"/>
      <c r="E96" s="356"/>
      <c r="F96" s="357"/>
      <c r="G96" s="356"/>
      <c r="H96" s="357"/>
      <c r="I96" s="356"/>
      <c r="J96" s="521" t="str">
        <f>HYPERLINK("https://z-upload.facebook.com/events/760925217622800/","inf")</f>
        <v>inf</v>
      </c>
      <c r="K96" s="1235" t="str">
        <f>HYPERLINK("https://kaart.delfi.ee/?bookmark=236e0f8de3f3d8e7138807663f9b5d14","Voka petangihall")</f>
        <v>Voka petangihall</v>
      </c>
      <c r="L96" s="357"/>
      <c r="M96" s="371" t="s">
        <v>169</v>
      </c>
      <c r="N96" s="372"/>
      <c r="O96" s="173"/>
    </row>
    <row r="97" spans="1:19" ht="13.5" thickBot="1" x14ac:dyDescent="0.25">
      <c r="A97" s="356"/>
      <c r="B97" s="357"/>
      <c r="C97" s="593" t="str">
        <f>HYPERLINK("https://www.google.com/maps/dir/60.1955816,24.9359298/60.1948296,24.9330223/@60.1958625,24.9317434,401m/am=t/data=!3m2!1e3!4b1!4m2!4m1!3e0?hl=en","Helsingi (Soome)")</f>
        <v>Helsingi (Soome)</v>
      </c>
      <c r="D97" s="357"/>
      <c r="E97" s="356"/>
      <c r="F97" s="357"/>
      <c r="G97" s="356"/>
      <c r="H97" s="357"/>
      <c r="I97" s="356"/>
      <c r="J97" s="592" t="s">
        <v>211</v>
      </c>
      <c r="K97" s="1236" t="str">
        <f>HYPERLINK("https://kaart.delfi.ee/?bookmark=225e5f274dc79e88e106035de3e50b2d","K-Järve petangihall")</f>
        <v>K-Järve petangihall</v>
      </c>
      <c r="L97" s="536" t="str">
        <f>HYPERLINK("https://drive.google.com/drive/folders/131Mb4Le_r7j0Kx6Oi1O66HZeD9LJ4ZOr","fot")</f>
        <v>fot</v>
      </c>
      <c r="M97" s="1231" t="str">
        <f>HYPERLINK("https://kaart.delfi.ee/?bookmark=236e0f8de3f3d8e7138807663f9b5d14","Voka petangihall")</f>
        <v>Voka petangihall</v>
      </c>
      <c r="N97" s="536" t="str">
        <f>HYPERLINK("https://drive.google.com/drive/folders/131Mb4Le_r7j0Kx6Oi1O66HZeD9LJ4ZOr","fot")</f>
        <v>fot</v>
      </c>
      <c r="O97" s="173"/>
    </row>
    <row r="98" spans="1:19" ht="13.5" hidden="1" thickBot="1" x14ac:dyDescent="0.25">
      <c r="A98" s="356"/>
      <c r="B98" s="357"/>
      <c r="C98" s="356"/>
      <c r="D98" s="357"/>
      <c r="E98" s="356"/>
      <c r="F98" s="357"/>
      <c r="G98" s="356"/>
      <c r="H98" s="357"/>
      <c r="I98" s="356"/>
      <c r="J98" s="357"/>
      <c r="K98" s="1237" t="s">
        <v>197</v>
      </c>
      <c r="L98" s="537" t="str">
        <f>HYPERLINK("https://www.google.com/maps/dir/60.1955816,24.9359298/60.1948296,24.9330223/@60.1958625,24.9317434,401m/am=t/data=!3m2!1e3!4b1!4m2!4m1!3e0?hl=en","Helsingi (Soome)")</f>
        <v>Helsingi (Soome)</v>
      </c>
      <c r="M98" s="1232"/>
      <c r="N98" s="538" t="str">
        <f>HYPERLINK("https://z-upload.facebook.com/events/760925217622800/","inf")</f>
        <v>inf</v>
      </c>
      <c r="O98" s="584"/>
    </row>
    <row r="99" spans="1:19" x14ac:dyDescent="0.2">
      <c r="A99" s="364"/>
      <c r="B99" s="465">
        <v>11</v>
      </c>
      <c r="C99" s="364"/>
      <c r="D99" s="465">
        <v>12</v>
      </c>
      <c r="E99" s="364"/>
      <c r="F99" s="465">
        <v>13</v>
      </c>
      <c r="G99" s="364"/>
      <c r="H99" s="465">
        <v>14</v>
      </c>
      <c r="I99" s="364"/>
      <c r="J99" s="465">
        <v>15</v>
      </c>
      <c r="K99" s="189" t="str">
        <f>HYPERLINK("#V14!I1","Voka 2. sise-KV 14. etapp")</f>
        <v>Voka 2. sise-KV 14. etapp</v>
      </c>
      <c r="L99" s="410">
        <v>16</v>
      </c>
      <c r="M99" s="282" t="s">
        <v>198</v>
      </c>
      <c r="N99" s="260">
        <v>17</v>
      </c>
      <c r="O99" s="173"/>
    </row>
    <row r="100" spans="1:19" x14ac:dyDescent="0.2">
      <c r="A100" s="356"/>
      <c r="B100" s="357"/>
      <c r="C100" s="356"/>
      <c r="D100" s="357"/>
      <c r="E100" s="356"/>
      <c r="F100" s="357"/>
      <c r="G100" s="356"/>
      <c r="H100" s="357"/>
      <c r="I100" s="356"/>
      <c r="J100" s="357"/>
      <c r="K100" s="194" t="s">
        <v>168</v>
      </c>
      <c r="L100" s="328"/>
      <c r="M100" s="285" t="s">
        <v>173</v>
      </c>
      <c r="N100" s="286" t="str">
        <f>HYPERLINK("https://www.facebook.com/pg/ivpetanque/posts/","tul")</f>
        <v>tul</v>
      </c>
      <c r="O100" s="173"/>
    </row>
    <row r="101" spans="1:19" ht="13.5" thickBot="1" x14ac:dyDescent="0.25">
      <c r="A101" s="356"/>
      <c r="B101" s="357"/>
      <c r="C101" s="356"/>
      <c r="D101" s="357"/>
      <c r="E101" s="356"/>
      <c r="F101" s="357"/>
      <c r="G101" s="356"/>
      <c r="H101" s="357"/>
      <c r="I101" s="356"/>
      <c r="J101" s="357"/>
      <c r="K101" s="503" t="str">
        <f>HYPERLINK("https://kaart.delfi.ee/?bookmark=236e0f8de3f3d8e7138807663f9b5d14","Voka petangihall")</f>
        <v>Voka petangihall</v>
      </c>
      <c r="L101" s="328"/>
      <c r="M101" s="292" t="str">
        <f>HYPERLINK("https://kaart.delfi.ee/?bookmark=225e5f274dc79e88e106035de3e50b2d","K-Järve petangihall")</f>
        <v>K-Järve petangihall</v>
      </c>
      <c r="N101" s="540"/>
      <c r="O101" s="173"/>
    </row>
    <row r="102" spans="1:19" x14ac:dyDescent="0.2">
      <c r="A102" s="364"/>
      <c r="B102" s="465">
        <v>18</v>
      </c>
      <c r="C102" s="364"/>
      <c r="D102" s="465">
        <v>19</v>
      </c>
      <c r="E102" s="364"/>
      <c r="F102" s="465">
        <v>20</v>
      </c>
      <c r="G102" s="364"/>
      <c r="H102" s="465">
        <v>21</v>
      </c>
      <c r="I102" s="364"/>
      <c r="J102" s="465">
        <v>22</v>
      </c>
      <c r="K102" s="539"/>
      <c r="L102" s="410">
        <v>23</v>
      </c>
      <c r="M102" s="470" t="str">
        <f>HYPERLINK("#'iv-d'!I1","Ida-Virumaa sise-MV")</f>
        <v>Ida-Virumaa sise-MV</v>
      </c>
      <c r="N102" s="410">
        <v>24</v>
      </c>
      <c r="O102" s="173"/>
    </row>
    <row r="103" spans="1:19" x14ac:dyDescent="0.2">
      <c r="A103" s="356"/>
      <c r="B103" s="357"/>
      <c r="C103" s="356"/>
      <c r="D103" s="357"/>
      <c r="E103" s="356"/>
      <c r="F103" s="357"/>
      <c r="G103" s="356"/>
      <c r="H103" s="357"/>
      <c r="I103" s="356"/>
      <c r="J103" s="357"/>
      <c r="K103" s="520"/>
      <c r="L103" s="357"/>
      <c r="M103" s="476" t="s">
        <v>168</v>
      </c>
      <c r="N103" s="477"/>
      <c r="O103" s="173"/>
    </row>
    <row r="104" spans="1:19" ht="13.5" thickBot="1" x14ac:dyDescent="0.25">
      <c r="A104" s="389"/>
      <c r="B104" s="542"/>
      <c r="C104" s="389"/>
      <c r="D104" s="542"/>
      <c r="E104" s="389"/>
      <c r="F104" s="391"/>
      <c r="G104" s="389"/>
      <c r="H104" s="542"/>
      <c r="I104" s="389"/>
      <c r="J104" s="542"/>
      <c r="K104" s="541"/>
      <c r="L104" s="542"/>
      <c r="M104" s="486" t="str">
        <f>HYPERLINK("https://kaart.delfi.ee/?bookmark=236e0f8de3f3d8e7138807663f9b5d14","Voka petangihall")</f>
        <v>Voka petangihall</v>
      </c>
      <c r="N104" s="487" t="str">
        <f>HYPERLINK("https://webzone.ee/petank/juhendid/i-viru-sise-mv-2018-2019-juhend.pdf","juh")</f>
        <v>juh</v>
      </c>
      <c r="O104" s="173"/>
    </row>
    <row r="105" spans="1:19" x14ac:dyDescent="0.2">
      <c r="A105" s="320"/>
      <c r="B105" s="465">
        <v>25</v>
      </c>
      <c r="C105" s="256"/>
      <c r="D105" s="465">
        <v>26</v>
      </c>
      <c r="E105" s="320"/>
      <c r="F105" s="465">
        <v>27</v>
      </c>
      <c r="G105" s="322"/>
      <c r="H105" s="465">
        <v>28</v>
      </c>
      <c r="I105" s="543"/>
      <c r="J105" s="465">
        <v>29</v>
      </c>
      <c r="K105" s="1238" t="s">
        <v>639</v>
      </c>
      <c r="L105" s="544">
        <v>30</v>
      </c>
      <c r="M105" s="1233" t="str">
        <f>HYPERLINK("#'shk-viru'!K1","K-Järve SHK - Viru SK")</f>
        <v>K-Järve SHK - Viru SK</v>
      </c>
      <c r="N105" s="410">
        <v>31</v>
      </c>
      <c r="O105" s="173"/>
    </row>
    <row r="106" spans="1:19" x14ac:dyDescent="0.2">
      <c r="A106" s="325"/>
      <c r="B106" s="472"/>
      <c r="C106" s="238"/>
      <c r="D106" s="472"/>
      <c r="E106" s="325"/>
      <c r="F106" s="472"/>
      <c r="G106" s="326"/>
      <c r="H106" s="472"/>
      <c r="I106" s="287"/>
      <c r="J106" s="472"/>
      <c r="K106" s="262" t="s">
        <v>174</v>
      </c>
      <c r="L106" s="545"/>
      <c r="M106" s="1234" t="s">
        <v>199</v>
      </c>
      <c r="N106" s="546"/>
      <c r="O106" s="173"/>
    </row>
    <row r="107" spans="1:19" ht="13.5" thickBot="1" x14ac:dyDescent="0.25">
      <c r="A107" s="401"/>
      <c r="B107" s="485"/>
      <c r="C107" s="455"/>
      <c r="D107" s="485"/>
      <c r="E107" s="401"/>
      <c r="F107" s="485"/>
      <c r="G107" s="547"/>
      <c r="H107" s="485"/>
      <c r="I107" s="456"/>
      <c r="J107" s="485"/>
      <c r="K107" s="460" t="str">
        <f>HYPERLINK("https://kaart.delfi.ee/?bookmark=0807568cf7d8a03cedbb545921254497","Tallinn, Algi 38")</f>
        <v>Tallinn, Algi 38</v>
      </c>
      <c r="L107" s="548"/>
      <c r="M107" s="570" t="str">
        <f>HYPERLINK("https://kaart.delfi.ee/?bookmark=236e0f8de3f3d8e7138807663f9b5d14","Voka petangihall")</f>
        <v>Voka petangihall</v>
      </c>
      <c r="N107" s="549"/>
    </row>
    <row r="108" spans="1:19" ht="13.5" thickBot="1" x14ac:dyDescent="0.25">
      <c r="A108" s="205" t="s">
        <v>140</v>
      </c>
      <c r="B108" s="550"/>
      <c r="C108" s="551"/>
      <c r="D108" s="473"/>
      <c r="E108" s="534"/>
      <c r="F108" s="473"/>
      <c r="G108" s="534"/>
      <c r="H108" s="473"/>
      <c r="I108" s="473"/>
      <c r="J108" s="473"/>
      <c r="K108" s="552"/>
      <c r="L108" s="473"/>
      <c r="M108" s="405"/>
      <c r="N108" s="287"/>
      <c r="S108" s="534"/>
    </row>
    <row r="109" spans="1:19" x14ac:dyDescent="0.2">
      <c r="A109" s="320"/>
      <c r="B109" s="465">
        <v>1</v>
      </c>
      <c r="C109" s="256"/>
      <c r="D109" s="465">
        <v>2</v>
      </c>
      <c r="E109" s="320"/>
      <c r="F109" s="465">
        <v>3</v>
      </c>
      <c r="G109" s="322"/>
      <c r="H109" s="465">
        <v>4</v>
      </c>
      <c r="I109" s="543"/>
      <c r="J109" s="466">
        <v>5</v>
      </c>
      <c r="K109" s="1239" t="str">
        <f>HYPERLINK("#V15!I1","Voka 2. sise-KV 15. etapp")</f>
        <v>Voka 2. sise-KV 15. etapp</v>
      </c>
      <c r="L109" s="465">
        <v>6</v>
      </c>
      <c r="M109" s="411"/>
      <c r="N109" s="465">
        <v>7</v>
      </c>
      <c r="S109" s="173"/>
    </row>
    <row r="110" spans="1:19" x14ac:dyDescent="0.2">
      <c r="A110" s="325"/>
      <c r="B110" s="245"/>
      <c r="C110" s="238"/>
      <c r="D110" s="245"/>
      <c r="E110" s="325"/>
      <c r="F110" s="245"/>
      <c r="G110" s="325"/>
      <c r="H110" s="245"/>
      <c r="I110" s="287"/>
      <c r="J110" s="287"/>
      <c r="K110" s="1228" t="s">
        <v>168</v>
      </c>
      <c r="L110" s="553"/>
      <c r="M110" s="416"/>
      <c r="N110" s="554"/>
      <c r="S110" s="173"/>
    </row>
    <row r="111" spans="1:19" ht="13.5" thickBot="1" x14ac:dyDescent="0.25">
      <c r="A111" s="401"/>
      <c r="B111" s="454"/>
      <c r="C111" s="455"/>
      <c r="D111" s="454"/>
      <c r="E111" s="401"/>
      <c r="F111" s="454"/>
      <c r="G111" s="547"/>
      <c r="H111" s="454"/>
      <c r="I111" s="456"/>
      <c r="J111" s="456"/>
      <c r="K111" s="1229" t="str">
        <f>HYPERLINK("https://kaart.delfi.ee/?bookmark=236e0f8de3f3d8e7138807663f9b5d14","Voka petangihall")</f>
        <v>Voka petangihall</v>
      </c>
      <c r="L111" s="555"/>
      <c r="M111" s="423"/>
      <c r="N111" s="556"/>
      <c r="S111" s="173"/>
    </row>
    <row r="112" spans="1:19" x14ac:dyDescent="0.2">
      <c r="A112" s="325"/>
      <c r="B112" s="489">
        <v>8</v>
      </c>
      <c r="C112" s="256"/>
      <c r="D112" s="465">
        <v>9</v>
      </c>
      <c r="E112" s="320"/>
      <c r="F112" s="465">
        <v>10</v>
      </c>
      <c r="G112" s="320"/>
      <c r="H112" s="466">
        <v>11</v>
      </c>
      <c r="I112" s="320"/>
      <c r="J112" s="465">
        <v>12</v>
      </c>
      <c r="K112" s="259" t="str">
        <f>HYPERLINK("http://www.petanque.ee/index.php?id=103778&amp;cid=644","Eesti sise-MV")</f>
        <v>Eesti sise-MV</v>
      </c>
      <c r="L112" s="465">
        <v>13</v>
      </c>
      <c r="M112" s="369" t="str">
        <f>HYPERLINK("http://www.petanque.ee/index.php?id=103778&amp;cid=645","Eesti reiting")</f>
        <v>Eesti reiting</v>
      </c>
      <c r="N112" s="465">
        <v>14</v>
      </c>
      <c r="S112" s="173"/>
    </row>
    <row r="113" spans="1:19" x14ac:dyDescent="0.2">
      <c r="A113" s="325"/>
      <c r="B113" s="472"/>
      <c r="C113" s="238"/>
      <c r="D113" s="472"/>
      <c r="E113" s="325"/>
      <c r="F113" s="472"/>
      <c r="G113" s="325"/>
      <c r="H113" s="557"/>
      <c r="I113" s="325"/>
      <c r="J113" s="557"/>
      <c r="K113" s="262" t="s">
        <v>169</v>
      </c>
      <c r="L113" s="557"/>
      <c r="M113" s="262" t="s">
        <v>168</v>
      </c>
      <c r="N113" s="357"/>
      <c r="S113" s="532"/>
    </row>
    <row r="114" spans="1:19" x14ac:dyDescent="0.2">
      <c r="A114" s="325"/>
      <c r="B114" s="472"/>
      <c r="C114" s="238"/>
      <c r="D114" s="472"/>
      <c r="E114" s="325"/>
      <c r="F114" s="472"/>
      <c r="G114" s="325"/>
      <c r="H114" s="557"/>
      <c r="I114" s="325"/>
      <c r="J114" s="557"/>
      <c r="K114" s="266" t="str">
        <f>HYPERLINK("https://kaart.delfi.ee/?bookmark=0807568cf7d8a03cedbb545921254497","Tallinn, Algi 38")</f>
        <v>Tallinn, Algi 38</v>
      </c>
      <c r="L114" s="557"/>
      <c r="M114" s="1226" t="str">
        <f>HYPERLINK("https://kaart.delfi.ee/?bookmark=0807568cf7d8a03cedbb545921254497","Tallinn, Algi 38")</f>
        <v>Tallinn, Algi 38</v>
      </c>
      <c r="N114" s="558"/>
      <c r="O114" s="173"/>
      <c r="P114" s="173"/>
      <c r="Q114" s="173"/>
      <c r="R114" s="532"/>
      <c r="S114" s="532"/>
    </row>
    <row r="115" spans="1:19" x14ac:dyDescent="0.2">
      <c r="A115" s="325"/>
      <c r="B115" s="472"/>
      <c r="C115" s="238"/>
      <c r="D115" s="472"/>
      <c r="E115" s="325"/>
      <c r="F115" s="472"/>
      <c r="G115" s="325"/>
      <c r="H115" s="557"/>
      <c r="I115" s="325"/>
      <c r="J115" s="557"/>
      <c r="K115" s="262"/>
      <c r="L115" s="557"/>
      <c r="M115" s="1227" t="str">
        <f>HYPERLINK("#'V-Fin'!N1","Voka 2. sise-KV superfinaal")</f>
        <v>Voka 2. sise-KV superfinaal</v>
      </c>
      <c r="N115" s="559"/>
      <c r="O115" s="173"/>
      <c r="P115" s="173"/>
      <c r="Q115" s="173"/>
      <c r="R115" s="532"/>
      <c r="S115" s="532"/>
    </row>
    <row r="116" spans="1:19" x14ac:dyDescent="0.2">
      <c r="A116" s="325"/>
      <c r="B116" s="472"/>
      <c r="C116" s="238"/>
      <c r="D116" s="472"/>
      <c r="E116" s="325"/>
      <c r="F116" s="472"/>
      <c r="G116" s="325"/>
      <c r="H116" s="557"/>
      <c r="I116" s="325"/>
      <c r="J116" s="557"/>
      <c r="K116" s="262"/>
      <c r="L116" s="557"/>
      <c r="M116" s="1228" t="s">
        <v>200</v>
      </c>
      <c r="N116" s="553"/>
      <c r="O116" s="173"/>
      <c r="P116" s="173"/>
      <c r="Q116" s="173"/>
      <c r="R116" s="532"/>
      <c r="S116" s="532"/>
    </row>
    <row r="117" spans="1:19" ht="13.5" thickBot="1" x14ac:dyDescent="0.25">
      <c r="A117" s="401"/>
      <c r="B117" s="454"/>
      <c r="C117" s="455"/>
      <c r="D117" s="454"/>
      <c r="E117" s="401"/>
      <c r="F117" s="454"/>
      <c r="G117" s="401"/>
      <c r="H117" s="560"/>
      <c r="I117" s="401"/>
      <c r="J117" s="560"/>
      <c r="K117" s="1232"/>
      <c r="L117" s="560"/>
      <c r="M117" s="1229" t="str">
        <f>HYPERLINK("https://kaart.delfi.ee/?bookmark=236e0f8de3f3d8e7138807663f9b5d14","Voka petangihall")</f>
        <v>Voka petangihall</v>
      </c>
      <c r="N117" s="555"/>
      <c r="O117" s="173"/>
      <c r="P117" s="173"/>
      <c r="Q117" s="173"/>
      <c r="R117" s="173"/>
      <c r="S117" s="173"/>
    </row>
    <row r="118" spans="1:19" x14ac:dyDescent="0.2">
      <c r="A118" s="320"/>
      <c r="B118" s="465">
        <v>15</v>
      </c>
      <c r="C118" s="320"/>
      <c r="D118" s="465">
        <v>16</v>
      </c>
      <c r="E118" s="256"/>
      <c r="F118" s="465">
        <v>17</v>
      </c>
      <c r="G118" s="322"/>
      <c r="H118" s="465">
        <v>18</v>
      </c>
      <c r="I118" s="1240" t="s">
        <v>201</v>
      </c>
      <c r="J118" s="1244">
        <v>19</v>
      </c>
      <c r="K118" s="1246"/>
      <c r="L118" s="466">
        <v>20</v>
      </c>
      <c r="M118" s="470" t="str">
        <f>HYPERLINK("#'iv-ü'!N1","Ida-Virumaa sise-MV")</f>
        <v>Ida-Virumaa sise-MV</v>
      </c>
      <c r="N118" s="561">
        <v>21</v>
      </c>
      <c r="O118" s="173"/>
      <c r="P118" s="173"/>
      <c r="Q118" s="173"/>
      <c r="R118" s="173"/>
      <c r="S118" s="173"/>
    </row>
    <row r="119" spans="1:19" x14ac:dyDescent="0.2">
      <c r="A119" s="325"/>
      <c r="B119" s="473"/>
      <c r="C119" s="325"/>
      <c r="D119" s="472"/>
      <c r="E119" s="238"/>
      <c r="F119" s="473"/>
      <c r="G119" s="562" t="s">
        <v>202</v>
      </c>
      <c r="H119" s="472"/>
      <c r="I119" s="1241" t="s">
        <v>633</v>
      </c>
      <c r="J119" s="1243"/>
      <c r="K119" s="262"/>
      <c r="L119" s="287"/>
      <c r="M119" s="476" t="s">
        <v>186</v>
      </c>
      <c r="N119" s="563"/>
      <c r="O119" s="173"/>
      <c r="P119" s="173"/>
      <c r="Q119" s="173"/>
      <c r="R119" s="173"/>
      <c r="S119" s="173"/>
    </row>
    <row r="120" spans="1:19" ht="13.5" thickBot="1" x14ac:dyDescent="0.25">
      <c r="A120" s="401"/>
      <c r="B120" s="456"/>
      <c r="C120" s="401"/>
      <c r="D120" s="454"/>
      <c r="E120" s="455"/>
      <c r="F120" s="456"/>
      <c r="G120" s="562"/>
      <c r="H120" s="1030" t="s">
        <v>203</v>
      </c>
      <c r="I120" s="1242" t="str">
        <f>HYPERLINK("https://kaart.delfi.ee/?bookmark=236e0f8de3f3d8e7138807663f9b5d14","Voka petangihall")</f>
        <v>Voka petangihall</v>
      </c>
      <c r="J120" s="1245"/>
      <c r="K120" s="1247"/>
      <c r="L120" s="456"/>
      <c r="M120" s="486" t="str">
        <f>HYPERLINK("https://kaart.delfi.ee/?bookmark=236e0f8de3f3d8e7138807663f9b5d14","Voka petangihall")</f>
        <v>Voka petangihall</v>
      </c>
      <c r="N120" s="487" t="str">
        <f>HYPERLINK("https://webzone.ee/petank/juhendid/i-viru-sise-mv-2018-2019-juhend.pdf","juh")</f>
        <v>juh</v>
      </c>
      <c r="S120" s="173"/>
    </row>
    <row r="121" spans="1:19" x14ac:dyDescent="0.2">
      <c r="A121" s="320"/>
      <c r="B121" s="466">
        <v>22</v>
      </c>
      <c r="C121" s="320"/>
      <c r="D121" s="465">
        <v>23</v>
      </c>
      <c r="E121" s="256"/>
      <c r="F121" s="465">
        <v>24</v>
      </c>
      <c r="G121" s="322"/>
      <c r="H121" s="465">
        <v>25</v>
      </c>
      <c r="I121" s="543"/>
      <c r="J121" s="465">
        <v>26</v>
      </c>
      <c r="K121" s="564" t="str">
        <f>HYPERLINK("http://www.petanque.ee/index.php?id=103778&amp;cid=647","14. Tartu Vaim")</f>
        <v>14. Tartu Vaim</v>
      </c>
      <c r="L121" s="465">
        <v>27</v>
      </c>
      <c r="M121" s="565" t="s">
        <v>204</v>
      </c>
      <c r="N121" s="465">
        <v>28</v>
      </c>
      <c r="S121" s="173"/>
    </row>
    <row r="122" spans="1:19" x14ac:dyDescent="0.2">
      <c r="A122" s="325"/>
      <c r="B122" s="287"/>
      <c r="C122" s="325"/>
      <c r="D122" s="437"/>
      <c r="E122" s="325"/>
      <c r="F122" s="245"/>
      <c r="G122" s="326"/>
      <c r="H122" s="287"/>
      <c r="I122" s="326"/>
      <c r="J122" s="245"/>
      <c r="K122" s="566" t="s">
        <v>205</v>
      </c>
      <c r="L122" s="1249" t="str">
        <f>HYPERLINK("http://turna.ee/swiss.php?tid=194","tul")</f>
        <v>tul</v>
      </c>
      <c r="M122" s="567" t="s">
        <v>635</v>
      </c>
      <c r="N122" s="568"/>
      <c r="S122" s="173"/>
    </row>
    <row r="123" spans="1:19" ht="13.5" thickBot="1" x14ac:dyDescent="0.25">
      <c r="A123" s="401"/>
      <c r="B123" s="456"/>
      <c r="C123" s="401"/>
      <c r="D123" s="442"/>
      <c r="E123" s="455"/>
      <c r="F123" s="456"/>
      <c r="G123" s="547"/>
      <c r="H123" s="456"/>
      <c r="I123" s="547"/>
      <c r="J123" s="454"/>
      <c r="K123" s="569" t="str">
        <f>HYPERLINK("https://kaart.delfi.ee/?bookmark=d9da63566809feae32e6ca75683e42cd","Tartu, Lossi 25")</f>
        <v>Tartu, Lossi 25</v>
      </c>
      <c r="L123" s="1250" t="str">
        <f>HYPERLINK("https://sites.google.com/site/tartupetank/juhendid/petangiturniir-tartu-vaim-juhend","juh")</f>
        <v>juh</v>
      </c>
      <c r="M123" s="570" t="str">
        <f>HYPERLINK("https://kaart.delfi.ee/?bookmark=236e0f8de3f3d8e7138807663f9b5d14","Voka petangihall")</f>
        <v>Voka petangihall</v>
      </c>
      <c r="N123" s="571"/>
      <c r="S123" s="173"/>
    </row>
    <row r="124" spans="1:19" hidden="1" x14ac:dyDescent="0.2">
      <c r="A124" s="173"/>
      <c r="B124" s="173"/>
      <c r="C124" s="173"/>
      <c r="D124" s="173"/>
      <c r="E124" s="172"/>
      <c r="F124" s="172"/>
      <c r="G124" s="173"/>
      <c r="H124" s="173"/>
      <c r="I124" s="173"/>
      <c r="J124" s="173"/>
      <c r="K124" s="173"/>
      <c r="L124" s="173"/>
      <c r="M124" s="173"/>
      <c r="N124" s="172"/>
      <c r="O124" s="587"/>
      <c r="S124" s="173"/>
    </row>
    <row r="125" spans="1:19" x14ac:dyDescent="0.2">
      <c r="A125" s="301" t="s">
        <v>206</v>
      </c>
      <c r="B125" s="376"/>
      <c r="C125" s="376"/>
      <c r="D125" s="376"/>
      <c r="E125" s="376"/>
      <c r="F125" s="376"/>
      <c r="G125" s="376"/>
      <c r="H125" s="376"/>
      <c r="I125" s="376"/>
      <c r="J125" s="376"/>
      <c r="K125" s="376"/>
      <c r="L125" s="376"/>
      <c r="M125" s="376"/>
      <c r="N125" s="376"/>
      <c r="O125" s="572"/>
      <c r="P125" s="572"/>
      <c r="Q125" s="572"/>
      <c r="R125" s="572"/>
      <c r="S125" s="572"/>
    </row>
    <row r="126" spans="1:19" x14ac:dyDescent="0.2">
      <c r="A126" s="159" t="s">
        <v>207</v>
      </c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2"/>
      <c r="P126" s="572"/>
      <c r="Q126" s="572"/>
      <c r="R126" s="572"/>
      <c r="S126" s="572"/>
    </row>
    <row r="127" spans="1:19" hidden="1" x14ac:dyDescent="0.2">
      <c r="A127" s="159" t="s">
        <v>157</v>
      </c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91"/>
      <c r="P127" s="574"/>
      <c r="Q127" s="574"/>
      <c r="R127" s="574"/>
      <c r="S127" s="574"/>
    </row>
    <row r="128" spans="1:19" x14ac:dyDescent="0.2">
      <c r="A128" s="575" t="s">
        <v>159</v>
      </c>
      <c r="B128" s="574"/>
      <c r="C128" s="574"/>
      <c r="D128" s="574"/>
      <c r="E128" s="574"/>
      <c r="F128" s="574"/>
      <c r="G128" s="574"/>
      <c r="H128" s="574"/>
      <c r="I128" s="574"/>
      <c r="J128" s="574"/>
      <c r="K128" s="574"/>
      <c r="L128" s="574"/>
      <c r="M128" s="574"/>
      <c r="N128" s="576" t="s">
        <v>208</v>
      </c>
      <c r="O128" s="574"/>
      <c r="P128" s="574"/>
      <c r="Q128" s="574"/>
      <c r="R128" s="574"/>
      <c r="S128" s="574"/>
    </row>
    <row r="129" spans="1:19" x14ac:dyDescent="0.2">
      <c r="A129" s="577"/>
      <c r="B129" s="578"/>
      <c r="C129" s="579"/>
      <c r="D129" s="579"/>
      <c r="E129" s="580"/>
      <c r="F129" s="580"/>
      <c r="G129" s="579"/>
      <c r="H129" s="581"/>
      <c r="I129" s="579"/>
      <c r="J129" s="579"/>
      <c r="K129" s="579"/>
      <c r="L129" s="579"/>
      <c r="M129" s="579"/>
      <c r="N129" s="579"/>
      <c r="O129" s="579"/>
      <c r="P129" s="579"/>
      <c r="Q129" s="579"/>
      <c r="R129" s="579"/>
      <c r="S129" s="579"/>
    </row>
    <row r="130" spans="1:19" x14ac:dyDescent="0.2">
      <c r="A130" s="173"/>
      <c r="B130" s="173"/>
      <c r="C130" s="173"/>
      <c r="D130" s="173"/>
      <c r="E130" s="172"/>
      <c r="F130" s="172"/>
      <c r="G130" s="173"/>
      <c r="H130" s="173"/>
      <c r="I130" s="173"/>
      <c r="J130" s="173"/>
      <c r="K130" s="173"/>
      <c r="L130" s="173"/>
      <c r="M130" s="173"/>
      <c r="N130" s="172"/>
      <c r="O130" s="173"/>
      <c r="P130" s="173"/>
      <c r="Q130" s="173"/>
      <c r="R130" s="173"/>
      <c r="S130" s="173"/>
    </row>
    <row r="131" spans="1:19" x14ac:dyDescent="0.2">
      <c r="A131" s="173"/>
      <c r="B131" s="173"/>
      <c r="C131" s="173"/>
      <c r="D131" s="173"/>
      <c r="E131" s="172"/>
      <c r="F131" s="172"/>
      <c r="G131" s="173"/>
      <c r="H131" s="173"/>
      <c r="I131" s="173"/>
      <c r="J131" s="173"/>
      <c r="K131" s="173"/>
      <c r="L131" s="173"/>
      <c r="M131" s="173"/>
      <c r="N131" s="172"/>
      <c r="O131" s="173"/>
      <c r="P131" s="173"/>
      <c r="Q131" s="173"/>
      <c r="R131" s="173"/>
      <c r="S131" s="173"/>
    </row>
    <row r="132" spans="1:19" x14ac:dyDescent="0.2">
      <c r="A132" s="173"/>
      <c r="B132" s="173"/>
      <c r="C132" s="173"/>
      <c r="D132" s="173"/>
      <c r="E132" s="172"/>
      <c r="F132" s="172"/>
      <c r="G132" s="173"/>
      <c r="H132" s="173"/>
      <c r="I132" s="173"/>
      <c r="J132" s="173"/>
      <c r="K132" s="173"/>
      <c r="L132" s="173"/>
      <c r="M132" s="173"/>
      <c r="N132" s="172"/>
      <c r="O132" s="173"/>
      <c r="P132" s="173"/>
      <c r="Q132" s="173"/>
      <c r="R132" s="173"/>
      <c r="S132" s="173"/>
    </row>
  </sheetData>
  <mergeCells count="1">
    <mergeCell ref="I3:J3"/>
  </mergeCells>
  <hyperlinks>
    <hyperlink ref="K105" r:id="rId1" display="Klubide sari, 3. etapp, "/>
  </hyperlinks>
  <pageMargins left="0.31496062992125984" right="0.27559055118110237" top="0.47244094488188981" bottom="0.27559055118110237" header="0.27559055118110237" footer="0"/>
  <pageSetup paperSize="9" scale="99" fitToHeight="0" orientation="portrait" verticalDpi="1200" r:id="rId2"/>
  <headerFooter>
    <oddHeader>&amp;R&amp;9Page &amp;P of &amp;N</oddHeader>
  </headerFooter>
  <rowBreaks count="1" manualBreakCount="1">
    <brk id="66" max="16383" man="1"/>
  </rowBreaks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J319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40.710937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16384" width="9.140625" style="1"/>
  </cols>
  <sheetData>
    <row r="1" spans="1:35" x14ac:dyDescent="0.2">
      <c r="A1" s="753" t="str">
        <f>UPPER((Kalend!E32)&amp;" - "&amp;(Kalend!C32)&amp;" - "&amp;(Kalend!D32))</f>
        <v>IV-T - IDA-VIRUMAA SISE-MV - TRIO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760"/>
      <c r="AG1" s="760"/>
      <c r="AH1" s="760"/>
      <c r="AI1" s="760"/>
    </row>
    <row r="2" spans="1:35" x14ac:dyDescent="0.2">
      <c r="A2" s="757" t="str">
        <f>"Toimumisaeg: "&amp;(Kalend!A32)&amp;" kell "&amp;(Kalend!B32)</f>
        <v>Toimumisaeg: L, 02.02.2019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G2" s="760"/>
      <c r="AH2" s="760"/>
      <c r="AI2" s="760"/>
    </row>
    <row r="3" spans="1:35" x14ac:dyDescent="0.2">
      <c r="A3" s="757" t="str">
        <f>"Toimumiskoht: "&amp;(Kalend!F32)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G3" s="760"/>
      <c r="AH3" s="760"/>
      <c r="AI3" s="760"/>
    </row>
    <row r="4" spans="1:35" x14ac:dyDescent="0.2">
      <c r="A4" s="757" t="str">
        <f>"Korraldaja: "&amp;(Kalend!G32)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G4" s="760"/>
      <c r="AH4" s="760"/>
      <c r="AI4" s="760"/>
    </row>
    <row r="5" spans="1:35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0"/>
      <c r="AI5" s="760"/>
    </row>
    <row r="6" spans="1:35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0"/>
      <c r="AI6" s="760"/>
    </row>
    <row r="7" spans="1:35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0"/>
      <c r="AI7" s="760"/>
    </row>
    <row r="8" spans="1:35" x14ac:dyDescent="0.2">
      <c r="A8" s="897">
        <v>1</v>
      </c>
      <c r="B8" s="940" t="s">
        <v>515</v>
      </c>
      <c r="C8" s="900">
        <v>13</v>
      </c>
      <c r="D8" s="901" t="s">
        <v>450</v>
      </c>
      <c r="E8" s="902">
        <v>5</v>
      </c>
      <c r="F8" s="903" t="str">
        <f>B13</f>
        <v>Argo Sepp, Ljudmila Varendi, Viktor Švarõgin</v>
      </c>
      <c r="G8" s="900">
        <v>13</v>
      </c>
      <c r="H8" s="901" t="s">
        <v>450</v>
      </c>
      <c r="I8" s="902">
        <v>12</v>
      </c>
      <c r="J8" s="903" t="str">
        <f>B10</f>
        <v>Ivar Viljaste, Matti Vinni, Peep Peenema</v>
      </c>
      <c r="K8" s="900">
        <v>13</v>
      </c>
      <c r="L8" s="901" t="s">
        <v>450</v>
      </c>
      <c r="M8" s="902">
        <v>4</v>
      </c>
      <c r="N8" s="903" t="str">
        <f>B16</f>
        <v>Henri Mitt, Karla Purgats, Lemmit Toomra</v>
      </c>
      <c r="O8" s="900">
        <v>13</v>
      </c>
      <c r="P8" s="901" t="s">
        <v>450</v>
      </c>
      <c r="Q8" s="902">
        <v>10</v>
      </c>
      <c r="R8" s="903" t="str">
        <f>B9</f>
        <v>Jaan Sepp, Mait Metsla, Oskar Sepp</v>
      </c>
      <c r="S8" s="900">
        <v>13</v>
      </c>
      <c r="T8" s="901" t="s">
        <v>450</v>
      </c>
      <c r="U8" s="902">
        <v>10</v>
      </c>
      <c r="V8" s="903" t="str">
        <f>B14</f>
        <v>Oksana Rõndenkova, Oleg Rõndenkov, Toomas Tedrekull</v>
      </c>
      <c r="W8" s="900"/>
      <c r="X8" s="901" t="s">
        <v>450</v>
      </c>
      <c r="Y8" s="902"/>
      <c r="Z8" s="903"/>
      <c r="AA8" s="904">
        <f t="shared" ref="AA8:AA18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5</v>
      </c>
      <c r="AB8" s="905"/>
      <c r="AC8" s="900">
        <f t="shared" ref="AC8:AC18" si="1">C8+G8+K8+O8+S8+W8</f>
        <v>65</v>
      </c>
      <c r="AD8" s="901" t="s">
        <v>450</v>
      </c>
      <c r="AE8" s="906">
        <f t="shared" ref="AE8:AE18" si="2">E8+I8+M8+Q8+U8+Y8</f>
        <v>41</v>
      </c>
      <c r="AF8" s="907">
        <f t="shared" ref="AF8:AF18" si="3">AC8-AE8</f>
        <v>24</v>
      </c>
      <c r="AG8" s="908"/>
      <c r="AH8" s="760"/>
      <c r="AI8" s="760"/>
    </row>
    <row r="9" spans="1:35" x14ac:dyDescent="0.2">
      <c r="A9" s="897">
        <v>2</v>
      </c>
      <c r="B9" s="940" t="s">
        <v>516</v>
      </c>
      <c r="C9" s="900">
        <v>13</v>
      </c>
      <c r="D9" s="901" t="s">
        <v>450</v>
      </c>
      <c r="E9" s="902">
        <v>3</v>
      </c>
      <c r="F9" s="903" t="str">
        <f>B15</f>
        <v>Johannes Neiland, Kristiin-Marleen Neiland, Ksenija Matšneva, Veroonika Mendes</v>
      </c>
      <c r="G9" s="900">
        <v>13</v>
      </c>
      <c r="H9" s="901" t="s">
        <v>450</v>
      </c>
      <c r="I9" s="902">
        <v>7</v>
      </c>
      <c r="J9" s="953" t="str">
        <f>B16</f>
        <v>Henri Mitt, Karla Purgats, Lemmit Toomra</v>
      </c>
      <c r="K9" s="900">
        <v>13</v>
      </c>
      <c r="L9" s="901" t="s">
        <v>450</v>
      </c>
      <c r="M9" s="902">
        <v>11</v>
      </c>
      <c r="N9" s="903" t="str">
        <f>B14</f>
        <v>Oksana Rõndenkova, Oleg Rõndenkov, Toomas Tedrekull</v>
      </c>
      <c r="O9" s="900">
        <v>10</v>
      </c>
      <c r="P9" s="901" t="s">
        <v>450</v>
      </c>
      <c r="Q9" s="902">
        <v>13</v>
      </c>
      <c r="R9" s="903" t="str">
        <f>B8</f>
        <v>Kenneth Muusikus, Tõnu Piik, Ülo Piik</v>
      </c>
      <c r="S9" s="900">
        <v>13</v>
      </c>
      <c r="T9" s="901" t="s">
        <v>450</v>
      </c>
      <c r="U9" s="902">
        <v>6</v>
      </c>
      <c r="V9" s="903" t="str">
        <f>B10</f>
        <v>Ivar Viljaste, Matti Vinni, Peep Peenema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62</v>
      </c>
      <c r="AD9" s="901" t="s">
        <v>450</v>
      </c>
      <c r="AE9" s="906">
        <f t="shared" si="2"/>
        <v>40</v>
      </c>
      <c r="AF9" s="907">
        <f t="shared" si="3"/>
        <v>22</v>
      </c>
      <c r="AG9" s="908"/>
      <c r="AH9" s="760"/>
      <c r="AI9" s="760"/>
    </row>
    <row r="10" spans="1:35" x14ac:dyDescent="0.2">
      <c r="A10" s="897">
        <v>3</v>
      </c>
      <c r="B10" s="940" t="s">
        <v>517</v>
      </c>
      <c r="C10" s="900">
        <v>13</v>
      </c>
      <c r="D10" s="901" t="s">
        <v>450</v>
      </c>
      <c r="E10" s="902">
        <v>3</v>
      </c>
      <c r="F10" s="903" t="str">
        <f>B18</f>
        <v>Janek Tarto, Tõnu Kapper, Vladimir Ogneštšikov</v>
      </c>
      <c r="G10" s="900">
        <v>12</v>
      </c>
      <c r="H10" s="901" t="s">
        <v>450</v>
      </c>
      <c r="I10" s="902">
        <v>13</v>
      </c>
      <c r="J10" s="903" t="str">
        <f>B8</f>
        <v>Kenneth Muusikus, Tõnu Piik, Ülo Piik</v>
      </c>
      <c r="K10" s="900">
        <v>13</v>
      </c>
      <c r="L10" s="901" t="s">
        <v>450</v>
      </c>
      <c r="M10" s="902">
        <v>6</v>
      </c>
      <c r="N10" s="903" t="str">
        <f>B12</f>
        <v>Andres Veski, Meelis Luud, Svetlana Veski</v>
      </c>
      <c r="O10" s="900">
        <v>12</v>
      </c>
      <c r="P10" s="901" t="s">
        <v>450</v>
      </c>
      <c r="Q10" s="902">
        <v>11</v>
      </c>
      <c r="R10" s="903" t="str">
        <f>B14</f>
        <v>Oksana Rõndenkova, Oleg Rõndenkov, Toomas Tedrekull</v>
      </c>
      <c r="S10" s="900">
        <v>6</v>
      </c>
      <c r="T10" s="901" t="s">
        <v>450</v>
      </c>
      <c r="U10" s="902">
        <v>13</v>
      </c>
      <c r="V10" s="903" t="str">
        <f>B9</f>
        <v>Jaan Sepp, Mait Metsla, Oskar Sepp</v>
      </c>
      <c r="W10" s="900"/>
      <c r="X10" s="901" t="s">
        <v>450</v>
      </c>
      <c r="Y10" s="902"/>
      <c r="Z10" s="903"/>
      <c r="AA10" s="910">
        <f t="shared" si="0"/>
        <v>3</v>
      </c>
      <c r="AB10" s="905"/>
      <c r="AC10" s="900">
        <f t="shared" si="1"/>
        <v>56</v>
      </c>
      <c r="AD10" s="901" t="s">
        <v>450</v>
      </c>
      <c r="AE10" s="906">
        <f t="shared" si="2"/>
        <v>46</v>
      </c>
      <c r="AF10" s="907">
        <f t="shared" si="3"/>
        <v>10</v>
      </c>
      <c r="AG10" s="908"/>
      <c r="AH10" s="760"/>
      <c r="AI10" s="760"/>
    </row>
    <row r="11" spans="1:35" ht="25.5" x14ac:dyDescent="0.2">
      <c r="A11" s="954">
        <v>4</v>
      </c>
      <c r="B11" s="955" t="s">
        <v>518</v>
      </c>
      <c r="C11" s="900">
        <v>2</v>
      </c>
      <c r="D11" s="901" t="s">
        <v>450</v>
      </c>
      <c r="E11" s="902">
        <v>13</v>
      </c>
      <c r="F11" s="903" t="str">
        <f>B16</f>
        <v>Henri Mitt, Karla Purgats, Lemmit Toomra</v>
      </c>
      <c r="G11" s="900">
        <v>13</v>
      </c>
      <c r="H11" s="901" t="s">
        <v>450</v>
      </c>
      <c r="I11" s="902">
        <v>7</v>
      </c>
      <c r="J11" s="903" t="s">
        <v>472</v>
      </c>
      <c r="K11" s="900">
        <v>13</v>
      </c>
      <c r="L11" s="901" t="s">
        <v>450</v>
      </c>
      <c r="M11" s="902">
        <v>11</v>
      </c>
      <c r="N11" s="903" t="str">
        <f>B13</f>
        <v>Argo Sepp, Ljudmila Varendi, Viktor Švarõgin</v>
      </c>
      <c r="O11" s="900">
        <v>13</v>
      </c>
      <c r="P11" s="901" t="s">
        <v>450</v>
      </c>
      <c r="Q11" s="902">
        <v>7</v>
      </c>
      <c r="R11" s="903" t="str">
        <f>B15</f>
        <v>Johannes Neiland, Kristiin-Marleen Neiland, Ksenija Matšneva, Veroonika Mendes</v>
      </c>
      <c r="S11" s="900">
        <v>1</v>
      </c>
      <c r="T11" s="901" t="s">
        <v>450</v>
      </c>
      <c r="U11" s="902">
        <v>13</v>
      </c>
      <c r="V11" s="903" t="str">
        <f>B12</f>
        <v>Andres Veski, Meelis Luud, Svetlana Veski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00">
        <f t="shared" si="1"/>
        <v>42</v>
      </c>
      <c r="AD11" s="901" t="s">
        <v>450</v>
      </c>
      <c r="AE11" s="906">
        <f t="shared" si="2"/>
        <v>51</v>
      </c>
      <c r="AF11" s="907">
        <f t="shared" si="3"/>
        <v>-9</v>
      </c>
      <c r="AG11" s="956"/>
      <c r="AH11" s="760"/>
      <c r="AI11" s="760"/>
    </row>
    <row r="12" spans="1:35" x14ac:dyDescent="0.2">
      <c r="A12" s="897">
        <v>5</v>
      </c>
      <c r="B12" s="941" t="s">
        <v>519</v>
      </c>
      <c r="C12" s="900">
        <v>13</v>
      </c>
      <c r="D12" s="901" t="s">
        <v>450</v>
      </c>
      <c r="E12" s="902">
        <v>7</v>
      </c>
      <c r="F12" s="903" t="s">
        <v>472</v>
      </c>
      <c r="G12" s="900">
        <v>7</v>
      </c>
      <c r="H12" s="901" t="s">
        <v>450</v>
      </c>
      <c r="I12" s="902">
        <v>13</v>
      </c>
      <c r="J12" s="903" t="str">
        <f>B14</f>
        <v>Oksana Rõndenkova, Oleg Rõndenkov, Toomas Tedrekull</v>
      </c>
      <c r="K12" s="900">
        <v>6</v>
      </c>
      <c r="L12" s="901" t="s">
        <v>450</v>
      </c>
      <c r="M12" s="902">
        <v>13</v>
      </c>
      <c r="N12" s="903" t="str">
        <f>B10</f>
        <v>Ivar Viljaste, Matti Vinni, Peep Peenema</v>
      </c>
      <c r="O12" s="900">
        <v>13</v>
      </c>
      <c r="P12" s="901" t="s">
        <v>450</v>
      </c>
      <c r="Q12" s="902">
        <v>12</v>
      </c>
      <c r="R12" s="903" t="str">
        <f>B16</f>
        <v>Henri Mitt, Karla Purgats, Lemmit Toomra</v>
      </c>
      <c r="S12" s="900">
        <v>13</v>
      </c>
      <c r="T12" s="901" t="s">
        <v>450</v>
      </c>
      <c r="U12" s="902">
        <v>1</v>
      </c>
      <c r="V12" s="903" t="str">
        <f>B11</f>
        <v>Einar Juhkam, Illar Tõnurist, Klavdia Piik, Melika Lehtla</v>
      </c>
      <c r="W12" s="900"/>
      <c r="X12" s="901" t="s">
        <v>450</v>
      </c>
      <c r="Y12" s="902"/>
      <c r="Z12" s="903"/>
      <c r="AA12" s="910">
        <f t="shared" si="0"/>
        <v>3</v>
      </c>
      <c r="AB12" s="905"/>
      <c r="AC12" s="900">
        <f t="shared" si="1"/>
        <v>52</v>
      </c>
      <c r="AD12" s="901" t="s">
        <v>450</v>
      </c>
      <c r="AE12" s="906">
        <f t="shared" si="2"/>
        <v>46</v>
      </c>
      <c r="AF12" s="907">
        <f t="shared" si="3"/>
        <v>6</v>
      </c>
      <c r="AG12" s="908"/>
      <c r="AH12" s="760"/>
      <c r="AI12" s="760"/>
    </row>
    <row r="13" spans="1:35" x14ac:dyDescent="0.2">
      <c r="A13" s="897">
        <v>6</v>
      </c>
      <c r="B13" s="940" t="s">
        <v>520</v>
      </c>
      <c r="C13" s="900">
        <v>5</v>
      </c>
      <c r="D13" s="901" t="s">
        <v>450</v>
      </c>
      <c r="E13" s="902">
        <v>13</v>
      </c>
      <c r="F13" s="903" t="str">
        <f>B8</f>
        <v>Kenneth Muusikus, Tõnu Piik, Ülo Piik</v>
      </c>
      <c r="G13" s="900">
        <v>13</v>
      </c>
      <c r="H13" s="901" t="s">
        <v>450</v>
      </c>
      <c r="I13" s="902">
        <v>12</v>
      </c>
      <c r="J13" s="903" t="str">
        <f>B17</f>
        <v>Aigi Orro, Elmo Lageda, Enn Tokman</v>
      </c>
      <c r="K13" s="900">
        <v>11</v>
      </c>
      <c r="L13" s="901" t="s">
        <v>450</v>
      </c>
      <c r="M13" s="902">
        <v>13</v>
      </c>
      <c r="N13" s="903" t="str">
        <f>B11</f>
        <v>Einar Juhkam, Illar Tõnurist, Klavdia Piik, Melika Lehtla</v>
      </c>
      <c r="O13" s="900">
        <v>12</v>
      </c>
      <c r="P13" s="901" t="s">
        <v>450</v>
      </c>
      <c r="Q13" s="902">
        <v>10</v>
      </c>
      <c r="R13" s="903" t="str">
        <f>B18</f>
        <v>Janek Tarto, Tõnu Kapper, Vladimir Ogneštšikov</v>
      </c>
      <c r="S13" s="900">
        <v>13</v>
      </c>
      <c r="T13" s="901" t="s">
        <v>450</v>
      </c>
      <c r="U13" s="902">
        <v>6</v>
      </c>
      <c r="V13" s="903" t="str">
        <f>B15</f>
        <v>Johannes Neiland, Kristiin-Marleen Neiland, Ksenija Matšneva, Veroonika Mendes</v>
      </c>
      <c r="W13" s="900"/>
      <c r="X13" s="901" t="s">
        <v>450</v>
      </c>
      <c r="Y13" s="902"/>
      <c r="Z13" s="903"/>
      <c r="AA13" s="910">
        <f t="shared" si="0"/>
        <v>3</v>
      </c>
      <c r="AB13" s="905"/>
      <c r="AC13" s="900">
        <f t="shared" si="1"/>
        <v>54</v>
      </c>
      <c r="AD13" s="901" t="s">
        <v>450</v>
      </c>
      <c r="AE13" s="906">
        <f t="shared" si="2"/>
        <v>54</v>
      </c>
      <c r="AF13" s="907">
        <f t="shared" si="3"/>
        <v>0</v>
      </c>
      <c r="AG13" s="908"/>
      <c r="AH13" s="760"/>
      <c r="AI13" s="760"/>
    </row>
    <row r="14" spans="1:35" ht="25.5" x14ac:dyDescent="0.2">
      <c r="A14" s="954">
        <v>7</v>
      </c>
      <c r="B14" s="955" t="s">
        <v>521</v>
      </c>
      <c r="C14" s="900">
        <v>13</v>
      </c>
      <c r="D14" s="901" t="s">
        <v>450</v>
      </c>
      <c r="E14" s="902">
        <v>10</v>
      </c>
      <c r="F14" s="903" t="str">
        <f>B17</f>
        <v>Aigi Orro, Elmo Lageda, Enn Tokman</v>
      </c>
      <c r="G14" s="900">
        <v>13</v>
      </c>
      <c r="H14" s="901" t="s">
        <v>450</v>
      </c>
      <c r="I14" s="902">
        <v>7</v>
      </c>
      <c r="J14" s="903" t="str">
        <f>B12</f>
        <v>Andres Veski, Meelis Luud, Svetlana Veski</v>
      </c>
      <c r="K14" s="900">
        <v>11</v>
      </c>
      <c r="L14" s="901" t="s">
        <v>450</v>
      </c>
      <c r="M14" s="902">
        <v>13</v>
      </c>
      <c r="N14" s="903" t="str">
        <f>B9</f>
        <v>Jaan Sepp, Mait Metsla, Oskar Sepp</v>
      </c>
      <c r="O14" s="900">
        <v>11</v>
      </c>
      <c r="P14" s="901" t="s">
        <v>450</v>
      </c>
      <c r="Q14" s="902">
        <v>12</v>
      </c>
      <c r="R14" s="903" t="str">
        <f>B10</f>
        <v>Ivar Viljaste, Matti Vinni, Peep Peenema</v>
      </c>
      <c r="S14" s="900">
        <v>10</v>
      </c>
      <c r="T14" s="901" t="s">
        <v>450</v>
      </c>
      <c r="U14" s="902">
        <v>13</v>
      </c>
      <c r="V14" s="903" t="str">
        <f>B8</f>
        <v>Kenneth Muusikus, Tõnu Piik, Ülo Piik</v>
      </c>
      <c r="W14" s="900"/>
      <c r="X14" s="901" t="s">
        <v>450</v>
      </c>
      <c r="Y14" s="902"/>
      <c r="Z14" s="903"/>
      <c r="AA14" s="904">
        <f t="shared" si="0"/>
        <v>2</v>
      </c>
      <c r="AB14" s="905"/>
      <c r="AC14" s="900">
        <f t="shared" si="1"/>
        <v>58</v>
      </c>
      <c r="AD14" s="901" t="s">
        <v>450</v>
      </c>
      <c r="AE14" s="906">
        <f t="shared" si="2"/>
        <v>55</v>
      </c>
      <c r="AF14" s="907">
        <f t="shared" si="3"/>
        <v>3</v>
      </c>
      <c r="AG14" s="956"/>
      <c r="AH14" s="760"/>
      <c r="AI14" s="760"/>
    </row>
    <row r="15" spans="1:35" ht="25.5" x14ac:dyDescent="0.2">
      <c r="A15" s="954">
        <v>7</v>
      </c>
      <c r="B15" s="957" t="s">
        <v>522</v>
      </c>
      <c r="C15" s="900">
        <v>3</v>
      </c>
      <c r="D15" s="901" t="s">
        <v>450</v>
      </c>
      <c r="E15" s="902">
        <v>13</v>
      </c>
      <c r="F15" s="903" t="str">
        <f>B9</f>
        <v>Jaan Sepp, Mait Metsla, Oskar Sepp</v>
      </c>
      <c r="G15" s="900">
        <v>13</v>
      </c>
      <c r="H15" s="901" t="s">
        <v>450</v>
      </c>
      <c r="I15" s="902">
        <v>7</v>
      </c>
      <c r="J15" s="903" t="str">
        <f>B18</f>
        <v>Janek Tarto, Tõnu Kapper, Vladimir Ogneštšikov</v>
      </c>
      <c r="K15" s="900">
        <v>13</v>
      </c>
      <c r="L15" s="901" t="s">
        <v>450</v>
      </c>
      <c r="M15" s="902">
        <v>7</v>
      </c>
      <c r="N15" s="903" t="str">
        <f>B17</f>
        <v>Aigi Orro, Elmo Lageda, Enn Tokman</v>
      </c>
      <c r="O15" s="900">
        <v>7</v>
      </c>
      <c r="P15" s="901" t="s">
        <v>450</v>
      </c>
      <c r="Q15" s="902">
        <v>13</v>
      </c>
      <c r="R15" s="903" t="str">
        <f>B11</f>
        <v>Einar Juhkam, Illar Tõnurist, Klavdia Piik, Melika Lehtla</v>
      </c>
      <c r="S15" s="900">
        <v>6</v>
      </c>
      <c r="T15" s="901" t="s">
        <v>450</v>
      </c>
      <c r="U15" s="902">
        <v>13</v>
      </c>
      <c r="V15" s="903" t="str">
        <f>B13</f>
        <v>Argo Sepp, Ljudmila Varendi, Viktor Švarõgin</v>
      </c>
      <c r="W15" s="900"/>
      <c r="X15" s="901" t="s">
        <v>450</v>
      </c>
      <c r="Y15" s="902"/>
      <c r="Z15" s="903"/>
      <c r="AA15" s="904">
        <f t="shared" si="0"/>
        <v>2</v>
      </c>
      <c r="AB15" s="905"/>
      <c r="AC15" s="900">
        <f t="shared" si="1"/>
        <v>42</v>
      </c>
      <c r="AD15" s="901" t="s">
        <v>450</v>
      </c>
      <c r="AE15" s="906">
        <f t="shared" si="2"/>
        <v>53</v>
      </c>
      <c r="AF15" s="907">
        <f t="shared" si="3"/>
        <v>-11</v>
      </c>
      <c r="AG15" s="956"/>
      <c r="AH15" s="760"/>
      <c r="AI15" s="760"/>
    </row>
    <row r="16" spans="1:35" x14ac:dyDescent="0.2">
      <c r="A16" s="897">
        <v>9</v>
      </c>
      <c r="B16" s="940" t="s">
        <v>523</v>
      </c>
      <c r="C16" s="900">
        <v>13</v>
      </c>
      <c r="D16" s="901" t="s">
        <v>450</v>
      </c>
      <c r="E16" s="902">
        <v>2</v>
      </c>
      <c r="F16" s="903" t="str">
        <f>B11</f>
        <v>Einar Juhkam, Illar Tõnurist, Klavdia Piik, Melika Lehtla</v>
      </c>
      <c r="G16" s="900">
        <v>7</v>
      </c>
      <c r="H16" s="901" t="s">
        <v>450</v>
      </c>
      <c r="I16" s="902">
        <v>13</v>
      </c>
      <c r="J16" s="903" t="str">
        <f>B9</f>
        <v>Jaan Sepp, Mait Metsla, Oskar Sepp</v>
      </c>
      <c r="K16" s="900">
        <v>4</v>
      </c>
      <c r="L16" s="901" t="s">
        <v>450</v>
      </c>
      <c r="M16" s="902">
        <v>13</v>
      </c>
      <c r="N16" s="903" t="str">
        <f>B8</f>
        <v>Kenneth Muusikus, Tõnu Piik, Ülo Piik</v>
      </c>
      <c r="O16" s="900">
        <v>12</v>
      </c>
      <c r="P16" s="901" t="s">
        <v>450</v>
      </c>
      <c r="Q16" s="902">
        <v>13</v>
      </c>
      <c r="R16" s="903" t="str">
        <f>B12</f>
        <v>Andres Veski, Meelis Luud, Svetlana Veski</v>
      </c>
      <c r="S16" s="900">
        <v>13</v>
      </c>
      <c r="T16" s="901" t="s">
        <v>450</v>
      </c>
      <c r="U16" s="902">
        <v>7</v>
      </c>
      <c r="V16" s="903" t="s">
        <v>472</v>
      </c>
      <c r="W16" s="900"/>
      <c r="X16" s="901" t="s">
        <v>450</v>
      </c>
      <c r="Y16" s="902"/>
      <c r="Z16" s="903"/>
      <c r="AA16" s="904">
        <f t="shared" si="0"/>
        <v>2</v>
      </c>
      <c r="AB16" s="905"/>
      <c r="AC16" s="900">
        <f t="shared" si="1"/>
        <v>49</v>
      </c>
      <c r="AD16" s="901" t="s">
        <v>450</v>
      </c>
      <c r="AE16" s="906">
        <f t="shared" si="2"/>
        <v>48</v>
      </c>
      <c r="AF16" s="907">
        <f t="shared" si="3"/>
        <v>1</v>
      </c>
      <c r="AG16" s="908"/>
      <c r="AH16" s="760"/>
      <c r="AI16" s="760"/>
    </row>
    <row r="17" spans="1:36" x14ac:dyDescent="0.2">
      <c r="A17" s="897">
        <v>10</v>
      </c>
      <c r="B17" s="941" t="s">
        <v>524</v>
      </c>
      <c r="C17" s="900">
        <v>10</v>
      </c>
      <c r="D17" s="901" t="s">
        <v>450</v>
      </c>
      <c r="E17" s="902">
        <v>13</v>
      </c>
      <c r="F17" s="903" t="str">
        <f>B14</f>
        <v>Oksana Rõndenkova, Oleg Rõndenkov, Toomas Tedrekull</v>
      </c>
      <c r="G17" s="900">
        <v>12</v>
      </c>
      <c r="H17" s="901" t="s">
        <v>450</v>
      </c>
      <c r="I17" s="902">
        <v>13</v>
      </c>
      <c r="J17" s="903" t="str">
        <f>B13</f>
        <v>Argo Sepp, Ljudmila Varendi, Viktor Švarõgin</v>
      </c>
      <c r="K17" s="900">
        <v>7</v>
      </c>
      <c r="L17" s="901" t="s">
        <v>450</v>
      </c>
      <c r="M17" s="902">
        <v>13</v>
      </c>
      <c r="N17" s="903" t="str">
        <f>B15</f>
        <v>Johannes Neiland, Kristiin-Marleen Neiland, Ksenija Matšneva, Veroonika Mendes</v>
      </c>
      <c r="O17" s="900">
        <v>13</v>
      </c>
      <c r="P17" s="901" t="s">
        <v>450</v>
      </c>
      <c r="Q17" s="902">
        <v>7</v>
      </c>
      <c r="R17" s="903" t="s">
        <v>472</v>
      </c>
      <c r="S17" s="900">
        <v>13</v>
      </c>
      <c r="T17" s="901" t="s">
        <v>450</v>
      </c>
      <c r="U17" s="902">
        <v>5</v>
      </c>
      <c r="V17" s="903" t="str">
        <f>B18</f>
        <v>Janek Tarto, Tõnu Kapper, Vladimir Ogneštšikov</v>
      </c>
      <c r="W17" s="900"/>
      <c r="X17" s="901" t="s">
        <v>450</v>
      </c>
      <c r="Y17" s="902"/>
      <c r="Z17" s="903"/>
      <c r="AA17" s="904">
        <f t="shared" si="0"/>
        <v>2</v>
      </c>
      <c r="AB17" s="905"/>
      <c r="AC17" s="900">
        <f t="shared" si="1"/>
        <v>55</v>
      </c>
      <c r="AD17" s="901" t="s">
        <v>450</v>
      </c>
      <c r="AE17" s="906">
        <f t="shared" si="2"/>
        <v>51</v>
      </c>
      <c r="AF17" s="907">
        <f t="shared" si="3"/>
        <v>4</v>
      </c>
      <c r="AG17" s="908"/>
      <c r="AH17" s="760"/>
      <c r="AI17" s="760"/>
    </row>
    <row r="18" spans="1:36" x14ac:dyDescent="0.2">
      <c r="A18" s="897">
        <v>11</v>
      </c>
      <c r="B18" s="941" t="s">
        <v>525</v>
      </c>
      <c r="C18" s="900">
        <v>3</v>
      </c>
      <c r="D18" s="901" t="s">
        <v>450</v>
      </c>
      <c r="E18" s="902">
        <v>13</v>
      </c>
      <c r="F18" s="903" t="str">
        <f>B10</f>
        <v>Ivar Viljaste, Matti Vinni, Peep Peenema</v>
      </c>
      <c r="G18" s="900">
        <v>7</v>
      </c>
      <c r="H18" s="901" t="s">
        <v>450</v>
      </c>
      <c r="I18" s="902">
        <v>13</v>
      </c>
      <c r="J18" s="903" t="str">
        <f>B9</f>
        <v>Jaan Sepp, Mait Metsla, Oskar Sepp</v>
      </c>
      <c r="K18" s="900">
        <v>13</v>
      </c>
      <c r="L18" s="901" t="s">
        <v>450</v>
      </c>
      <c r="M18" s="902">
        <v>7</v>
      </c>
      <c r="N18" s="903" t="s">
        <v>472</v>
      </c>
      <c r="O18" s="900">
        <v>10</v>
      </c>
      <c r="P18" s="901" t="s">
        <v>450</v>
      </c>
      <c r="Q18" s="902">
        <v>12</v>
      </c>
      <c r="R18" s="903" t="str">
        <f>B13</f>
        <v>Argo Sepp, Ljudmila Varendi, Viktor Švarõgin</v>
      </c>
      <c r="S18" s="900">
        <v>5</v>
      </c>
      <c r="T18" s="901" t="s">
        <v>450</v>
      </c>
      <c r="U18" s="902">
        <v>13</v>
      </c>
      <c r="V18" s="903" t="str">
        <f>B17</f>
        <v>Aigi Orro, Elmo Lageda, Enn Tokman</v>
      </c>
      <c r="W18" s="900"/>
      <c r="X18" s="901" t="s">
        <v>450</v>
      </c>
      <c r="Y18" s="902"/>
      <c r="Z18" s="903"/>
      <c r="AA18" s="910">
        <f t="shared" si="0"/>
        <v>1</v>
      </c>
      <c r="AB18" s="905"/>
      <c r="AC18" s="900">
        <f t="shared" si="1"/>
        <v>38</v>
      </c>
      <c r="AD18" s="901" t="s">
        <v>450</v>
      </c>
      <c r="AE18" s="906">
        <f t="shared" si="2"/>
        <v>58</v>
      </c>
      <c r="AF18" s="907">
        <f t="shared" si="3"/>
        <v>-20</v>
      </c>
      <c r="AG18" s="908"/>
      <c r="AH18" s="760"/>
      <c r="AI18" s="760"/>
    </row>
    <row r="19" spans="1:36" hidden="1" x14ac:dyDescent="0.2">
      <c r="A19" s="760"/>
      <c r="B19" s="760"/>
      <c r="C19" s="760"/>
      <c r="D19" s="760"/>
      <c r="E19" s="760"/>
      <c r="F19" s="760"/>
      <c r="G19" s="760"/>
      <c r="H19" s="760"/>
      <c r="I19" s="760"/>
      <c r="J19" s="760"/>
      <c r="K19" s="760"/>
      <c r="L19" s="760"/>
      <c r="M19" s="760"/>
      <c r="N19" s="760"/>
      <c r="O19" s="760"/>
      <c r="P19" s="760"/>
      <c r="Q19" s="760"/>
      <c r="R19" s="760"/>
      <c r="S19" s="760"/>
      <c r="T19" s="760"/>
      <c r="U19" s="760"/>
      <c r="V19" s="760"/>
      <c r="W19" s="760"/>
      <c r="X19" s="760"/>
      <c r="Y19" s="760"/>
      <c r="Z19" s="760"/>
      <c r="AA19" s="760"/>
      <c r="AB19" s="760"/>
      <c r="AC19" s="760"/>
      <c r="AD19" s="760"/>
      <c r="AE19" s="760"/>
      <c r="AF19" s="760"/>
      <c r="AG19" s="760"/>
      <c r="AH19" s="760"/>
      <c r="AI19" s="760"/>
      <c r="AJ19" s="760"/>
    </row>
    <row r="20" spans="1:36" hidden="1" x14ac:dyDescent="0.2">
      <c r="A20" s="760"/>
      <c r="B20" s="760"/>
      <c r="C20" s="760"/>
      <c r="D20" s="760"/>
      <c r="E20" s="760"/>
      <c r="F20" s="760"/>
      <c r="G20" s="760"/>
      <c r="H20" s="760"/>
      <c r="I20" s="760"/>
      <c r="J20" s="760"/>
      <c r="K20" s="760"/>
      <c r="L20" s="760"/>
      <c r="M20" s="760"/>
      <c r="N20" s="760"/>
      <c r="O20" s="760"/>
      <c r="P20" s="760"/>
      <c r="Q20" s="760"/>
      <c r="R20" s="760"/>
      <c r="S20" s="760"/>
      <c r="T20" s="760"/>
      <c r="U20" s="760"/>
      <c r="V20" s="760"/>
      <c r="W20" s="760"/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0"/>
      <c r="AI20" s="760"/>
      <c r="AJ20" s="760"/>
    </row>
    <row r="21" spans="1:36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</row>
    <row r="22" spans="1:36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</row>
    <row r="23" spans="1:36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</row>
    <row r="24" spans="1:36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</row>
    <row r="25" spans="1:36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</row>
    <row r="26" spans="1:36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</row>
    <row r="27" spans="1:36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</row>
    <row r="28" spans="1:36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</row>
    <row r="29" spans="1:36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</row>
    <row r="30" spans="1:36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</row>
    <row r="31" spans="1:36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</row>
    <row r="32" spans="1:36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</row>
    <row r="33" spans="1:35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</row>
    <row r="34" spans="1:35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</row>
    <row r="35" spans="1:35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</row>
    <row r="36" spans="1:35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</row>
    <row r="37" spans="1:35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</row>
    <row r="38" spans="1:35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</row>
    <row r="39" spans="1:35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</row>
    <row r="40" spans="1:35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</row>
    <row r="41" spans="1:35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</row>
    <row r="42" spans="1:35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</row>
    <row r="43" spans="1:35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</row>
    <row r="44" spans="1:35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</row>
    <row r="45" spans="1:35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</row>
    <row r="46" spans="1:35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</row>
    <row r="47" spans="1:35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</row>
    <row r="48" spans="1:35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</row>
    <row r="49" spans="1:35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</row>
    <row r="50" spans="1:35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</row>
    <row r="51" spans="1:35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</row>
    <row r="52" spans="1:35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</row>
    <row r="53" spans="1:35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</row>
    <row r="54" spans="1:35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</row>
    <row r="55" spans="1:35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</row>
    <row r="56" spans="1:35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</row>
    <row r="57" spans="1:35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</row>
    <row r="58" spans="1:35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</row>
    <row r="59" spans="1:35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</row>
    <row r="60" spans="1:35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</row>
    <row r="61" spans="1:35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</row>
    <row r="62" spans="1:35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</row>
    <row r="63" spans="1:35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</row>
    <row r="64" spans="1:35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</row>
    <row r="65" spans="1:35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</row>
    <row r="66" spans="1:35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</row>
    <row r="67" spans="1:35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</row>
    <row r="68" spans="1:35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</row>
    <row r="69" spans="1:35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</row>
    <row r="70" spans="1:35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</row>
    <row r="71" spans="1:35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</row>
    <row r="72" spans="1:35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</row>
    <row r="73" spans="1:35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</row>
    <row r="74" spans="1:35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</row>
    <row r="75" spans="1:35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</row>
    <row r="76" spans="1:35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</row>
    <row r="77" spans="1:35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</row>
    <row r="78" spans="1:35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</row>
    <row r="79" spans="1:35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</row>
    <row r="80" spans="1:35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</row>
    <row r="81" spans="1:35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</row>
    <row r="82" spans="1:35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</row>
    <row r="83" spans="1:35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</row>
    <row r="84" spans="1:35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</row>
    <row r="85" spans="1:35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</row>
    <row r="86" spans="1:35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</row>
    <row r="87" spans="1:35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</row>
    <row r="88" spans="1:35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</row>
    <row r="89" spans="1:35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</row>
    <row r="90" spans="1:35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</row>
    <row r="91" spans="1:35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</row>
    <row r="92" spans="1:35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</row>
    <row r="93" spans="1:35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</row>
    <row r="94" spans="1:35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</row>
    <row r="95" spans="1:35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</row>
    <row r="96" spans="1:35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</row>
    <row r="97" spans="1:35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</row>
    <row r="98" spans="1:35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</row>
    <row r="99" spans="1:35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</row>
    <row r="100" spans="1:35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</row>
    <row r="101" spans="1:35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</row>
    <row r="102" spans="1:35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</row>
    <row r="103" spans="1:35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</row>
    <row r="104" spans="1:35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</row>
    <row r="105" spans="1:35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</row>
    <row r="106" spans="1:35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</row>
    <row r="107" spans="1:35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</row>
    <row r="108" spans="1:35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</row>
    <row r="109" spans="1:35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</row>
    <row r="110" spans="1:35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</row>
    <row r="111" spans="1:35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</row>
    <row r="112" spans="1:35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</row>
    <row r="113" spans="1:35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</row>
    <row r="114" spans="1:35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</row>
    <row r="115" spans="1:35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</row>
    <row r="116" spans="1:35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</row>
    <row r="117" spans="1:35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</row>
    <row r="118" spans="1:35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</row>
    <row r="119" spans="1:35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</row>
    <row r="120" spans="1:35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</row>
    <row r="121" spans="1:35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</row>
    <row r="122" spans="1:35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</row>
    <row r="123" spans="1:35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</row>
    <row r="124" spans="1:35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</row>
    <row r="125" spans="1:35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</row>
    <row r="126" spans="1:35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</row>
    <row r="127" spans="1:35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</row>
    <row r="128" spans="1:35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</row>
    <row r="129" spans="1:35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</row>
    <row r="130" spans="1:35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</row>
    <row r="131" spans="1:35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</row>
    <row r="132" spans="1:35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</row>
    <row r="133" spans="1:35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</row>
    <row r="134" spans="1:35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</row>
    <row r="135" spans="1:35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</row>
    <row r="136" spans="1:35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</row>
    <row r="137" spans="1:35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</row>
    <row r="138" spans="1:35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</row>
    <row r="139" spans="1:35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</row>
    <row r="140" spans="1:35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</row>
    <row r="141" spans="1:35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</row>
    <row r="142" spans="1:35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</row>
    <row r="143" spans="1:35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</row>
    <row r="144" spans="1:35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</row>
    <row r="145" spans="1:35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</row>
    <row r="146" spans="1:35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</row>
    <row r="147" spans="1:35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</row>
    <row r="148" spans="1:35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</row>
    <row r="149" spans="1:35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</row>
    <row r="150" spans="1:35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</row>
    <row r="151" spans="1:35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</row>
    <row r="152" spans="1:35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</row>
    <row r="153" spans="1:35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</row>
    <row r="154" spans="1:35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</row>
    <row r="155" spans="1:35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</row>
    <row r="156" spans="1:35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</row>
    <row r="157" spans="1:35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</row>
    <row r="158" spans="1:35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</row>
    <row r="159" spans="1:35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</row>
    <row r="160" spans="1:35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</row>
    <row r="161" spans="1:35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</row>
    <row r="162" spans="1:35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</row>
    <row r="163" spans="1:35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</row>
    <row r="164" spans="1:35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</row>
    <row r="165" spans="1:35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</row>
    <row r="166" spans="1:35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</row>
    <row r="167" spans="1:35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</row>
    <row r="168" spans="1:35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</row>
    <row r="169" spans="1:35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</row>
    <row r="170" spans="1:35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</row>
    <row r="171" spans="1:35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</row>
    <row r="172" spans="1:35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</row>
    <row r="173" spans="1:35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</row>
    <row r="174" spans="1:35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</row>
    <row r="175" spans="1:35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</row>
    <row r="176" spans="1:35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</row>
    <row r="177" spans="1:35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</row>
    <row r="178" spans="1:35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</row>
    <row r="179" spans="1:35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</row>
    <row r="180" spans="1:35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</row>
    <row r="181" spans="1:35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</row>
    <row r="182" spans="1:35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</row>
    <row r="183" spans="1:35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</row>
    <row r="184" spans="1:35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</row>
    <row r="185" spans="1:35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</row>
    <row r="186" spans="1:35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</row>
    <row r="187" spans="1:35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</row>
    <row r="188" spans="1:35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</row>
    <row r="189" spans="1:35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</row>
    <row r="190" spans="1:35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</row>
    <row r="191" spans="1:35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</row>
    <row r="192" spans="1:35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</row>
    <row r="193" spans="1:35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</row>
    <row r="194" spans="1:35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</row>
    <row r="195" spans="1:35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</row>
    <row r="196" spans="1:35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</row>
    <row r="197" spans="1:35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</row>
    <row r="198" spans="1:35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</row>
    <row r="199" spans="1:35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</row>
    <row r="200" spans="1:35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</row>
    <row r="201" spans="1:35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</row>
    <row r="202" spans="1:35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</row>
    <row r="203" spans="1:35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</row>
    <row r="204" spans="1:35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</row>
    <row r="205" spans="1:35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</row>
    <row r="206" spans="1:35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</row>
    <row r="207" spans="1:35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</row>
    <row r="208" spans="1:35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</row>
    <row r="209" spans="1:35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</row>
    <row r="210" spans="1:35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</row>
    <row r="211" spans="1:35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</row>
    <row r="212" spans="1:35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</row>
    <row r="213" spans="1:35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</row>
    <row r="214" spans="1:35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</row>
    <row r="215" spans="1:35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</row>
    <row r="216" spans="1:35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</row>
    <row r="217" spans="1:35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</row>
    <row r="218" spans="1:35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</row>
    <row r="219" spans="1:35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</row>
    <row r="220" spans="1:35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</row>
    <row r="221" spans="1:35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</row>
    <row r="222" spans="1:35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</row>
    <row r="223" spans="1:35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</row>
    <row r="224" spans="1:35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</row>
    <row r="225" spans="1:35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</row>
    <row r="226" spans="1:35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</row>
    <row r="227" spans="1:35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</row>
    <row r="228" spans="1:35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</row>
    <row r="229" spans="1:35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</row>
    <row r="230" spans="1:35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</row>
    <row r="231" spans="1:35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</row>
    <row r="232" spans="1:35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</row>
    <row r="233" spans="1:35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</row>
    <row r="234" spans="1:35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</row>
    <row r="235" spans="1:35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</row>
    <row r="236" spans="1:35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</row>
    <row r="237" spans="1:35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</row>
    <row r="238" spans="1:35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</row>
    <row r="239" spans="1:35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</row>
    <row r="240" spans="1:35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</row>
    <row r="241" spans="1:35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</row>
    <row r="242" spans="1:35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</row>
    <row r="243" spans="1:35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</row>
    <row r="244" spans="1:35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</row>
    <row r="245" spans="1:35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</row>
    <row r="246" spans="1:35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</row>
    <row r="247" spans="1:35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</row>
    <row r="248" spans="1:35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</row>
    <row r="249" spans="1:35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</row>
    <row r="250" spans="1:35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</row>
    <row r="251" spans="1:35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</row>
    <row r="252" spans="1:35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</row>
    <row r="253" spans="1:35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</row>
    <row r="254" spans="1:35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</row>
    <row r="255" spans="1:35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</row>
    <row r="256" spans="1:35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</row>
    <row r="257" spans="1:35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</row>
    <row r="258" spans="1:35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</row>
    <row r="259" spans="1:35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</row>
    <row r="260" spans="1:35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</row>
    <row r="261" spans="1:35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</row>
    <row r="262" spans="1:35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</row>
    <row r="263" spans="1:35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</row>
    <row r="264" spans="1:35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</row>
    <row r="265" spans="1:35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</row>
    <row r="266" spans="1:35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</row>
    <row r="267" spans="1:35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</row>
    <row r="268" spans="1:35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</row>
    <row r="269" spans="1:35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</row>
    <row r="270" spans="1:35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</row>
    <row r="271" spans="1:35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</row>
    <row r="272" spans="1:35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</row>
    <row r="273" spans="1:35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</row>
    <row r="274" spans="1:35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</row>
    <row r="275" spans="1:35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</row>
    <row r="276" spans="1:35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</row>
    <row r="277" spans="1:35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</row>
    <row r="278" spans="1:35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</row>
    <row r="279" spans="1:35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</row>
    <row r="280" spans="1:35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</row>
    <row r="281" spans="1:35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</row>
    <row r="282" spans="1:35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</row>
    <row r="283" spans="1:35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</row>
    <row r="284" spans="1:35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</row>
    <row r="285" spans="1:35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</row>
    <row r="286" spans="1:35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</row>
    <row r="287" spans="1:35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</row>
    <row r="288" spans="1:35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</row>
    <row r="289" spans="1:35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</row>
    <row r="290" spans="1:35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</row>
    <row r="291" spans="1:35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</row>
    <row r="292" spans="1:35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</row>
    <row r="293" spans="1:35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</row>
    <row r="294" spans="1:35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</row>
    <row r="295" spans="1:35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</row>
    <row r="296" spans="1:35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</row>
    <row r="297" spans="1:35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</row>
    <row r="298" spans="1:35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</row>
    <row r="299" spans="1:35" x14ac:dyDescent="0.2">
      <c r="A299" s="760"/>
      <c r="B299" s="760"/>
      <c r="C299" s="912"/>
      <c r="D299" s="814"/>
      <c r="E299" s="814"/>
      <c r="F299" s="919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60"/>
      <c r="R299" s="760"/>
      <c r="S299" s="760"/>
      <c r="T299" s="760"/>
      <c r="U299" s="760"/>
      <c r="V299" s="76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</row>
    <row r="300" spans="1:35" x14ac:dyDescent="0.2">
      <c r="A300" s="815">
        <v>1</v>
      </c>
      <c r="B300" s="816" t="str">
        <f>IFERROR(INDEX(B$1:B$100,MATCH(A300,A$1:A$100,0)),"")</f>
        <v>Kenneth Muusikus, Tõnu Piik, Ülo Piik</v>
      </c>
      <c r="C300" s="760"/>
      <c r="D300" s="755"/>
      <c r="E300" s="755"/>
      <c r="F300" s="832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60"/>
      <c r="R300" s="760"/>
      <c r="S300" s="760"/>
      <c r="T300" s="760"/>
      <c r="U300" s="760"/>
      <c r="V300" s="76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</row>
    <row r="301" spans="1:35" x14ac:dyDescent="0.2">
      <c r="A301" s="815">
        <v>2</v>
      </c>
      <c r="B301" s="816" t="str">
        <f t="shared" ref="B301:B310" si="4">IFERROR(INDEX(B$1:B$100,MATCH(A301,A$1:A$100,0)),"")</f>
        <v>Jaan Sepp, Mait Metsla, Oskar Sepp</v>
      </c>
      <c r="C301" s="760"/>
      <c r="D301" s="817"/>
      <c r="E301" s="817"/>
      <c r="F301" s="832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60"/>
      <c r="R301" s="760"/>
      <c r="S301" s="760"/>
      <c r="T301" s="760"/>
      <c r="U301" s="760"/>
      <c r="V301" s="760"/>
      <c r="W301" s="880"/>
      <c r="X301" s="760"/>
      <c r="Y301" s="760"/>
      <c r="Z301" s="760"/>
      <c r="AA301" s="942"/>
      <c r="AB301" s="760"/>
      <c r="AC301" s="760"/>
      <c r="AD301" s="760"/>
      <c r="AE301" s="760"/>
      <c r="AF301" s="760"/>
      <c r="AG301" s="760"/>
      <c r="AH301" s="760"/>
      <c r="AI301" s="760"/>
    </row>
    <row r="302" spans="1:35" x14ac:dyDescent="0.2">
      <c r="A302" s="815">
        <v>3</v>
      </c>
      <c r="B302" s="816" t="str">
        <f t="shared" si="4"/>
        <v>Ivar Viljaste, Matti Vinni, Peep Peenema</v>
      </c>
      <c r="C302" s="760"/>
      <c r="D302" s="817"/>
      <c r="E302" s="817"/>
      <c r="F302" s="832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60"/>
      <c r="R302" s="760"/>
      <c r="S302" s="760"/>
      <c r="T302" s="760"/>
      <c r="U302" s="760"/>
      <c r="V302" s="76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</row>
    <row r="303" spans="1:35" ht="25.5" x14ac:dyDescent="0.2">
      <c r="A303" s="815">
        <v>4</v>
      </c>
      <c r="B303" s="958" t="str">
        <f t="shared" si="4"/>
        <v>Einar Juhkam, Illar Tõnurist, Klavdia Piik, Melika Lehtla</v>
      </c>
      <c r="C303" s="959"/>
      <c r="D303" s="817"/>
      <c r="E303" s="817"/>
      <c r="F303" s="832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60"/>
      <c r="S303" s="760"/>
      <c r="T303" s="760"/>
      <c r="U303" s="760"/>
      <c r="V303" s="76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</row>
    <row r="304" spans="1:35" x14ac:dyDescent="0.2">
      <c r="A304" s="815">
        <v>5</v>
      </c>
      <c r="B304" s="816" t="str">
        <f t="shared" si="4"/>
        <v>Andres Veski, Meelis Luud, Svetlana Veski</v>
      </c>
      <c r="C304" s="760"/>
      <c r="D304" s="817"/>
      <c r="E304" s="817"/>
      <c r="F304" s="832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60"/>
      <c r="R304" s="760"/>
      <c r="S304" s="760"/>
      <c r="T304" s="760"/>
      <c r="U304" s="760"/>
      <c r="V304" s="76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</row>
    <row r="305" spans="1:35" x14ac:dyDescent="0.2">
      <c r="A305" s="815">
        <v>6</v>
      </c>
      <c r="B305" s="816" t="str">
        <f t="shared" si="4"/>
        <v>Argo Sepp, Ljudmila Varendi, Viktor Švarõgin</v>
      </c>
      <c r="C305" s="760"/>
      <c r="D305" s="817"/>
      <c r="E305" s="817"/>
      <c r="F305" s="832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60"/>
      <c r="R305" s="760"/>
      <c r="S305" s="760"/>
      <c r="T305" s="760"/>
      <c r="U305" s="760"/>
      <c r="V305" s="76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</row>
    <row r="306" spans="1:35" ht="25.5" x14ac:dyDescent="0.2">
      <c r="A306" s="815">
        <v>7</v>
      </c>
      <c r="B306" s="958" t="str">
        <f t="shared" si="4"/>
        <v>Oksana Rõndenkova, Oleg Rõndenkov, Toomas Tedrekull</v>
      </c>
      <c r="C306" s="959"/>
      <c r="D306" s="817"/>
      <c r="E306" s="817"/>
      <c r="F306" s="832"/>
      <c r="G306" s="760"/>
      <c r="H306" s="760"/>
      <c r="I306" s="760"/>
      <c r="J306" s="760"/>
      <c r="K306" s="760"/>
      <c r="L306" s="760"/>
      <c r="M306" s="760"/>
      <c r="N306" s="760"/>
      <c r="O306" s="760"/>
      <c r="P306" s="760"/>
      <c r="Q306" s="760"/>
      <c r="R306" s="760"/>
      <c r="S306" s="760"/>
      <c r="T306" s="760"/>
      <c r="U306" s="760"/>
      <c r="V306" s="760"/>
      <c r="W306" s="880"/>
      <c r="X306" s="760"/>
      <c r="Y306" s="760"/>
      <c r="Z306" s="760"/>
      <c r="AA306" s="942"/>
      <c r="AB306" s="760"/>
      <c r="AC306" s="760"/>
      <c r="AD306" s="760"/>
      <c r="AE306" s="760"/>
      <c r="AF306" s="760"/>
      <c r="AG306" s="760"/>
      <c r="AH306" s="760"/>
      <c r="AI306" s="760"/>
    </row>
    <row r="307" spans="1:35" ht="25.5" x14ac:dyDescent="0.2">
      <c r="A307" s="960">
        <v>7</v>
      </c>
      <c r="B307" s="958" t="str">
        <f>B15</f>
        <v>Johannes Neiland, Kristiin-Marleen Neiland, Ksenija Matšneva, Veroonika Mendes</v>
      </c>
      <c r="C307" s="959"/>
      <c r="D307" s="817"/>
      <c r="E307" s="817"/>
      <c r="F307" s="832"/>
      <c r="G307" s="760"/>
      <c r="H307" s="760"/>
      <c r="I307" s="760"/>
      <c r="J307" s="760"/>
      <c r="K307" s="760"/>
      <c r="L307" s="760"/>
      <c r="M307" s="760"/>
      <c r="N307" s="760"/>
      <c r="O307" s="760"/>
      <c r="P307" s="760"/>
      <c r="Q307" s="760"/>
      <c r="R307" s="760"/>
      <c r="S307" s="760"/>
      <c r="T307" s="760"/>
      <c r="U307" s="760"/>
      <c r="V307" s="76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</row>
    <row r="308" spans="1:35" x14ac:dyDescent="0.2">
      <c r="A308" s="815">
        <v>9</v>
      </c>
      <c r="B308" s="816" t="str">
        <f t="shared" si="4"/>
        <v>Henri Mitt, Karla Purgats, Lemmit Toomra</v>
      </c>
      <c r="C308" s="760"/>
      <c r="D308" s="817"/>
      <c r="E308" s="817"/>
      <c r="F308" s="832"/>
      <c r="G308" s="760"/>
      <c r="H308" s="760"/>
      <c r="I308" s="760"/>
      <c r="J308" s="760"/>
      <c r="K308" s="760"/>
      <c r="L308" s="760"/>
      <c r="M308" s="760"/>
      <c r="N308" s="760"/>
      <c r="O308" s="760"/>
      <c r="P308" s="760"/>
      <c r="Q308" s="760"/>
      <c r="R308" s="760"/>
      <c r="S308" s="760"/>
      <c r="T308" s="760"/>
      <c r="U308" s="760"/>
      <c r="V308" s="76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</row>
    <row r="309" spans="1:35" x14ac:dyDescent="0.2">
      <c r="A309" s="815">
        <v>10</v>
      </c>
      <c r="B309" s="816" t="str">
        <f t="shared" si="4"/>
        <v>Aigi Orro, Elmo Lageda, Enn Tokman</v>
      </c>
      <c r="C309" s="760"/>
      <c r="D309" s="817"/>
      <c r="E309" s="817"/>
      <c r="F309" s="832"/>
      <c r="G309" s="760"/>
      <c r="H309" s="760"/>
      <c r="I309" s="760"/>
      <c r="J309" s="760"/>
      <c r="K309" s="760"/>
      <c r="L309" s="760"/>
      <c r="M309" s="760"/>
      <c r="N309" s="760"/>
      <c r="O309" s="760"/>
      <c r="P309" s="760"/>
      <c r="Q309" s="760"/>
      <c r="R309" s="760"/>
      <c r="S309" s="760"/>
      <c r="T309" s="760"/>
      <c r="U309" s="760"/>
      <c r="V309" s="76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</row>
    <row r="310" spans="1:35" x14ac:dyDescent="0.2">
      <c r="A310" s="815">
        <v>11</v>
      </c>
      <c r="B310" s="816" t="str">
        <f t="shared" si="4"/>
        <v>Janek Tarto, Tõnu Kapper, Vladimir Ogneštšikov</v>
      </c>
      <c r="C310" s="760"/>
      <c r="D310" s="760"/>
      <c r="E310" s="760"/>
      <c r="F310" s="832"/>
      <c r="G310" s="760"/>
      <c r="H310" s="760"/>
      <c r="I310" s="760"/>
      <c r="J310" s="760"/>
      <c r="K310" s="760"/>
      <c r="L310" s="760"/>
      <c r="M310" s="760"/>
      <c r="N310" s="760"/>
      <c r="O310" s="760"/>
      <c r="P310" s="760"/>
      <c r="Q310" s="760"/>
      <c r="R310" s="760"/>
      <c r="S310" s="760"/>
      <c r="T310" s="760"/>
      <c r="U310" s="760"/>
      <c r="V310" s="76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</row>
    <row r="311" spans="1:35" x14ac:dyDescent="0.2">
      <c r="A311" s="760"/>
      <c r="B311" s="760"/>
      <c r="C311" s="760"/>
      <c r="D311" s="760"/>
      <c r="E311" s="760"/>
      <c r="F311" s="832"/>
      <c r="G311" s="760"/>
      <c r="H311" s="760"/>
      <c r="I311" s="760"/>
      <c r="J311" s="760"/>
      <c r="K311" s="760"/>
      <c r="L311" s="760"/>
      <c r="M311" s="760"/>
      <c r="N311" s="760"/>
      <c r="O311" s="760"/>
      <c r="P311" s="760"/>
      <c r="Q311" s="760"/>
      <c r="R311" s="760"/>
      <c r="S311" s="760"/>
      <c r="T311" s="760"/>
      <c r="U311" s="760"/>
      <c r="V311" s="760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</row>
    <row r="312" spans="1:35" x14ac:dyDescent="0.2">
      <c r="A312" s="760"/>
      <c r="B312" s="760"/>
      <c r="C312" s="760"/>
      <c r="D312" s="760"/>
      <c r="E312" s="760"/>
      <c r="F312" s="832"/>
      <c r="G312" s="760"/>
      <c r="H312" s="760"/>
      <c r="I312" s="760"/>
      <c r="J312" s="760"/>
      <c r="K312" s="760"/>
      <c r="L312" s="760"/>
      <c r="M312" s="760"/>
      <c r="N312" s="760"/>
      <c r="O312" s="760"/>
      <c r="P312" s="760"/>
      <c r="Q312" s="760"/>
      <c r="R312" s="760"/>
      <c r="S312" s="760"/>
      <c r="T312" s="760"/>
      <c r="U312" s="760"/>
      <c r="V312" s="760"/>
      <c r="W312" s="88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</row>
    <row r="313" spans="1:35" x14ac:dyDescent="0.2">
      <c r="A313" s="760"/>
      <c r="B313" s="760"/>
      <c r="C313" s="760"/>
      <c r="D313" s="760"/>
      <c r="E313" s="760"/>
      <c r="F313" s="760"/>
      <c r="G313" s="760"/>
      <c r="H313" s="760"/>
      <c r="I313" s="760"/>
      <c r="J313" s="760"/>
      <c r="K313" s="760"/>
      <c r="L313" s="760"/>
      <c r="M313" s="760"/>
      <c r="N313" s="760"/>
      <c r="O313" s="760"/>
      <c r="P313" s="760"/>
      <c r="Q313" s="760"/>
      <c r="R313" s="760"/>
      <c r="S313" s="760"/>
      <c r="T313" s="760"/>
      <c r="U313" s="760"/>
      <c r="V313" s="760"/>
      <c r="W313" s="88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</row>
    <row r="314" spans="1:35" x14ac:dyDescent="0.2">
      <c r="A314" s="760"/>
      <c r="B314" s="760"/>
      <c r="C314" s="760"/>
      <c r="D314" s="760"/>
      <c r="E314" s="760"/>
      <c r="F314" s="760"/>
      <c r="G314" s="760"/>
      <c r="H314" s="760"/>
      <c r="I314" s="760"/>
      <c r="J314" s="760"/>
      <c r="K314" s="760"/>
      <c r="L314" s="760"/>
      <c r="M314" s="760"/>
      <c r="N314" s="760"/>
      <c r="O314" s="760"/>
      <c r="P314" s="760"/>
      <c r="Q314" s="760"/>
      <c r="R314" s="760"/>
      <c r="S314" s="760"/>
      <c r="T314" s="760"/>
      <c r="U314" s="760"/>
      <c r="V314" s="760"/>
      <c r="W314" s="880"/>
      <c r="X314" s="760"/>
      <c r="Y314" s="760"/>
      <c r="Z314" s="760"/>
      <c r="AA314" s="760"/>
      <c r="AB314" s="760"/>
      <c r="AC314" s="760"/>
      <c r="AD314" s="760"/>
      <c r="AE314" s="760"/>
      <c r="AF314" s="760"/>
      <c r="AG314" s="760"/>
      <c r="AH314" s="760"/>
      <c r="AI314" s="760"/>
    </row>
    <row r="315" spans="1:35" x14ac:dyDescent="0.2">
      <c r="A315" s="760"/>
      <c r="B315" s="760"/>
      <c r="C315" s="760"/>
      <c r="D315" s="760"/>
      <c r="E315" s="760"/>
      <c r="F315" s="760"/>
      <c r="G315" s="760"/>
      <c r="H315" s="760"/>
      <c r="I315" s="760"/>
      <c r="J315" s="760"/>
      <c r="K315" s="760"/>
      <c r="L315" s="760"/>
      <c r="M315" s="760"/>
      <c r="N315" s="760"/>
      <c r="O315" s="760"/>
      <c r="P315" s="760"/>
      <c r="Q315" s="760"/>
      <c r="R315" s="760"/>
      <c r="S315" s="760"/>
      <c r="T315" s="760"/>
      <c r="U315" s="760"/>
      <c r="V315" s="760"/>
      <c r="W315" s="880"/>
      <c r="X315" s="760"/>
      <c r="Y315" s="760"/>
      <c r="Z315" s="760"/>
      <c r="AA315" s="760"/>
      <c r="AB315" s="760"/>
      <c r="AC315" s="760"/>
      <c r="AD315" s="760"/>
      <c r="AE315" s="760"/>
      <c r="AF315" s="760"/>
      <c r="AG315" s="760"/>
      <c r="AH315" s="760"/>
      <c r="AI315" s="760"/>
    </row>
    <row r="316" spans="1:35" x14ac:dyDescent="0.2">
      <c r="A316" s="760"/>
      <c r="B316" s="760"/>
      <c r="C316" s="760"/>
      <c r="D316" s="760"/>
      <c r="E316" s="760"/>
      <c r="F316" s="760"/>
      <c r="G316" s="760"/>
      <c r="H316" s="760"/>
      <c r="I316" s="760"/>
      <c r="J316" s="760"/>
      <c r="K316" s="760"/>
      <c r="L316" s="760"/>
      <c r="M316" s="760"/>
      <c r="N316" s="760"/>
      <c r="O316" s="760"/>
      <c r="P316" s="760"/>
      <c r="Q316" s="760"/>
      <c r="R316" s="760"/>
      <c r="S316" s="760"/>
      <c r="T316" s="880"/>
      <c r="U316" s="880"/>
      <c r="V316" s="880"/>
      <c r="W316" s="880"/>
      <c r="X316" s="760"/>
      <c r="Y316" s="760"/>
      <c r="Z316" s="760"/>
      <c r="AA316" s="760"/>
      <c r="AB316" s="760"/>
      <c r="AC316" s="760"/>
      <c r="AD316" s="760"/>
      <c r="AE316" s="760"/>
      <c r="AF316" s="760"/>
      <c r="AG316" s="760"/>
      <c r="AH316" s="760"/>
      <c r="AI316" s="760"/>
    </row>
    <row r="317" spans="1:35" x14ac:dyDescent="0.2">
      <c r="A317" s="760"/>
      <c r="B317" s="760"/>
      <c r="C317" s="760"/>
      <c r="D317" s="760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885"/>
      <c r="P317" s="760"/>
      <c r="Q317" s="760"/>
      <c r="R317" s="760"/>
      <c r="S317" s="760"/>
      <c r="T317" s="880"/>
      <c r="U317" s="880"/>
      <c r="V317" s="880"/>
      <c r="W317" s="88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</row>
    <row r="318" spans="1:35" x14ac:dyDescent="0.2">
      <c r="A318" s="760"/>
      <c r="B318" s="760"/>
      <c r="C318" s="760"/>
      <c r="D318" s="760"/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880"/>
      <c r="U318" s="880"/>
      <c r="V318" s="880"/>
      <c r="W318" s="88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</row>
    <row r="319" spans="1:35" x14ac:dyDescent="0.2">
      <c r="A319" s="760"/>
      <c r="B319" s="760"/>
      <c r="C319" s="760"/>
      <c r="D319" s="760"/>
      <c r="E319" s="760"/>
      <c r="F319" s="760"/>
      <c r="G319" s="760"/>
      <c r="H319" s="760"/>
      <c r="I319" s="760"/>
      <c r="J319" s="880"/>
      <c r="K319" s="760"/>
      <c r="L319" s="880"/>
      <c r="M319" s="880"/>
      <c r="N319" s="880"/>
      <c r="O319" s="760"/>
      <c r="P319" s="760"/>
      <c r="Q319" s="760"/>
      <c r="R319" s="760"/>
      <c r="S319" s="760"/>
      <c r="T319" s="880"/>
      <c r="U319" s="880"/>
      <c r="V319" s="880"/>
      <c r="W319" s="88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</row>
  </sheetData>
  <conditionalFormatting sqref="A300:A310">
    <cfRule type="duplicateValues" dxfId="2237" priority="51"/>
  </conditionalFormatting>
  <conditionalFormatting sqref="B300:B310">
    <cfRule type="expression" dxfId="2236" priority="46">
      <formula>A300=3</formula>
    </cfRule>
    <cfRule type="expression" dxfId="2235" priority="47">
      <formula>A300=2</formula>
    </cfRule>
    <cfRule type="expression" dxfId="2234" priority="48">
      <formula>A300=1</formula>
    </cfRule>
    <cfRule type="containsBlanks" dxfId="2233" priority="49">
      <formula>LEN(TRIM(B300))=0</formula>
    </cfRule>
    <cfRule type="duplicateValues" dxfId="2232" priority="50"/>
  </conditionalFormatting>
  <conditionalFormatting sqref="A8:A18">
    <cfRule type="duplicateValues" dxfId="2231" priority="45"/>
  </conditionalFormatting>
  <conditionalFormatting sqref="C8:C18">
    <cfRule type="expression" dxfId="2230" priority="27">
      <formula>IF($C8&gt;$E8,TRUE)</formula>
    </cfRule>
  </conditionalFormatting>
  <conditionalFormatting sqref="E8:E18">
    <cfRule type="expression" dxfId="2229" priority="28">
      <formula>IF($C8&lt;$E8,TRUE)</formula>
    </cfRule>
  </conditionalFormatting>
  <conditionalFormatting sqref="K8:K18">
    <cfRule type="expression" dxfId="2228" priority="35">
      <formula>IF($K8&gt;$M8,TRUE)</formula>
    </cfRule>
  </conditionalFormatting>
  <conditionalFormatting sqref="M8:M18">
    <cfRule type="expression" dxfId="2227" priority="36">
      <formula>IF($K8&lt;$M8,TRUE)</formula>
    </cfRule>
  </conditionalFormatting>
  <conditionalFormatting sqref="O8:O18">
    <cfRule type="expression" dxfId="2226" priority="39">
      <formula>IF($O8&gt;$Q8,TRUE)</formula>
    </cfRule>
  </conditionalFormatting>
  <conditionalFormatting sqref="Q8:Q18">
    <cfRule type="expression" dxfId="2225" priority="40">
      <formula>IF($O8&lt;$Q8,TRUE)</formula>
    </cfRule>
  </conditionalFormatting>
  <conditionalFormatting sqref="S8:S18">
    <cfRule type="expression" dxfId="2224" priority="43">
      <formula>IF($S8&gt;$U8,TRUE)</formula>
    </cfRule>
  </conditionalFormatting>
  <conditionalFormatting sqref="U8:U18">
    <cfRule type="expression" dxfId="2223" priority="44">
      <formula>IF($S8&lt;$U8,TRUE)</formula>
    </cfRule>
  </conditionalFormatting>
  <conditionalFormatting sqref="G8:G18">
    <cfRule type="expression" dxfId="2222" priority="31">
      <formula>IF($G8&gt;$I8,TRUE)</formula>
    </cfRule>
  </conditionalFormatting>
  <conditionalFormatting sqref="I8:I18">
    <cfRule type="expression" dxfId="2221" priority="32">
      <formula>IF($G8&lt;$I8,TRUE)</formula>
    </cfRule>
  </conditionalFormatting>
  <conditionalFormatting sqref="F8:F18">
    <cfRule type="containsText" dxfId="2220" priority="13" operator="containsText" text="vaba voor">
      <formula>NOT(ISERROR(SEARCH("vaba voor",F8)))</formula>
    </cfRule>
  </conditionalFormatting>
  <conditionalFormatting sqref="N8:N18">
    <cfRule type="containsText" dxfId="2219" priority="11" operator="containsText" text="vaba voor">
      <formula>NOT(ISERROR(SEARCH("vaba voor",N8)))</formula>
    </cfRule>
  </conditionalFormatting>
  <conditionalFormatting sqref="R8:R18">
    <cfRule type="containsText" dxfId="2218" priority="14" operator="containsText" text="vaba voor">
      <formula>NOT(ISERROR(SEARCH("vaba voor",R8)))</formula>
    </cfRule>
  </conditionalFormatting>
  <conditionalFormatting sqref="V8:V18">
    <cfRule type="containsText" dxfId="2217" priority="10" operator="containsText" text="vaba voor">
      <formula>NOT(ISERROR(SEARCH("vaba voor",V8)))</formula>
    </cfRule>
  </conditionalFormatting>
  <conditionalFormatting sqref="Z8:Z18">
    <cfRule type="containsText" dxfId="2216" priority="9" operator="containsText" text="vaba voor">
      <formula>NOT(ISERROR(SEARCH("vaba voor",Z8)))</formula>
    </cfRule>
  </conditionalFormatting>
  <conditionalFormatting sqref="W8:W18">
    <cfRule type="expression" dxfId="2215" priority="18">
      <formula>IF($W8&gt;$Y8,TRUE)</formula>
    </cfRule>
  </conditionalFormatting>
  <conditionalFormatting sqref="Y8:Y18">
    <cfRule type="expression" dxfId="2214" priority="19">
      <formula>IF($W8&lt;$Y8,TRUE)</formula>
    </cfRule>
  </conditionalFormatting>
  <conditionalFormatting sqref="J8:J18">
    <cfRule type="containsText" dxfId="2213" priority="12" operator="containsText" text="vaba voor">
      <formula>NOT(ISERROR(SEARCH("vaba voor",J8)))</formula>
    </cfRule>
  </conditionalFormatting>
  <conditionalFormatting sqref="C8:F18">
    <cfRule type="expression" dxfId="2212" priority="23">
      <formula>IF(AND(ISNUMBER($C8),$C8=$E8),TRUE)</formula>
    </cfRule>
    <cfRule type="expression" dxfId="2211" priority="25">
      <formula>IF($C8&gt;$E8,TRUE)</formula>
    </cfRule>
    <cfRule type="expression" dxfId="2210" priority="26">
      <formula>IF($C8&lt;$E8,TRUE)</formula>
    </cfRule>
  </conditionalFormatting>
  <conditionalFormatting sqref="G8:J18">
    <cfRule type="expression" dxfId="2209" priority="24">
      <formula>IF(AND(ISNUMBER($G8),$G8=$I8),TRUE)</formula>
    </cfRule>
    <cfRule type="expression" dxfId="2208" priority="29">
      <formula>IF($G8&gt;$I8,TRUE)</formula>
    </cfRule>
    <cfRule type="expression" dxfId="2207" priority="30">
      <formula>IF($G8&lt;$I8,TRUE)</formula>
    </cfRule>
  </conditionalFormatting>
  <conditionalFormatting sqref="K8:N18">
    <cfRule type="expression" dxfId="2206" priority="22">
      <formula>IF(AND(ISNUMBER($K8),$K8=$M8),TRUE)</formula>
    </cfRule>
    <cfRule type="expression" dxfId="2205" priority="33">
      <formula>IF($K8&gt;$M8,TRUE)</formula>
    </cfRule>
    <cfRule type="expression" dxfId="2204" priority="34">
      <formula>IF($K8&lt;$M8,TRUE)</formula>
    </cfRule>
  </conditionalFormatting>
  <conditionalFormatting sqref="O8:R18">
    <cfRule type="expression" dxfId="2203" priority="21">
      <formula>IF(AND(ISNUMBER($O8),$O8=$Q8),TRUE)</formula>
    </cfRule>
    <cfRule type="expression" dxfId="2202" priority="37">
      <formula>IF($O8&gt;$Q8,TRUE)</formula>
    </cfRule>
    <cfRule type="expression" dxfId="2201" priority="38">
      <formula>IF($O8&lt;$Q8,TRUE)</formula>
    </cfRule>
  </conditionalFormatting>
  <conditionalFormatting sqref="S8:V18">
    <cfRule type="expression" dxfId="2200" priority="20">
      <formula>IF(AND(ISNUMBER($S8),$S8=$U8),TRUE)</formula>
    </cfRule>
    <cfRule type="expression" dxfId="2199" priority="41">
      <formula>IF($S8&gt;$U8,TRUE)</formula>
    </cfRule>
    <cfRule type="expression" dxfId="2198" priority="42">
      <formula>IF($S8&lt;$U8,TRUE)</formula>
    </cfRule>
  </conditionalFormatting>
  <conditionalFormatting sqref="W8:Z18">
    <cfRule type="expression" dxfId="2197" priority="15">
      <formula>IF(AND(ISNUMBER($W8),$W8=$Y8),TRUE)</formula>
    </cfRule>
    <cfRule type="expression" dxfId="2196" priority="16">
      <formula>IF($W8&gt;$Y8,TRUE)</formula>
    </cfRule>
    <cfRule type="expression" dxfId="2195" priority="17">
      <formula>IF($W8&lt;$Y8,TRUE)</formula>
    </cfRule>
  </conditionalFormatting>
  <conditionalFormatting sqref="C8:C18 G8:G18 K8:K18 O8:O18 S8:S18 W8:W18">
    <cfRule type="expression" dxfId="2194" priority="7">
      <formula>AND(C8=0,E8=13)</formula>
    </cfRule>
  </conditionalFormatting>
  <conditionalFormatting sqref="E8:E18 I8:I18 M8:M18 Q8:Q18 U8:U18 Y8:Y18">
    <cfRule type="expression" dxfId="2193" priority="8">
      <formula>AND(E8=0,C8=13)</formula>
    </cfRule>
  </conditionalFormatting>
  <pageMargins left="0.39370078740157483" right="0.39370078740157483" top="0.78740157480314965" bottom="0.39370078740157483" header="0.59055118110236227" footer="0"/>
  <pageSetup paperSize="9" fitToHeight="0" orientation="landscape" verticalDpi="0" r:id="rId1"/>
  <headerFooter>
    <oddHeader>&amp;R&amp;9Page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66"/>
    <pageSetUpPr fitToPage="1"/>
  </sheetPr>
  <dimension ref="A1:R310"/>
  <sheetViews>
    <sheetView showGridLines="0" showRowColHeaders="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23.85546875" style="1" customWidth="1"/>
    <col min="3" max="10" width="6.7109375" style="1" customWidth="1"/>
    <col min="11" max="12" width="4.7109375" style="1" customWidth="1"/>
    <col min="13" max="16384" width="9.140625" style="1"/>
  </cols>
  <sheetData>
    <row r="1" spans="1:18" x14ac:dyDescent="0.2">
      <c r="A1" s="753" t="str">
        <f>UPPER((Kalend!E34)&amp;" - "&amp;(Kalend!C34)&amp;" - "&amp;(Kalend!D34))</f>
        <v>V-N2 - TURNIIR NOORTELE - ÜKSIK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K1" s="755"/>
      <c r="L1" s="755"/>
      <c r="M1" s="755"/>
      <c r="N1" s="755"/>
      <c r="O1" s="755"/>
      <c r="P1" s="755"/>
      <c r="Q1" s="755"/>
      <c r="R1" s="755"/>
    </row>
    <row r="2" spans="1:18" x14ac:dyDescent="0.2">
      <c r="A2" s="757" t="str">
        <f>"Toimumisaeg: "&amp;(Kalend!A34)&amp;" kell "&amp;(Kalend!B34)</f>
        <v>Toimumisaeg: P, 10.02.2019 kell 16:00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</row>
    <row r="3" spans="1:18" x14ac:dyDescent="0.2">
      <c r="A3" s="757" t="str">
        <f>"Toimumiskoht: "&amp;(Kalend!F34)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</row>
    <row r="4" spans="1:18" x14ac:dyDescent="0.2">
      <c r="A4" s="757" t="str">
        <f>"Korraldaja: "&amp;(Kalend!G34)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9" t="s">
        <v>357</v>
      </c>
      <c r="K4" s="757"/>
      <c r="L4" s="757"/>
      <c r="M4" s="757"/>
      <c r="N4" s="757"/>
      <c r="O4" s="757"/>
      <c r="P4" s="757"/>
      <c r="Q4" s="757"/>
      <c r="R4" s="757"/>
    </row>
    <row r="5" spans="1:18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O5" s="760"/>
      <c r="P5" s="760"/>
      <c r="Q5" s="757"/>
      <c r="R5" s="757"/>
    </row>
    <row r="6" spans="1:18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>
        <v>6</v>
      </c>
      <c r="I6" s="767" t="s">
        <v>363</v>
      </c>
      <c r="J6" s="766" t="s">
        <v>364</v>
      </c>
      <c r="K6" s="768" t="s">
        <v>21</v>
      </c>
      <c r="L6" s="769" t="s">
        <v>365</v>
      </c>
      <c r="M6" s="924"/>
      <c r="N6" s="755"/>
      <c r="O6" s="755"/>
      <c r="P6" s="755"/>
      <c r="Q6" s="755"/>
      <c r="R6" s="212"/>
    </row>
    <row r="7" spans="1:18" x14ac:dyDescent="0.2">
      <c r="A7" s="765">
        <v>1</v>
      </c>
      <c r="B7" s="925" t="s">
        <v>300</v>
      </c>
      <c r="C7" s="776"/>
      <c r="D7" s="926">
        <v>13</v>
      </c>
      <c r="E7" s="778">
        <v>13</v>
      </c>
      <c r="F7" s="778">
        <v>13</v>
      </c>
      <c r="G7" s="778">
        <v>13</v>
      </c>
      <c r="H7" s="778">
        <v>13</v>
      </c>
      <c r="I7" s="796" t="str">
        <f>(IF(D7-C8&gt;0,1)+IF(E7-C9&gt;0,1)+IF(F7-C10&gt;0,1)+IF(G7-C11&gt;0,1)+IF(H7-C12&gt;0,1))&amp;"-"&amp;(IF(D7-C8&lt;0,1)+IF(E7-C9&lt;0,1)+IF(F7-C10&lt;0,1)+IF(G7-C11&lt;0,1)+IF(H7-C12&lt;0,1))</f>
        <v>5-0</v>
      </c>
      <c r="J7" s="766">
        <v>1</v>
      </c>
      <c r="K7" s="843"/>
      <c r="L7" s="927"/>
      <c r="M7" s="930"/>
      <c r="N7" s="945"/>
      <c r="O7" s="818"/>
      <c r="P7" s="818"/>
      <c r="Q7" s="755"/>
      <c r="R7" s="212"/>
    </row>
    <row r="8" spans="1:18" x14ac:dyDescent="0.2">
      <c r="A8" s="765">
        <v>2</v>
      </c>
      <c r="B8" s="775" t="s">
        <v>308</v>
      </c>
      <c r="C8" s="778">
        <v>5</v>
      </c>
      <c r="D8" s="776"/>
      <c r="E8" s="778">
        <v>12</v>
      </c>
      <c r="F8" s="778">
        <v>5</v>
      </c>
      <c r="G8" s="778">
        <v>13</v>
      </c>
      <c r="H8" s="778">
        <v>13</v>
      </c>
      <c r="I8" s="796" t="str">
        <f>(IF(C8-D7&gt;0,1)+IF(E8-D9&gt;0,1)+IF(F8-D10&gt;0,1)+IF(G8-D11&gt;0,1)+IF(H8-D12&gt;0,1))&amp;"-"&amp;(IF(C8-D7&lt;0,1)+IF(E8-D9&lt;0,1)+IF(F8-D10&lt;0,1)+IF(G8-D11&lt;0,1)+IF(H8-D12&lt;0,1))</f>
        <v>2-3</v>
      </c>
      <c r="J8" s="766">
        <v>4</v>
      </c>
      <c r="K8" s="843"/>
      <c r="L8" s="927"/>
      <c r="M8" s="930"/>
      <c r="N8" s="843"/>
      <c r="O8" s="818"/>
      <c r="P8" s="818"/>
      <c r="Q8" s="755"/>
      <c r="R8" s="212"/>
    </row>
    <row r="9" spans="1:18" x14ac:dyDescent="0.2">
      <c r="A9" s="765">
        <v>3</v>
      </c>
      <c r="B9" s="925" t="s">
        <v>303</v>
      </c>
      <c r="C9" s="778">
        <v>5</v>
      </c>
      <c r="D9" s="787">
        <v>13</v>
      </c>
      <c r="E9" s="776"/>
      <c r="F9" s="778">
        <v>13</v>
      </c>
      <c r="G9" s="778">
        <v>13</v>
      </c>
      <c r="H9" s="778">
        <v>13</v>
      </c>
      <c r="I9" s="796" t="str">
        <f>(IF(C9-E7&gt;0,1)+IF(D9-E8&gt;0,1)+IF(F9-E10&gt;0,1)+IF(G9-E11&gt;0,1)+IF(H9-E12&gt;0,1))&amp;"-"&amp;(IF(C9-E7&lt;0,1)+IF(D9-E8&lt;0,1)+IF(F9-E10&lt;0,1)+IF(G9-E11&lt;0,1)+IF(H9-E12&lt;0,1))</f>
        <v>4-1</v>
      </c>
      <c r="J9" s="766">
        <v>2</v>
      </c>
      <c r="K9" s="843"/>
      <c r="L9" s="927"/>
      <c r="M9" s="930"/>
      <c r="N9" s="843"/>
      <c r="O9" s="818"/>
      <c r="P9" s="818"/>
      <c r="Q9" s="755"/>
      <c r="R9" s="212"/>
    </row>
    <row r="10" spans="1:18" x14ac:dyDescent="0.2">
      <c r="A10" s="765">
        <v>4</v>
      </c>
      <c r="B10" s="925" t="s">
        <v>306</v>
      </c>
      <c r="C10" s="778">
        <v>4</v>
      </c>
      <c r="D10" s="787">
        <v>13</v>
      </c>
      <c r="E10" s="778">
        <v>10</v>
      </c>
      <c r="F10" s="776"/>
      <c r="G10" s="778">
        <v>4</v>
      </c>
      <c r="H10" s="778">
        <v>13</v>
      </c>
      <c r="I10" s="796" t="str">
        <f>(IF(C10-F7&gt;0,1)+IF(D10-F8&gt;0,1)+IF(E10-F9&gt;0,1)+IF(G10-F11&gt;0,1)+IF(H10-F12&gt;0,1))&amp;"-"&amp;(IF(C10-F7&lt;0,1)+IF(D10-F8&lt;0,1)+IF(E10-F9&lt;0,1)+IF(G10-F11&lt;0,1)+IF(H10-F12&lt;0,1))</f>
        <v>2-3</v>
      </c>
      <c r="J10" s="766">
        <v>3</v>
      </c>
      <c r="K10" s="843"/>
      <c r="L10" s="927"/>
      <c r="M10" s="946"/>
      <c r="N10" s="945"/>
      <c r="O10" s="818"/>
      <c r="P10" s="818"/>
      <c r="Q10" s="755"/>
      <c r="R10" s="212"/>
    </row>
    <row r="11" spans="1:18" x14ac:dyDescent="0.2">
      <c r="A11" s="765">
        <v>5</v>
      </c>
      <c r="B11" s="933" t="s">
        <v>526</v>
      </c>
      <c r="C11" s="778">
        <v>3</v>
      </c>
      <c r="D11" s="778">
        <v>7</v>
      </c>
      <c r="E11" s="778">
        <v>7</v>
      </c>
      <c r="F11" s="961">
        <v>7</v>
      </c>
      <c r="G11" s="776"/>
      <c r="H11" s="778">
        <v>13</v>
      </c>
      <c r="I11" s="796" t="str">
        <f>(IF(C11-G7&gt;0,1)+IF(D11-G8&gt;0,1)+IF(E11-G9&gt;0,1)+IF(F11-G10&gt;0,1)+IF(H11-G12&gt;0,1))&amp;"-"&amp;(IF(C11-G7&lt;0,1)+IF(D11-G8&lt;0,1)+IF(E11-G9&lt;0,1)+IF(F11-G10&lt;0,1)+IF(H11-G12&lt;0,1))</f>
        <v>2-3</v>
      </c>
      <c r="J11" s="766">
        <v>5</v>
      </c>
      <c r="K11" s="843"/>
      <c r="L11" s="927"/>
      <c r="M11" s="930"/>
      <c r="N11" s="945"/>
      <c r="O11" s="818"/>
      <c r="P11" s="818"/>
      <c r="Q11" s="755"/>
      <c r="R11" s="212"/>
    </row>
    <row r="12" spans="1:18" x14ac:dyDescent="0.2">
      <c r="A12" s="765">
        <v>6</v>
      </c>
      <c r="B12" s="925" t="s">
        <v>527</v>
      </c>
      <c r="C12" s="794">
        <v>10</v>
      </c>
      <c r="D12" s="794">
        <v>4</v>
      </c>
      <c r="E12" s="794">
        <v>7</v>
      </c>
      <c r="F12" s="794">
        <v>7</v>
      </c>
      <c r="G12" s="794">
        <v>8</v>
      </c>
      <c r="H12" s="776"/>
      <c r="I12" s="796" t="str">
        <f>(IF(C12-H7&gt;0,1)+IF(D12-H8&gt;0,1)+IF(E12-H9&gt;0,1)+IF(F12-H10&gt;0,1)+IF(G12-H11&gt;0,1))&amp;"-"&amp;(IF(C12-H7&lt;0,1)+IF(D12-H8&lt;0,1)+IF(E12-H9&lt;0,1)+IF(F12-H10&lt;0,1)+IF(G12-H11&lt;0,1))</f>
        <v>0-5</v>
      </c>
      <c r="J12" s="766">
        <v>6</v>
      </c>
      <c r="K12" s="797"/>
      <c r="L12" s="936"/>
      <c r="M12" s="930"/>
      <c r="N12" s="945"/>
      <c r="O12" s="818"/>
      <c r="P12" s="818"/>
      <c r="Q12" s="755"/>
      <c r="R12" s="757"/>
    </row>
    <row r="13" spans="1:18" x14ac:dyDescent="0.2">
      <c r="A13" s="770"/>
      <c r="B13" s="770"/>
      <c r="C13" s="770"/>
      <c r="D13" s="770"/>
      <c r="E13" s="770"/>
      <c r="F13" s="770"/>
      <c r="G13" s="770"/>
      <c r="H13" s="770"/>
      <c r="I13" s="770"/>
      <c r="J13" s="770"/>
      <c r="K13" s="770"/>
      <c r="L13" s="770"/>
      <c r="M13" s="770"/>
      <c r="N13" s="755"/>
      <c r="O13" s="755"/>
      <c r="P13" s="755"/>
      <c r="Q13" s="755"/>
      <c r="R13" s="757"/>
    </row>
    <row r="14" spans="1:18" x14ac:dyDescent="0.2">
      <c r="A14" s="757"/>
      <c r="B14" s="799" t="s">
        <v>373</v>
      </c>
      <c r="C14" s="947" t="s">
        <v>497</v>
      </c>
      <c r="D14" s="947" t="s">
        <v>380</v>
      </c>
      <c r="E14" s="947" t="s">
        <v>381</v>
      </c>
      <c r="F14" s="770"/>
      <c r="G14" s="770"/>
      <c r="H14" s="770"/>
      <c r="I14" s="770"/>
      <c r="J14" s="770"/>
      <c r="K14" s="770"/>
      <c r="L14" s="770"/>
      <c r="M14" s="770"/>
      <c r="N14" s="755"/>
      <c r="O14" s="755"/>
      <c r="P14" s="755"/>
      <c r="Q14" s="755"/>
      <c r="R14" s="757"/>
    </row>
    <row r="15" spans="1:18" x14ac:dyDescent="0.2">
      <c r="A15" s="757"/>
      <c r="B15" s="799" t="s">
        <v>376</v>
      </c>
      <c r="C15" s="947" t="s">
        <v>374</v>
      </c>
      <c r="D15" s="947" t="s">
        <v>375</v>
      </c>
      <c r="E15" s="947" t="s">
        <v>499</v>
      </c>
      <c r="F15" s="770"/>
      <c r="G15" s="770"/>
      <c r="H15" s="770"/>
      <c r="I15" s="770"/>
      <c r="J15" s="770"/>
      <c r="K15" s="770"/>
      <c r="L15" s="770"/>
      <c r="M15" s="770"/>
      <c r="N15" s="755"/>
      <c r="O15" s="755"/>
      <c r="P15" s="755"/>
      <c r="Q15" s="755"/>
      <c r="R15" s="757"/>
    </row>
    <row r="16" spans="1:18" x14ac:dyDescent="0.2">
      <c r="A16" s="757"/>
      <c r="B16" s="799" t="s">
        <v>379</v>
      </c>
      <c r="C16" s="947" t="s">
        <v>387</v>
      </c>
      <c r="D16" s="947" t="s">
        <v>386</v>
      </c>
      <c r="E16" s="947" t="s">
        <v>501</v>
      </c>
      <c r="F16" s="770"/>
      <c r="G16" s="770"/>
      <c r="H16" s="770"/>
      <c r="I16" s="770"/>
      <c r="J16" s="770"/>
      <c r="K16" s="770"/>
      <c r="L16" s="770"/>
      <c r="M16" s="770"/>
      <c r="O16" s="771"/>
      <c r="P16" s="770"/>
      <c r="Q16" s="757"/>
      <c r="R16" s="757"/>
    </row>
    <row r="17" spans="1:18" x14ac:dyDescent="0.2">
      <c r="A17" s="757"/>
      <c r="B17" s="799" t="s">
        <v>382</v>
      </c>
      <c r="C17" s="947" t="s">
        <v>377</v>
      </c>
      <c r="D17" s="947" t="s">
        <v>500</v>
      </c>
      <c r="E17" s="947" t="s">
        <v>378</v>
      </c>
      <c r="F17" s="770"/>
      <c r="G17" s="770"/>
      <c r="H17" s="770"/>
      <c r="I17" s="770"/>
      <c r="J17" s="770"/>
      <c r="K17" s="770"/>
      <c r="L17" s="770"/>
      <c r="M17" s="770"/>
      <c r="O17" s="770"/>
      <c r="P17" s="770"/>
      <c r="Q17" s="757"/>
      <c r="R17" s="757"/>
    </row>
    <row r="18" spans="1:18" x14ac:dyDescent="0.2">
      <c r="A18" s="212"/>
      <c r="B18" s="799" t="s">
        <v>385</v>
      </c>
      <c r="C18" s="947" t="s">
        <v>408</v>
      </c>
      <c r="D18" s="947" t="s">
        <v>384</v>
      </c>
      <c r="E18" s="947" t="s">
        <v>498</v>
      </c>
      <c r="F18" s="770"/>
      <c r="G18" s="770"/>
      <c r="H18" s="770"/>
      <c r="I18" s="770"/>
      <c r="J18" s="770"/>
      <c r="K18" s="770"/>
      <c r="L18" s="770"/>
      <c r="M18" s="770"/>
      <c r="O18" s="770"/>
      <c r="P18" s="770"/>
      <c r="Q18" s="212"/>
      <c r="R18" s="212"/>
    </row>
    <row r="19" spans="1:18" hidden="1" x14ac:dyDescent="0.2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O19" s="212"/>
      <c r="P19" s="770"/>
      <c r="Q19" s="212"/>
      <c r="R19" s="212"/>
    </row>
    <row r="20" spans="1:18" hidden="1" x14ac:dyDescent="0.2">
      <c r="A20" s="770"/>
      <c r="B20" s="770"/>
      <c r="C20" s="770"/>
      <c r="D20" s="770"/>
      <c r="E20" s="770"/>
      <c r="F20" s="770"/>
      <c r="G20" s="770"/>
      <c r="H20" s="212"/>
      <c r="I20" s="212"/>
      <c r="J20" s="212"/>
      <c r="K20" s="770"/>
      <c r="L20" s="770"/>
      <c r="M20" s="770"/>
      <c r="N20" s="770"/>
      <c r="O20" s="770"/>
      <c r="P20" s="770"/>
      <c r="Q20" s="212"/>
      <c r="R20" s="212"/>
    </row>
    <row r="21" spans="1:18" hidden="1" x14ac:dyDescent="0.2">
      <c r="A21" s="770"/>
      <c r="B21" s="770"/>
      <c r="C21" s="770"/>
      <c r="D21" s="770"/>
      <c r="E21" s="770"/>
      <c r="F21" s="770"/>
      <c r="G21" s="770"/>
      <c r="H21" s="212"/>
      <c r="I21" s="212"/>
      <c r="J21" s="212"/>
      <c r="K21" s="770"/>
      <c r="L21" s="770"/>
      <c r="M21" s="770"/>
      <c r="O21" s="770"/>
      <c r="P21" s="770"/>
      <c r="Q21" s="212"/>
      <c r="R21" s="212"/>
    </row>
    <row r="22" spans="1:18" hidden="1" x14ac:dyDescent="0.2">
      <c r="A22" s="770"/>
      <c r="B22" s="770"/>
      <c r="C22" s="770"/>
      <c r="D22" s="770"/>
      <c r="E22" s="770"/>
      <c r="F22" s="770"/>
      <c r="G22" s="770"/>
      <c r="H22" s="212"/>
      <c r="I22" s="212"/>
      <c r="J22" s="212"/>
      <c r="K22" s="770"/>
      <c r="L22" s="770"/>
      <c r="M22" s="770"/>
      <c r="N22" s="770"/>
      <c r="O22" s="770"/>
      <c r="P22" s="770"/>
      <c r="Q22" s="212"/>
      <c r="R22" s="212"/>
    </row>
    <row r="23" spans="1:18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770"/>
      <c r="L23" s="770"/>
      <c r="M23" s="770"/>
      <c r="N23" s="771"/>
      <c r="O23" s="770"/>
      <c r="P23" s="770"/>
      <c r="Q23" s="212"/>
      <c r="R23" s="212"/>
    </row>
    <row r="24" spans="1:18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770"/>
      <c r="L24" s="770"/>
      <c r="M24" s="770"/>
      <c r="O24" s="770"/>
      <c r="P24" s="770"/>
      <c r="Q24" s="212"/>
      <c r="R24" s="212"/>
    </row>
    <row r="25" spans="1:18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770"/>
      <c r="L25" s="770"/>
      <c r="M25" s="770"/>
      <c r="N25" s="770"/>
      <c r="O25" s="770"/>
      <c r="P25" s="770"/>
      <c r="Q25" s="212"/>
      <c r="R25" s="212"/>
    </row>
    <row r="26" spans="1:18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770"/>
      <c r="L26" s="770"/>
      <c r="M26" s="770"/>
      <c r="N26" s="801"/>
      <c r="O26" s="770"/>
      <c r="P26" s="770"/>
      <c r="Q26" s="212"/>
      <c r="R26" s="212"/>
    </row>
    <row r="27" spans="1:18" hidden="1" x14ac:dyDescent="0.2">
      <c r="A27" s="770"/>
      <c r="B27" s="770"/>
      <c r="C27" s="770"/>
      <c r="D27" s="770"/>
      <c r="E27" s="770"/>
      <c r="F27" s="770"/>
      <c r="G27" s="770"/>
      <c r="H27" s="212"/>
      <c r="I27" s="212"/>
      <c r="J27" s="212"/>
      <c r="K27" s="770"/>
      <c r="L27" s="770"/>
      <c r="M27" s="770"/>
      <c r="O27" s="770"/>
      <c r="P27" s="770"/>
      <c r="Q27" s="212"/>
      <c r="R27" s="212"/>
    </row>
    <row r="28" spans="1:18" hidden="1" x14ac:dyDescent="0.2">
      <c r="A28" s="770"/>
      <c r="B28" s="770"/>
      <c r="C28" s="770"/>
      <c r="D28" s="770"/>
      <c r="E28" s="770"/>
      <c r="F28" s="770"/>
      <c r="G28" s="770"/>
      <c r="H28" s="802"/>
      <c r="I28" s="802"/>
      <c r="J28" s="802"/>
      <c r="K28" s="770"/>
      <c r="L28" s="770"/>
      <c r="M28" s="770"/>
      <c r="O28" s="771"/>
      <c r="P28" s="770"/>
      <c r="Q28" s="802"/>
      <c r="R28" s="802"/>
    </row>
    <row r="29" spans="1:18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770"/>
      <c r="L29" s="770"/>
      <c r="M29" s="770"/>
      <c r="O29" s="771"/>
      <c r="P29" s="770"/>
      <c r="Q29" s="802"/>
      <c r="R29" s="802"/>
    </row>
    <row r="30" spans="1:18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770"/>
      <c r="L30" s="770"/>
      <c r="M30" s="770"/>
      <c r="N30" s="801"/>
      <c r="O30" s="212"/>
      <c r="P30" s="770"/>
      <c r="Q30" s="802"/>
      <c r="R30" s="802"/>
    </row>
    <row r="31" spans="1:18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770"/>
      <c r="L31" s="770"/>
      <c r="M31" s="770"/>
      <c r="O31" s="212"/>
      <c r="P31" s="770"/>
      <c r="Q31" s="802"/>
      <c r="R31" s="802"/>
    </row>
    <row r="32" spans="1:18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770"/>
      <c r="L32" s="770"/>
      <c r="M32" s="770"/>
      <c r="N32" s="770"/>
      <c r="O32" s="212"/>
      <c r="P32" s="770"/>
      <c r="Q32" s="802"/>
      <c r="R32" s="802"/>
    </row>
    <row r="33" spans="1:18" hidden="1" x14ac:dyDescent="0.2">
      <c r="A33" s="770"/>
      <c r="B33" s="770"/>
      <c r="C33" s="770"/>
      <c r="D33" s="770"/>
      <c r="E33" s="770"/>
      <c r="F33" s="770"/>
      <c r="G33" s="770"/>
      <c r="H33" s="802"/>
      <c r="I33" s="802"/>
      <c r="J33" s="802"/>
      <c r="K33" s="770"/>
      <c r="L33" s="770"/>
      <c r="M33" s="770"/>
      <c r="N33" s="770"/>
      <c r="O33" s="770"/>
      <c r="P33" s="770"/>
      <c r="Q33" s="802"/>
      <c r="R33" s="802"/>
    </row>
    <row r="34" spans="1:18" hidden="1" x14ac:dyDescent="0.2">
      <c r="A34" s="770"/>
      <c r="B34" s="770"/>
      <c r="C34" s="770"/>
      <c r="D34" s="770"/>
      <c r="E34" s="770"/>
      <c r="F34" s="770"/>
      <c r="G34" s="770"/>
      <c r="H34" s="770"/>
      <c r="I34" s="802"/>
      <c r="J34" s="802"/>
      <c r="K34" s="770"/>
      <c r="L34" s="770"/>
      <c r="M34" s="770"/>
      <c r="N34" s="212"/>
      <c r="O34" s="770"/>
      <c r="P34" s="770"/>
      <c r="Q34" s="802"/>
      <c r="R34" s="802"/>
    </row>
    <row r="35" spans="1:18" hidden="1" x14ac:dyDescent="0.2">
      <c r="A35" s="770"/>
      <c r="B35" s="770"/>
      <c r="C35" s="770"/>
      <c r="D35" s="770"/>
      <c r="E35" s="770"/>
      <c r="F35" s="770"/>
      <c r="G35" s="770"/>
      <c r="H35" s="770"/>
      <c r="I35" s="802"/>
      <c r="J35" s="802"/>
      <c r="K35" s="770"/>
      <c r="L35" s="770"/>
      <c r="M35" s="770"/>
      <c r="N35" s="803"/>
      <c r="O35" s="212"/>
      <c r="P35" s="770"/>
      <c r="Q35" s="802"/>
      <c r="R35" s="802"/>
    </row>
    <row r="36" spans="1:18" hidden="1" x14ac:dyDescent="0.2">
      <c r="A36" s="770"/>
      <c r="B36" s="770"/>
      <c r="C36" s="770"/>
      <c r="D36" s="770"/>
      <c r="E36" s="770"/>
      <c r="F36" s="770"/>
      <c r="G36" s="770"/>
      <c r="H36" s="770"/>
      <c r="I36" s="802"/>
      <c r="J36" s="802"/>
      <c r="K36" s="770"/>
      <c r="L36" s="770"/>
      <c r="M36" s="770"/>
      <c r="N36" s="212"/>
      <c r="O36" s="212"/>
      <c r="P36" s="770"/>
      <c r="Q36" s="802"/>
      <c r="R36" s="802"/>
    </row>
    <row r="37" spans="1:18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  <c r="N37" s="212"/>
      <c r="O37" s="212"/>
      <c r="P37" s="770"/>
      <c r="Q37" s="802"/>
      <c r="R37" s="802"/>
    </row>
    <row r="38" spans="1:18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O38" s="212"/>
      <c r="P38" s="770"/>
      <c r="Q38" s="802"/>
      <c r="R38" s="802"/>
    </row>
    <row r="39" spans="1:18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212"/>
      <c r="O39" s="212"/>
      <c r="P39" s="770"/>
      <c r="Q39" s="802"/>
      <c r="R39" s="802"/>
    </row>
    <row r="40" spans="1:18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801"/>
      <c r="O40" s="212"/>
      <c r="P40" s="770"/>
      <c r="Q40" s="802"/>
      <c r="R40" s="802"/>
    </row>
    <row r="41" spans="1:18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N41" s="771"/>
      <c r="O41" s="770"/>
      <c r="P41" s="770"/>
      <c r="Q41" s="802"/>
      <c r="R41" s="802"/>
    </row>
    <row r="42" spans="1:18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O42" s="770"/>
      <c r="P42" s="770"/>
      <c r="Q42" s="802"/>
      <c r="R42" s="802"/>
    </row>
    <row r="43" spans="1:18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O43" s="770"/>
      <c r="P43" s="770"/>
      <c r="Q43" s="802"/>
      <c r="R43" s="802"/>
    </row>
    <row r="44" spans="1:18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O44" s="770"/>
      <c r="P44" s="770"/>
      <c r="Q44" s="802"/>
      <c r="R44" s="802"/>
    </row>
    <row r="45" spans="1:18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802"/>
      <c r="R45" s="802"/>
    </row>
    <row r="46" spans="1:18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  <c r="P46" s="770"/>
      <c r="Q46" s="802"/>
      <c r="R46" s="802"/>
    </row>
    <row r="47" spans="1:18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O47" s="212"/>
      <c r="P47" s="770"/>
      <c r="Q47" s="802"/>
      <c r="R47" s="802"/>
    </row>
    <row r="48" spans="1:18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0"/>
      <c r="O48" s="770"/>
      <c r="P48" s="770"/>
      <c r="Q48" s="802"/>
      <c r="R48" s="802"/>
    </row>
    <row r="49" spans="1:18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O49" s="770"/>
      <c r="P49" s="770"/>
      <c r="Q49" s="802"/>
      <c r="R49" s="802"/>
    </row>
    <row r="50" spans="1:18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770"/>
      <c r="P50" s="770"/>
      <c r="Q50" s="802"/>
      <c r="R50" s="802"/>
    </row>
    <row r="51" spans="1:18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1"/>
      <c r="O51" s="770"/>
      <c r="P51" s="770"/>
      <c r="Q51" s="802"/>
      <c r="R51" s="802"/>
    </row>
    <row r="52" spans="1:18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O52" s="770"/>
      <c r="P52" s="770"/>
      <c r="Q52" s="802"/>
      <c r="R52" s="802"/>
    </row>
    <row r="53" spans="1:18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P53" s="770"/>
      <c r="Q53" s="802"/>
      <c r="R53" s="802"/>
    </row>
    <row r="54" spans="1:18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801"/>
      <c r="O54" s="770"/>
      <c r="P54" s="770"/>
      <c r="Q54" s="802"/>
      <c r="R54" s="802"/>
    </row>
    <row r="55" spans="1:18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O55" s="770"/>
      <c r="P55" s="770"/>
      <c r="Q55" s="802"/>
      <c r="R55" s="802"/>
    </row>
    <row r="56" spans="1:18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O56" s="771"/>
      <c r="P56" s="770"/>
      <c r="Q56" s="802"/>
      <c r="R56" s="802"/>
    </row>
    <row r="57" spans="1:18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O57" s="771"/>
      <c r="P57" s="770"/>
      <c r="Q57" s="802"/>
      <c r="R57" s="802"/>
    </row>
    <row r="58" spans="1:18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801"/>
      <c r="O58" s="212"/>
      <c r="P58" s="770"/>
      <c r="Q58" s="802"/>
      <c r="R58" s="802"/>
    </row>
    <row r="59" spans="1:18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O59" s="212"/>
      <c r="P59" s="770"/>
      <c r="Q59" s="802"/>
      <c r="R59" s="802"/>
    </row>
    <row r="60" spans="1:18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0"/>
      <c r="O60" s="212"/>
      <c r="P60" s="770"/>
      <c r="Q60" s="802"/>
      <c r="R60" s="802"/>
    </row>
    <row r="61" spans="1:18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55"/>
      <c r="O61" s="755"/>
      <c r="P61" s="755"/>
      <c r="Q61" s="802"/>
      <c r="R61" s="802"/>
    </row>
    <row r="62" spans="1:18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55"/>
      <c r="O62" s="755"/>
      <c r="P62" s="755"/>
      <c r="Q62" s="802"/>
      <c r="R62" s="802"/>
    </row>
    <row r="63" spans="1:18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55"/>
      <c r="O63" s="755"/>
      <c r="P63" s="755"/>
      <c r="Q63" s="802"/>
      <c r="R63" s="802"/>
    </row>
    <row r="64" spans="1:18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55"/>
      <c r="O64" s="755"/>
      <c r="P64" s="755"/>
      <c r="Q64" s="802"/>
      <c r="R64" s="802"/>
    </row>
    <row r="65" spans="1:18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55"/>
      <c r="O65" s="755"/>
      <c r="P65" s="755"/>
      <c r="Q65" s="802"/>
      <c r="R65" s="802"/>
    </row>
    <row r="66" spans="1:18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55"/>
      <c r="O66" s="755"/>
      <c r="P66" s="755"/>
      <c r="Q66" s="802"/>
      <c r="R66" s="802"/>
    </row>
    <row r="67" spans="1:18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55"/>
      <c r="O67" s="755"/>
      <c r="P67" s="755"/>
      <c r="Q67" s="212"/>
      <c r="R67" s="212"/>
    </row>
    <row r="68" spans="1:18" hidden="1" x14ac:dyDescent="0.2">
      <c r="A68" s="770"/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55"/>
      <c r="O68" s="755"/>
      <c r="P68" s="755"/>
      <c r="Q68" s="212"/>
      <c r="R68" s="212"/>
    </row>
    <row r="69" spans="1:18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212"/>
      <c r="R69" s="212"/>
    </row>
    <row r="70" spans="1:18" hidden="1" x14ac:dyDescent="0.2">
      <c r="A70" s="755"/>
      <c r="B70" s="212"/>
      <c r="C70" s="212"/>
      <c r="D70" s="212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212"/>
      <c r="R70" s="212"/>
    </row>
    <row r="71" spans="1:18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212"/>
      <c r="R71" s="212"/>
    </row>
    <row r="72" spans="1:18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212"/>
      <c r="R72" s="212"/>
    </row>
    <row r="73" spans="1:18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212"/>
      <c r="R73" s="212"/>
    </row>
    <row r="74" spans="1:18" hidden="1" x14ac:dyDescent="0.2">
      <c r="A74" s="755"/>
      <c r="B74" s="212"/>
      <c r="C74" s="212"/>
      <c r="D74" s="212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212"/>
      <c r="R74" s="212"/>
    </row>
    <row r="75" spans="1:18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212"/>
      <c r="R75" s="212"/>
    </row>
    <row r="76" spans="1:18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212"/>
      <c r="R76" s="212"/>
    </row>
    <row r="77" spans="1:18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</row>
    <row r="78" spans="1:18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</row>
    <row r="79" spans="1:18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</row>
    <row r="80" spans="1:18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</row>
    <row r="81" spans="1:18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</row>
    <row r="82" spans="1:18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</row>
    <row r="83" spans="1:18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</row>
    <row r="84" spans="1:18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</row>
    <row r="85" spans="1:18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</row>
    <row r="86" spans="1:18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</row>
    <row r="87" spans="1:18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</row>
    <row r="88" spans="1:18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</row>
    <row r="89" spans="1:18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</row>
    <row r="90" spans="1:18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</row>
    <row r="91" spans="1:18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</row>
    <row r="92" spans="1:18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</row>
    <row r="93" spans="1:18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</row>
    <row r="94" spans="1:18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</row>
    <row r="95" spans="1:18" hidden="1" x14ac:dyDescent="0.2">
      <c r="A95" s="755"/>
      <c r="B95" s="802"/>
      <c r="C95" s="802"/>
      <c r="D95" s="802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55"/>
      <c r="R95" s="755"/>
    </row>
    <row r="96" spans="1:18" hidden="1" x14ac:dyDescent="0.2">
      <c r="A96" s="755"/>
      <c r="B96" s="760"/>
      <c r="C96" s="760"/>
      <c r="D96" s="760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55"/>
      <c r="R96" s="755"/>
    </row>
    <row r="97" spans="1:18" hidden="1" x14ac:dyDescent="0.2">
      <c r="A97" s="755"/>
      <c r="B97" s="760"/>
      <c r="C97" s="760"/>
      <c r="D97" s="760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55"/>
      <c r="R97" s="755"/>
    </row>
    <row r="98" spans="1:18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55"/>
      <c r="R98" s="755"/>
    </row>
    <row r="99" spans="1:18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55"/>
      <c r="R99" s="755"/>
    </row>
    <row r="100" spans="1:18" x14ac:dyDescent="0.2">
      <c r="A100" s="806" t="s">
        <v>388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55"/>
      <c r="R100" s="755"/>
    </row>
    <row r="101" spans="1:18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55"/>
      <c r="R101" s="755"/>
    </row>
    <row r="102" spans="1:18" ht="13.5" thickBot="1" x14ac:dyDescent="0.25">
      <c r="A102" s="755"/>
      <c r="B102" s="755"/>
      <c r="C102" s="755"/>
      <c r="D102" s="755"/>
      <c r="E102" s="755"/>
      <c r="F102" s="755"/>
      <c r="G102" s="755"/>
      <c r="H102" s="809" t="str">
        <f>IFERROR(INDEX(B$1:B$100,MATCH(1,J$1:J$100,0)),"")</f>
        <v>Kaspar Mänd</v>
      </c>
      <c r="I102" s="755"/>
      <c r="J102" s="755"/>
      <c r="K102" s="755"/>
      <c r="L102" s="755"/>
      <c r="M102" s="755"/>
      <c r="N102" s="755"/>
      <c r="O102" s="755"/>
      <c r="P102" s="760"/>
      <c r="Q102" s="755"/>
      <c r="R102" s="755"/>
    </row>
    <row r="103" spans="1:18" x14ac:dyDescent="0.2">
      <c r="A103" s="755"/>
      <c r="B103" s="755"/>
      <c r="C103" s="755"/>
      <c r="D103" s="755"/>
      <c r="E103" s="755"/>
      <c r="F103" s="755"/>
      <c r="G103" s="755"/>
      <c r="H103" s="810" t="s">
        <v>389</v>
      </c>
      <c r="I103" s="811"/>
      <c r="J103" s="755"/>
      <c r="K103" s="755"/>
      <c r="L103" s="755"/>
      <c r="M103" s="755"/>
      <c r="N103" s="755"/>
      <c r="O103" s="755"/>
      <c r="P103" s="760"/>
      <c r="Q103" s="755"/>
      <c r="R103" s="755"/>
    </row>
    <row r="104" spans="1:18" x14ac:dyDescent="0.2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55"/>
      <c r="R104" s="755"/>
    </row>
    <row r="105" spans="1:18" ht="13.5" thickBot="1" x14ac:dyDescent="0.25">
      <c r="A105" s="755"/>
      <c r="B105" s="755"/>
      <c r="C105" s="755"/>
      <c r="D105" s="755"/>
      <c r="E105" s="755"/>
      <c r="F105" s="755"/>
      <c r="G105" s="760"/>
      <c r="H105" s="809" t="str">
        <f>IFERROR(INDEX(B$1:B$100,MATCH(2,J$1:J$100,0)),"")</f>
        <v>Reimo Lõhmus</v>
      </c>
      <c r="I105" s="938"/>
      <c r="J105" s="755"/>
      <c r="K105" s="755"/>
      <c r="L105" s="755"/>
      <c r="M105" s="755"/>
      <c r="N105" s="755"/>
      <c r="O105" s="755"/>
      <c r="P105" s="760"/>
      <c r="Q105" s="755"/>
      <c r="R105" s="755"/>
    </row>
    <row r="106" spans="1:18" x14ac:dyDescent="0.2">
      <c r="A106" s="755"/>
      <c r="B106" s="755"/>
      <c r="C106" s="755"/>
      <c r="D106" s="755"/>
      <c r="E106" s="755"/>
      <c r="F106" s="755"/>
      <c r="G106" s="760"/>
      <c r="H106" s="810" t="s">
        <v>390</v>
      </c>
      <c r="I106" s="807"/>
      <c r="J106" s="755"/>
      <c r="K106" s="755"/>
      <c r="L106" s="755"/>
      <c r="M106" s="755"/>
      <c r="N106" s="755"/>
      <c r="O106" s="755"/>
      <c r="P106" s="760"/>
      <c r="Q106" s="755"/>
      <c r="R106" s="755"/>
    </row>
    <row r="107" spans="1:18" x14ac:dyDescent="0.2">
      <c r="A107" s="755"/>
      <c r="B107" s="755"/>
      <c r="C107" s="755"/>
      <c r="D107" s="755"/>
      <c r="E107" s="755"/>
      <c r="F107" s="755"/>
      <c r="G107" s="760"/>
      <c r="H107" s="755"/>
      <c r="I107" s="755"/>
      <c r="J107" s="755"/>
      <c r="K107" s="755"/>
      <c r="L107" s="755"/>
      <c r="M107" s="755"/>
      <c r="N107" s="755"/>
      <c r="O107" s="755"/>
      <c r="P107" s="760"/>
      <c r="Q107" s="755"/>
      <c r="R107" s="755"/>
    </row>
    <row r="108" spans="1:18" ht="13.5" thickBot="1" x14ac:dyDescent="0.25">
      <c r="A108" s="755"/>
      <c r="B108" s="755"/>
      <c r="C108" s="755"/>
      <c r="D108" s="755"/>
      <c r="E108" s="755"/>
      <c r="F108" s="755"/>
      <c r="G108" s="760"/>
      <c r="H108" s="809" t="str">
        <f>IFERROR(INDEX(B$1:B$100,MATCH(3,J$1:J$100,0)),"")</f>
        <v>Ksenija Matšneva</v>
      </c>
      <c r="I108" s="807"/>
      <c r="J108" s="755"/>
      <c r="K108" s="755"/>
      <c r="L108" s="755"/>
      <c r="M108" s="755"/>
      <c r="N108" s="755"/>
      <c r="O108" s="755"/>
      <c r="P108" s="760"/>
      <c r="Q108" s="755"/>
      <c r="R108" s="755"/>
    </row>
    <row r="109" spans="1:18" x14ac:dyDescent="0.2">
      <c r="A109" s="755"/>
      <c r="B109" s="755"/>
      <c r="C109" s="755"/>
      <c r="D109" s="755"/>
      <c r="E109" s="755"/>
      <c r="F109" s="755"/>
      <c r="G109" s="760"/>
      <c r="H109" s="810" t="s">
        <v>391</v>
      </c>
      <c r="I109" s="811"/>
      <c r="J109" s="755"/>
      <c r="K109" s="755"/>
      <c r="L109" s="755"/>
      <c r="M109" s="755"/>
      <c r="N109" s="755"/>
      <c r="O109" s="755"/>
      <c r="P109" s="760"/>
      <c r="Q109" s="755"/>
      <c r="R109" s="755"/>
    </row>
    <row r="110" spans="1:18" x14ac:dyDescent="0.2">
      <c r="A110" s="755"/>
      <c r="B110" s="755"/>
      <c r="C110" s="755"/>
      <c r="D110" s="755"/>
      <c r="E110" s="755"/>
      <c r="F110" s="755"/>
      <c r="G110" s="760"/>
      <c r="H110" s="807"/>
      <c r="I110" s="807"/>
      <c r="J110" s="755"/>
      <c r="K110" s="755"/>
      <c r="L110" s="755"/>
      <c r="M110" s="755"/>
      <c r="N110" s="755"/>
      <c r="O110" s="755"/>
      <c r="P110" s="760"/>
      <c r="Q110" s="755"/>
      <c r="R110" s="755"/>
    </row>
    <row r="111" spans="1:18" ht="13.5" thickBot="1" x14ac:dyDescent="0.25">
      <c r="A111" s="755"/>
      <c r="B111" s="755"/>
      <c r="C111" s="755"/>
      <c r="D111" s="755"/>
      <c r="E111" s="755"/>
      <c r="F111" s="755"/>
      <c r="G111" s="760"/>
      <c r="H111" s="939" t="str">
        <f>IFERROR(INDEX(B$1:B$100,MATCH(4,J$1:J$100,0)),"")</f>
        <v>Veroonika Mendes</v>
      </c>
      <c r="I111" s="938"/>
      <c r="J111" s="755"/>
      <c r="K111" s="755"/>
      <c r="L111" s="755"/>
      <c r="M111" s="755"/>
      <c r="N111" s="755"/>
      <c r="O111" s="755"/>
      <c r="P111" s="760"/>
      <c r="Q111" s="755"/>
      <c r="R111" s="755"/>
    </row>
    <row r="112" spans="1:18" x14ac:dyDescent="0.2">
      <c r="A112" s="755"/>
      <c r="B112" s="755"/>
      <c r="C112" s="755"/>
      <c r="D112" s="755"/>
      <c r="E112" s="755"/>
      <c r="F112" s="755"/>
      <c r="G112" s="760"/>
      <c r="H112" s="754" t="s">
        <v>392</v>
      </c>
      <c r="I112" s="755"/>
      <c r="J112" s="755"/>
      <c r="K112" s="755"/>
      <c r="L112" s="755"/>
      <c r="M112" s="755"/>
      <c r="N112" s="755"/>
      <c r="O112" s="755"/>
      <c r="P112" s="760"/>
      <c r="Q112" s="755"/>
      <c r="R112" s="755"/>
    </row>
    <row r="113" spans="1:18" x14ac:dyDescent="0.2">
      <c r="A113" s="755"/>
      <c r="B113" s="755"/>
      <c r="C113" s="755"/>
      <c r="D113" s="755"/>
      <c r="E113" s="755"/>
      <c r="F113" s="755"/>
      <c r="G113" s="760"/>
      <c r="H113" s="760"/>
      <c r="I113" s="760"/>
      <c r="J113" s="755"/>
      <c r="K113" s="755"/>
      <c r="L113" s="755"/>
      <c r="M113" s="755"/>
      <c r="N113" s="755"/>
      <c r="O113" s="755"/>
      <c r="P113" s="760"/>
      <c r="Q113" s="755"/>
      <c r="R113" s="755"/>
    </row>
    <row r="114" spans="1:18" ht="13.5" thickBot="1" x14ac:dyDescent="0.25">
      <c r="A114" s="755"/>
      <c r="B114" s="755"/>
      <c r="C114" s="755"/>
      <c r="D114" s="755"/>
      <c r="E114" s="755"/>
      <c r="F114" s="755"/>
      <c r="G114" s="760"/>
      <c r="H114" s="939" t="str">
        <f>IFERROR(INDEX(B$1:B$100,MATCH(5,J$1:J$100,0)),"")</f>
        <v>Mirjel Jõesaar</v>
      </c>
      <c r="I114" s="938"/>
      <c r="J114" s="755"/>
      <c r="K114" s="755"/>
      <c r="L114" s="755"/>
      <c r="M114" s="755"/>
      <c r="N114" s="755"/>
      <c r="O114" s="755"/>
      <c r="P114" s="760"/>
      <c r="Q114" s="755"/>
      <c r="R114" s="755"/>
    </row>
    <row r="115" spans="1:18" x14ac:dyDescent="0.2">
      <c r="A115" s="755"/>
      <c r="B115" s="755"/>
      <c r="C115" s="755"/>
      <c r="D115" s="755"/>
      <c r="E115" s="755"/>
      <c r="F115" s="755"/>
      <c r="G115" s="760"/>
      <c r="H115" s="754" t="s">
        <v>393</v>
      </c>
      <c r="I115" s="755"/>
      <c r="J115" s="755"/>
      <c r="K115" s="755"/>
      <c r="L115" s="755"/>
      <c r="M115" s="755"/>
      <c r="N115" s="755"/>
      <c r="O115" s="755"/>
      <c r="P115" s="760"/>
      <c r="Q115" s="755"/>
      <c r="R115" s="755"/>
    </row>
    <row r="116" spans="1:18" x14ac:dyDescent="0.2">
      <c r="A116" s="755"/>
      <c r="B116" s="755"/>
      <c r="C116" s="755"/>
      <c r="D116" s="755"/>
      <c r="E116" s="755"/>
      <c r="F116" s="755"/>
      <c r="G116" s="760"/>
      <c r="H116" s="770"/>
      <c r="I116" s="770"/>
      <c r="J116" s="755"/>
      <c r="K116" s="755"/>
      <c r="L116" s="755"/>
      <c r="M116" s="755"/>
      <c r="N116" s="755"/>
      <c r="O116" s="755"/>
      <c r="P116" s="760"/>
      <c r="Q116" s="755"/>
      <c r="R116" s="755"/>
    </row>
    <row r="117" spans="1:18" ht="13.5" thickBot="1" x14ac:dyDescent="0.25">
      <c r="A117" s="755"/>
      <c r="B117" s="755"/>
      <c r="C117" s="755"/>
      <c r="D117" s="755"/>
      <c r="E117" s="755"/>
      <c r="F117" s="755"/>
      <c r="G117" s="760"/>
      <c r="H117" s="939" t="str">
        <f>IFERROR(INDEX(B$1:B$100,MATCH(6,J$1:J$100,0)),"")</f>
        <v>Anne-Mari Pruuns</v>
      </c>
      <c r="I117" s="938"/>
      <c r="J117" s="755"/>
      <c r="K117" s="755"/>
      <c r="L117" s="755"/>
      <c r="M117" s="755"/>
      <c r="N117" s="755"/>
      <c r="O117" s="755"/>
      <c r="P117" s="760"/>
      <c r="Q117" s="755"/>
      <c r="R117" s="755"/>
    </row>
    <row r="118" spans="1:18" x14ac:dyDescent="0.2">
      <c r="A118" s="755"/>
      <c r="B118" s="755"/>
      <c r="C118" s="755"/>
      <c r="D118" s="755"/>
      <c r="E118" s="755"/>
      <c r="F118" s="755"/>
      <c r="G118" s="760"/>
      <c r="H118" s="754" t="s">
        <v>394</v>
      </c>
      <c r="I118" s="755"/>
      <c r="J118" s="755"/>
      <c r="K118" s="755"/>
      <c r="L118" s="755"/>
      <c r="M118" s="755"/>
      <c r="N118" s="755"/>
      <c r="O118" s="755"/>
      <c r="P118" s="760"/>
      <c r="Q118" s="755"/>
      <c r="R118" s="755"/>
    </row>
    <row r="119" spans="1:18" hidden="1" x14ac:dyDescent="0.2">
      <c r="A119" s="755"/>
      <c r="B119" s="755"/>
      <c r="C119" s="755"/>
      <c r="D119" s="755"/>
      <c r="E119" s="755"/>
      <c r="F119" s="755"/>
      <c r="G119" s="760"/>
      <c r="H119" s="755"/>
      <c r="I119" s="755"/>
      <c r="J119" s="755"/>
      <c r="K119" s="755"/>
      <c r="L119" s="755"/>
      <c r="M119" s="755"/>
      <c r="N119" s="755"/>
      <c r="O119" s="755"/>
      <c r="P119" s="760"/>
      <c r="Q119" s="755"/>
      <c r="R119" s="755"/>
    </row>
    <row r="120" spans="1:18" hidden="1" x14ac:dyDescent="0.2">
      <c r="A120" s="755"/>
      <c r="B120" s="755"/>
      <c r="C120" s="755"/>
      <c r="D120" s="755"/>
      <c r="E120" s="755"/>
      <c r="F120" s="755"/>
      <c r="G120" s="760"/>
      <c r="H120" s="760"/>
      <c r="I120" s="760"/>
      <c r="J120" s="755"/>
      <c r="K120" s="755"/>
      <c r="L120" s="755"/>
      <c r="M120" s="755"/>
      <c r="N120" s="755"/>
      <c r="O120" s="755"/>
      <c r="P120" s="760"/>
      <c r="Q120" s="755"/>
      <c r="R120" s="755"/>
    </row>
    <row r="121" spans="1:18" hidden="1" x14ac:dyDescent="0.2">
      <c r="A121" s="755"/>
      <c r="B121" s="755"/>
      <c r="C121" s="755"/>
      <c r="D121" s="755"/>
      <c r="E121" s="755"/>
      <c r="F121" s="755"/>
      <c r="G121" s="760"/>
      <c r="H121" s="760"/>
      <c r="I121" s="760"/>
      <c r="J121" s="755"/>
      <c r="K121" s="755"/>
      <c r="L121" s="755"/>
      <c r="M121" s="755"/>
      <c r="N121" s="755"/>
      <c r="O121" s="755"/>
      <c r="P121" s="760"/>
      <c r="Q121" s="755"/>
      <c r="R121" s="755"/>
    </row>
    <row r="122" spans="1:18" hidden="1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55"/>
      <c r="K122" s="755"/>
      <c r="L122" s="755"/>
      <c r="M122" s="755"/>
      <c r="N122" s="755"/>
      <c r="O122" s="755"/>
      <c r="P122" s="760"/>
      <c r="Q122" s="755"/>
      <c r="R122" s="755"/>
    </row>
    <row r="123" spans="1:18" hidden="1" x14ac:dyDescent="0.2">
      <c r="A123" s="755"/>
      <c r="B123" s="755"/>
      <c r="C123" s="755"/>
      <c r="D123" s="755"/>
      <c r="E123" s="755"/>
      <c r="F123" s="755"/>
      <c r="G123" s="760"/>
      <c r="H123" s="755"/>
      <c r="I123" s="755"/>
      <c r="J123" s="755"/>
      <c r="K123" s="755"/>
      <c r="L123" s="755"/>
      <c r="M123" s="755"/>
      <c r="N123" s="755"/>
      <c r="O123" s="755"/>
      <c r="P123" s="760"/>
      <c r="Q123" s="755"/>
      <c r="R123" s="755"/>
    </row>
    <row r="124" spans="1:18" hidden="1" x14ac:dyDescent="0.2">
      <c r="A124" s="755"/>
      <c r="B124" s="755"/>
      <c r="C124" s="755"/>
      <c r="D124" s="755"/>
      <c r="E124" s="755"/>
      <c r="F124" s="755"/>
      <c r="G124" s="760"/>
      <c r="H124" s="755"/>
      <c r="I124" s="755"/>
      <c r="J124" s="755"/>
      <c r="K124" s="755"/>
      <c r="L124" s="755"/>
      <c r="M124" s="755"/>
      <c r="N124" s="755"/>
      <c r="O124" s="755"/>
      <c r="P124" s="760"/>
      <c r="Q124" s="755"/>
      <c r="R124" s="755"/>
    </row>
    <row r="125" spans="1:18" hidden="1" x14ac:dyDescent="0.2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60"/>
      <c r="Q125" s="755"/>
      <c r="R125" s="755"/>
    </row>
    <row r="126" spans="1:18" hidden="1" x14ac:dyDescent="0.2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60"/>
      <c r="Q126" s="755"/>
      <c r="R126" s="755"/>
    </row>
    <row r="127" spans="1:18" hidden="1" x14ac:dyDescent="0.2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60"/>
      <c r="Q127" s="755"/>
      <c r="R127" s="755"/>
    </row>
    <row r="128" spans="1:18" hidden="1" x14ac:dyDescent="0.2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60"/>
      <c r="Q128" s="755"/>
      <c r="R128" s="755"/>
    </row>
    <row r="129" spans="1:18" hidden="1" x14ac:dyDescent="0.2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60"/>
      <c r="Q129" s="755"/>
      <c r="R129" s="755"/>
    </row>
    <row r="130" spans="1:18" hidden="1" x14ac:dyDescent="0.2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60"/>
      <c r="Q130" s="755"/>
      <c r="R130" s="755"/>
    </row>
    <row r="131" spans="1:18" hidden="1" x14ac:dyDescent="0.2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60"/>
      <c r="L131" s="760"/>
      <c r="M131" s="760"/>
      <c r="N131" s="760"/>
      <c r="O131" s="760"/>
      <c r="P131" s="760"/>
      <c r="Q131" s="755"/>
      <c r="R131" s="755"/>
    </row>
    <row r="132" spans="1:18" hidden="1" x14ac:dyDescent="0.2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60"/>
      <c r="L132" s="760"/>
      <c r="M132" s="760"/>
      <c r="N132" s="760"/>
      <c r="O132" s="760"/>
      <c r="P132" s="760"/>
      <c r="Q132" s="755"/>
      <c r="R132" s="755"/>
    </row>
    <row r="133" spans="1:18" hidden="1" x14ac:dyDescent="0.2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60"/>
      <c r="L133" s="760"/>
      <c r="M133" s="760"/>
      <c r="N133" s="760"/>
      <c r="O133" s="760"/>
      <c r="P133" s="760"/>
      <c r="Q133" s="755"/>
      <c r="R133" s="755"/>
    </row>
    <row r="134" spans="1:18" hidden="1" x14ac:dyDescent="0.2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60"/>
      <c r="L134" s="760"/>
      <c r="M134" s="760"/>
      <c r="N134" s="760"/>
      <c r="O134" s="760"/>
      <c r="P134" s="760"/>
      <c r="Q134" s="755"/>
      <c r="R134" s="755"/>
    </row>
    <row r="135" spans="1:18" hidden="1" x14ac:dyDescent="0.2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60"/>
      <c r="L135" s="760"/>
      <c r="M135" s="760"/>
      <c r="N135" s="760"/>
      <c r="O135" s="760"/>
      <c r="P135" s="760"/>
      <c r="Q135" s="755"/>
      <c r="R135" s="755"/>
    </row>
    <row r="136" spans="1:18" hidden="1" x14ac:dyDescent="0.2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60"/>
      <c r="L136" s="760"/>
      <c r="M136" s="760"/>
      <c r="N136" s="760"/>
      <c r="O136" s="760"/>
      <c r="P136" s="760"/>
      <c r="Q136" s="755"/>
      <c r="R136" s="755"/>
    </row>
    <row r="137" spans="1:18" hidden="1" x14ac:dyDescent="0.2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60"/>
      <c r="L137" s="760"/>
      <c r="M137" s="760"/>
      <c r="N137" s="760"/>
      <c r="O137" s="760"/>
      <c r="P137" s="760"/>
      <c r="Q137" s="755"/>
      <c r="R137" s="755"/>
    </row>
    <row r="138" spans="1:18" hidden="1" x14ac:dyDescent="0.2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60"/>
      <c r="L138" s="760"/>
      <c r="M138" s="760"/>
      <c r="N138" s="760"/>
      <c r="O138" s="760"/>
      <c r="P138" s="760"/>
      <c r="Q138" s="755"/>
      <c r="R138" s="755"/>
    </row>
    <row r="139" spans="1:18" hidden="1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60"/>
      <c r="L139" s="760"/>
      <c r="M139" s="760"/>
      <c r="N139" s="760"/>
      <c r="O139" s="760"/>
      <c r="P139" s="760"/>
      <c r="Q139" s="755"/>
      <c r="R139" s="755"/>
    </row>
    <row r="140" spans="1:18" hidden="1" x14ac:dyDescent="0.2">
      <c r="A140" s="760"/>
      <c r="B140" s="760"/>
      <c r="C140" s="760"/>
      <c r="D140" s="760"/>
      <c r="E140" s="760"/>
      <c r="F140" s="760"/>
      <c r="G140" s="755"/>
      <c r="H140" s="755"/>
      <c r="I140" s="755"/>
      <c r="J140" s="755"/>
      <c r="K140" s="760"/>
      <c r="L140" s="760"/>
      <c r="M140" s="760"/>
      <c r="N140" s="760"/>
      <c r="O140" s="760"/>
      <c r="P140" s="760"/>
      <c r="Q140" s="755"/>
      <c r="R140" s="755"/>
    </row>
    <row r="141" spans="1:18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55"/>
      <c r="R141" s="755"/>
    </row>
    <row r="142" spans="1:18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55"/>
      <c r="R142" s="755"/>
    </row>
    <row r="143" spans="1:18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55"/>
      <c r="R143" s="755"/>
    </row>
    <row r="144" spans="1:18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55"/>
      <c r="R144" s="755"/>
    </row>
    <row r="145" spans="1:18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55"/>
      <c r="R145" s="755"/>
    </row>
    <row r="146" spans="1:18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55"/>
      <c r="R146" s="755"/>
    </row>
    <row r="147" spans="1:18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55"/>
      <c r="R147" s="755"/>
    </row>
    <row r="148" spans="1:18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55"/>
      <c r="R148" s="755"/>
    </row>
    <row r="149" spans="1:18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55"/>
      <c r="R149" s="755"/>
    </row>
    <row r="150" spans="1:18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55"/>
      <c r="R150" s="755"/>
    </row>
    <row r="151" spans="1:18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55"/>
      <c r="R151" s="755"/>
    </row>
    <row r="152" spans="1:18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55"/>
      <c r="R152" s="755"/>
    </row>
    <row r="153" spans="1:18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55"/>
      <c r="R153" s="755"/>
    </row>
    <row r="154" spans="1:18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55"/>
      <c r="R154" s="755"/>
    </row>
    <row r="155" spans="1:18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55"/>
      <c r="R155" s="755"/>
    </row>
    <row r="156" spans="1:18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55"/>
      <c r="R156" s="755"/>
    </row>
    <row r="157" spans="1:18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55"/>
      <c r="R157" s="755"/>
    </row>
    <row r="158" spans="1:18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55"/>
      <c r="R158" s="755"/>
    </row>
    <row r="159" spans="1:18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55"/>
      <c r="R159" s="755"/>
    </row>
    <row r="160" spans="1:18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55"/>
      <c r="R160" s="755"/>
    </row>
    <row r="161" spans="1:18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55"/>
      <c r="R161" s="755"/>
    </row>
    <row r="162" spans="1:18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55"/>
      <c r="R162" s="755"/>
    </row>
    <row r="163" spans="1:18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55"/>
      <c r="R163" s="755"/>
    </row>
    <row r="164" spans="1:18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55"/>
      <c r="R164" s="755"/>
    </row>
    <row r="165" spans="1:18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55"/>
      <c r="R165" s="755"/>
    </row>
    <row r="166" spans="1:18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55"/>
      <c r="R166" s="755"/>
    </row>
    <row r="167" spans="1:18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55"/>
      <c r="R167" s="755"/>
    </row>
    <row r="168" spans="1:18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55"/>
      <c r="R168" s="755"/>
    </row>
    <row r="169" spans="1:18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55"/>
      <c r="R169" s="755"/>
    </row>
    <row r="170" spans="1:18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55"/>
      <c r="R170" s="755"/>
    </row>
    <row r="171" spans="1:18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55"/>
      <c r="R171" s="755"/>
    </row>
    <row r="172" spans="1:18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55"/>
      <c r="R172" s="755"/>
    </row>
    <row r="173" spans="1:18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55"/>
      <c r="R173" s="755"/>
    </row>
    <row r="174" spans="1:18" hidden="1" x14ac:dyDescent="0.2">
      <c r="A174" s="213"/>
      <c r="B174" s="552"/>
      <c r="C174" s="755"/>
      <c r="D174" s="755"/>
      <c r="E174" s="807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55"/>
      <c r="R174" s="755"/>
    </row>
    <row r="175" spans="1:18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55"/>
      <c r="R175" s="755"/>
    </row>
    <row r="176" spans="1:18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55"/>
      <c r="R176" s="755"/>
    </row>
    <row r="177" spans="1:18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55"/>
      <c r="R177" s="755"/>
    </row>
    <row r="178" spans="1:18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55"/>
      <c r="R178" s="755"/>
    </row>
    <row r="179" spans="1:18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55"/>
      <c r="R179" s="755"/>
    </row>
    <row r="180" spans="1:18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55"/>
      <c r="R180" s="755"/>
    </row>
    <row r="181" spans="1:18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55"/>
      <c r="R181" s="755"/>
    </row>
    <row r="182" spans="1:18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55"/>
      <c r="R182" s="755"/>
    </row>
    <row r="183" spans="1:18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55"/>
      <c r="R183" s="755"/>
    </row>
    <row r="184" spans="1:18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55"/>
      <c r="R184" s="755"/>
    </row>
    <row r="185" spans="1:18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55"/>
      <c r="R185" s="755"/>
    </row>
    <row r="186" spans="1:18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55"/>
      <c r="R186" s="755"/>
    </row>
    <row r="187" spans="1:18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55"/>
      <c r="R187" s="755"/>
    </row>
    <row r="188" spans="1:18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55"/>
      <c r="R188" s="755"/>
    </row>
    <row r="189" spans="1:18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55"/>
      <c r="R189" s="755"/>
    </row>
    <row r="190" spans="1:18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55"/>
      <c r="R190" s="755"/>
    </row>
    <row r="191" spans="1:18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55"/>
      <c r="R191" s="755"/>
    </row>
    <row r="192" spans="1:18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55"/>
      <c r="R192" s="755"/>
    </row>
    <row r="193" spans="1:18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55"/>
      <c r="R193" s="755"/>
    </row>
    <row r="194" spans="1:18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55"/>
      <c r="R194" s="755"/>
    </row>
    <row r="195" spans="1:18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55"/>
      <c r="R195" s="755"/>
    </row>
    <row r="196" spans="1:18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55"/>
      <c r="R196" s="755"/>
    </row>
    <row r="197" spans="1:18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55"/>
      <c r="R197" s="755"/>
    </row>
    <row r="198" spans="1:18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55"/>
      <c r="R198" s="755"/>
    </row>
    <row r="199" spans="1:18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55"/>
      <c r="R199" s="755"/>
    </row>
    <row r="200" spans="1:18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55"/>
      <c r="R200" s="755"/>
    </row>
    <row r="201" spans="1:18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55"/>
      <c r="R201" s="755"/>
    </row>
    <row r="202" spans="1:18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55"/>
      <c r="R202" s="755"/>
    </row>
    <row r="203" spans="1:18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55"/>
      <c r="R203" s="755"/>
    </row>
    <row r="204" spans="1:18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55"/>
      <c r="R204" s="755"/>
    </row>
    <row r="205" spans="1:18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55"/>
      <c r="R205" s="755"/>
    </row>
    <row r="206" spans="1:18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55"/>
      <c r="R206" s="755"/>
    </row>
    <row r="207" spans="1:18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55"/>
      <c r="R207" s="755"/>
    </row>
    <row r="208" spans="1:18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55"/>
      <c r="R208" s="755"/>
    </row>
    <row r="209" spans="1:18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55"/>
      <c r="R209" s="755"/>
    </row>
    <row r="210" spans="1:18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55"/>
      <c r="R210" s="755"/>
    </row>
    <row r="211" spans="1:18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55"/>
      <c r="R211" s="755"/>
    </row>
    <row r="212" spans="1:18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55"/>
      <c r="R212" s="755"/>
    </row>
    <row r="213" spans="1:18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55"/>
      <c r="R213" s="755"/>
    </row>
    <row r="214" spans="1:18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55"/>
      <c r="R214" s="755"/>
    </row>
    <row r="215" spans="1:18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55"/>
      <c r="R215" s="755"/>
    </row>
    <row r="216" spans="1:18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55"/>
      <c r="R216" s="755"/>
    </row>
    <row r="217" spans="1:18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55"/>
      <c r="R217" s="755"/>
    </row>
    <row r="218" spans="1:18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55"/>
      <c r="R218" s="755"/>
    </row>
    <row r="219" spans="1:18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55"/>
      <c r="R219" s="755"/>
    </row>
    <row r="220" spans="1:18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55"/>
      <c r="R220" s="755"/>
    </row>
    <row r="221" spans="1:18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55"/>
      <c r="R221" s="755"/>
    </row>
    <row r="222" spans="1:18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55"/>
      <c r="R222" s="755"/>
    </row>
    <row r="223" spans="1:18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55"/>
      <c r="R223" s="755"/>
    </row>
    <row r="224" spans="1:18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55"/>
      <c r="R224" s="755"/>
    </row>
    <row r="225" spans="1:18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55"/>
      <c r="R225" s="755"/>
    </row>
    <row r="226" spans="1:18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55"/>
      <c r="R226" s="755"/>
    </row>
    <row r="227" spans="1:18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55"/>
      <c r="R227" s="755"/>
    </row>
    <row r="228" spans="1:18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55"/>
      <c r="R228" s="755"/>
    </row>
    <row r="229" spans="1:18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55"/>
      <c r="R229" s="755"/>
    </row>
    <row r="230" spans="1:18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55"/>
      <c r="R230" s="755"/>
    </row>
    <row r="231" spans="1:18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55"/>
      <c r="R231" s="755"/>
    </row>
    <row r="232" spans="1:18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55"/>
      <c r="R232" s="755"/>
    </row>
    <row r="233" spans="1:18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55"/>
      <c r="R233" s="755"/>
    </row>
    <row r="234" spans="1:18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55"/>
      <c r="R234" s="755"/>
    </row>
    <row r="235" spans="1:18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55"/>
      <c r="R235" s="755"/>
    </row>
    <row r="236" spans="1:18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55"/>
      <c r="R236" s="755"/>
    </row>
    <row r="237" spans="1:18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55"/>
      <c r="R237" s="755"/>
    </row>
    <row r="238" spans="1:18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55"/>
      <c r="R238" s="755"/>
    </row>
    <row r="239" spans="1:18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55"/>
      <c r="R239" s="755"/>
    </row>
    <row r="240" spans="1:18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55"/>
      <c r="R240" s="755"/>
    </row>
    <row r="241" spans="1:18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55"/>
      <c r="R241" s="755"/>
    </row>
    <row r="242" spans="1:18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55"/>
      <c r="R242" s="755"/>
    </row>
    <row r="243" spans="1:18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55"/>
      <c r="R243" s="755"/>
    </row>
    <row r="244" spans="1:18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55"/>
      <c r="R244" s="755"/>
    </row>
    <row r="245" spans="1:18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55"/>
      <c r="R245" s="755"/>
    </row>
    <row r="246" spans="1:18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55"/>
      <c r="R246" s="755"/>
    </row>
    <row r="247" spans="1:18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55"/>
      <c r="R247" s="755"/>
    </row>
    <row r="248" spans="1:18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55"/>
      <c r="R248" s="755"/>
    </row>
    <row r="249" spans="1:18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55"/>
      <c r="R249" s="755"/>
    </row>
    <row r="250" spans="1:18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55"/>
      <c r="R250" s="755"/>
    </row>
    <row r="251" spans="1:18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55"/>
      <c r="R251" s="755"/>
    </row>
    <row r="252" spans="1:18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55"/>
      <c r="R252" s="755"/>
    </row>
    <row r="253" spans="1:18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55"/>
      <c r="R253" s="755"/>
    </row>
    <row r="254" spans="1:18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55"/>
      <c r="R254" s="755"/>
    </row>
    <row r="255" spans="1:18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55"/>
      <c r="R255" s="755"/>
    </row>
    <row r="256" spans="1:18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55"/>
      <c r="R256" s="755"/>
    </row>
    <row r="257" spans="1:18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55"/>
      <c r="R257" s="755"/>
    </row>
    <row r="258" spans="1:18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55"/>
      <c r="R258" s="755"/>
    </row>
    <row r="259" spans="1:18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55"/>
      <c r="R259" s="755"/>
    </row>
    <row r="260" spans="1:18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55"/>
      <c r="R260" s="755"/>
    </row>
    <row r="261" spans="1:18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55"/>
      <c r="R261" s="755"/>
    </row>
    <row r="262" spans="1:18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55"/>
      <c r="R262" s="755"/>
    </row>
    <row r="263" spans="1:18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55"/>
      <c r="R263" s="755"/>
    </row>
    <row r="264" spans="1:18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55"/>
      <c r="R264" s="755"/>
    </row>
    <row r="265" spans="1:18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55"/>
      <c r="R265" s="755"/>
    </row>
    <row r="266" spans="1:18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55"/>
      <c r="R266" s="755"/>
    </row>
    <row r="267" spans="1:18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55"/>
      <c r="R267" s="755"/>
    </row>
    <row r="268" spans="1:18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55"/>
      <c r="R268" s="755"/>
    </row>
    <row r="269" spans="1:18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55"/>
      <c r="R269" s="755"/>
    </row>
    <row r="270" spans="1:18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55"/>
      <c r="R270" s="755"/>
    </row>
    <row r="271" spans="1:18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55"/>
      <c r="R271" s="755"/>
    </row>
    <row r="272" spans="1:18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55"/>
      <c r="R272" s="755"/>
    </row>
    <row r="273" spans="1:18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55"/>
      <c r="R273" s="755"/>
    </row>
    <row r="274" spans="1:18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55"/>
      <c r="R274" s="755"/>
    </row>
    <row r="275" spans="1:18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55"/>
      <c r="R275" s="755"/>
    </row>
    <row r="276" spans="1:18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55"/>
      <c r="R276" s="755"/>
    </row>
    <row r="277" spans="1:18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55"/>
      <c r="R277" s="755"/>
    </row>
    <row r="278" spans="1:18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55"/>
      <c r="R278" s="755"/>
    </row>
    <row r="279" spans="1:18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55"/>
      <c r="R279" s="755"/>
    </row>
    <row r="280" spans="1:18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55"/>
      <c r="R280" s="755"/>
    </row>
    <row r="281" spans="1:18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55"/>
      <c r="R281" s="755"/>
    </row>
    <row r="282" spans="1:18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55"/>
      <c r="R282" s="755"/>
    </row>
    <row r="283" spans="1:18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55"/>
      <c r="R283" s="755"/>
    </row>
    <row r="284" spans="1:18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55"/>
      <c r="R284" s="755"/>
    </row>
    <row r="285" spans="1:18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55"/>
      <c r="R285" s="755"/>
    </row>
    <row r="286" spans="1:18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55"/>
      <c r="R286" s="755"/>
    </row>
    <row r="287" spans="1:18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55"/>
      <c r="R287" s="755"/>
    </row>
    <row r="288" spans="1:18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55"/>
      <c r="R288" s="755"/>
    </row>
    <row r="289" spans="1:18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55"/>
      <c r="R289" s="755"/>
    </row>
    <row r="290" spans="1:18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55"/>
      <c r="R290" s="755"/>
    </row>
    <row r="291" spans="1:18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55"/>
      <c r="R291" s="755"/>
    </row>
    <row r="292" spans="1:18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55"/>
      <c r="R292" s="755"/>
    </row>
    <row r="293" spans="1:18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55"/>
      <c r="R293" s="755"/>
    </row>
    <row r="294" spans="1:18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55"/>
      <c r="R294" s="755"/>
    </row>
    <row r="295" spans="1:18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55"/>
      <c r="R295" s="755"/>
    </row>
    <row r="296" spans="1:18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55"/>
      <c r="R296" s="755"/>
    </row>
    <row r="297" spans="1:18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55"/>
      <c r="R297" s="755"/>
    </row>
    <row r="298" spans="1:18" hidden="1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55"/>
      <c r="R298" s="755"/>
    </row>
    <row r="299" spans="1:18" x14ac:dyDescent="0.2">
      <c r="A299" s="760"/>
      <c r="B299" s="760"/>
      <c r="C299" s="814"/>
      <c r="D299" s="919"/>
      <c r="E299" s="755"/>
      <c r="F299" s="760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55"/>
      <c r="R299" s="755"/>
    </row>
    <row r="300" spans="1:18" x14ac:dyDescent="0.2">
      <c r="A300" s="815">
        <v>1</v>
      </c>
      <c r="B300" s="816" t="str">
        <f t="shared" ref="B300:B305" si="0">IFERROR(INDEX(H$100:H$300,MATCH(A300&amp;". koht",H$101:H$301,0)),"")</f>
        <v>Kaspar Mänd</v>
      </c>
      <c r="C300" s="755"/>
      <c r="D300" s="832"/>
      <c r="E300" s="817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55"/>
      <c r="R300" s="755"/>
    </row>
    <row r="301" spans="1:18" x14ac:dyDescent="0.2">
      <c r="A301" s="815">
        <v>2</v>
      </c>
      <c r="B301" s="816" t="str">
        <f t="shared" si="0"/>
        <v>Reimo Lõhmus</v>
      </c>
      <c r="C301" s="755"/>
      <c r="D301" s="832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55"/>
      <c r="R301" s="755"/>
    </row>
    <row r="302" spans="1:18" x14ac:dyDescent="0.2">
      <c r="A302" s="815">
        <v>3</v>
      </c>
      <c r="B302" s="816" t="str">
        <f t="shared" si="0"/>
        <v>Ksenija Matšneva</v>
      </c>
      <c r="C302" s="755"/>
      <c r="D302" s="832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55"/>
      <c r="R302" s="755"/>
    </row>
    <row r="303" spans="1:18" x14ac:dyDescent="0.2">
      <c r="A303" s="815">
        <v>4</v>
      </c>
      <c r="B303" s="816" t="str">
        <f t="shared" si="0"/>
        <v>Veroonika Mendes</v>
      </c>
      <c r="C303" s="755"/>
      <c r="D303" s="832"/>
      <c r="E303" s="817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55"/>
      <c r="R303" s="755"/>
    </row>
    <row r="304" spans="1:18" x14ac:dyDescent="0.2">
      <c r="A304" s="815">
        <v>5</v>
      </c>
      <c r="B304" s="816" t="str">
        <f t="shared" si="0"/>
        <v>Mirjel Jõesaar</v>
      </c>
      <c r="C304" s="755"/>
      <c r="D304" s="832"/>
      <c r="E304" s="817"/>
      <c r="F304" s="760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55"/>
      <c r="R304" s="755"/>
    </row>
    <row r="305" spans="1:18" x14ac:dyDescent="0.2">
      <c r="A305" s="815">
        <v>6</v>
      </c>
      <c r="B305" s="816" t="str">
        <f t="shared" si="0"/>
        <v>Anne-Mari Pruuns</v>
      </c>
      <c r="C305" s="755"/>
      <c r="D305" s="832"/>
      <c r="E305" s="817"/>
      <c r="F305" s="760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55"/>
      <c r="R305" s="755"/>
    </row>
    <row r="306" spans="1:18" x14ac:dyDescent="0.2">
      <c r="A306" s="755"/>
      <c r="B306" s="818"/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</row>
    <row r="307" spans="1:18" x14ac:dyDescent="0.2">
      <c r="A307" s="755"/>
      <c r="B307" s="755"/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</row>
    <row r="308" spans="1:18" x14ac:dyDescent="0.2">
      <c r="A308" s="755"/>
      <c r="B308" s="755"/>
      <c r="C308" s="755"/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</row>
    <row r="309" spans="1:18" x14ac:dyDescent="0.2">
      <c r="A309" s="755"/>
      <c r="B309" s="755"/>
      <c r="C309" s="755"/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</row>
    <row r="310" spans="1:18" x14ac:dyDescent="0.2">
      <c r="A310" s="755"/>
      <c r="B310" s="755"/>
      <c r="C310" s="755"/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</row>
  </sheetData>
  <conditionalFormatting sqref="J10:J12">
    <cfRule type="expression" dxfId="2192" priority="44">
      <formula>FIND(2,J10,1)</formula>
    </cfRule>
    <cfRule type="expression" dxfId="2191" priority="45">
      <formula>FIND(1,J10,1)</formula>
    </cfRule>
  </conditionalFormatting>
  <conditionalFormatting sqref="D7 C8">
    <cfRule type="aboveAverage" dxfId="2190" priority="43"/>
  </conditionalFormatting>
  <conditionalFormatting sqref="E7 C9">
    <cfRule type="aboveAverage" dxfId="2189" priority="42"/>
  </conditionalFormatting>
  <conditionalFormatting sqref="F7 C10">
    <cfRule type="aboveAverage" dxfId="2188" priority="41"/>
  </conditionalFormatting>
  <conditionalFormatting sqref="E8 D9">
    <cfRule type="aboveAverage" dxfId="2187" priority="40"/>
  </conditionalFormatting>
  <conditionalFormatting sqref="G7 C11">
    <cfRule type="aboveAverage" dxfId="2186" priority="39"/>
  </conditionalFormatting>
  <conditionalFormatting sqref="F8 D10">
    <cfRule type="aboveAverage" dxfId="2185" priority="38"/>
  </conditionalFormatting>
  <conditionalFormatting sqref="G8 D11">
    <cfRule type="aboveAverage" dxfId="2184" priority="37"/>
  </conditionalFormatting>
  <conditionalFormatting sqref="F9 E10">
    <cfRule type="aboveAverage" dxfId="2183" priority="36"/>
  </conditionalFormatting>
  <conditionalFormatting sqref="G9 E11">
    <cfRule type="aboveAverage" dxfId="2182" priority="35"/>
  </conditionalFormatting>
  <conditionalFormatting sqref="F11 G10">
    <cfRule type="aboveAverage" dxfId="2181" priority="34"/>
  </conditionalFormatting>
  <conditionalFormatting sqref="I7:I12">
    <cfRule type="expression" dxfId="2180" priority="31">
      <formula>AND(#REF!=1,IF(COUNTIF(#REF!,"=1")&gt;=2,TRUE))</formula>
    </cfRule>
    <cfRule type="expression" dxfId="2179" priority="32">
      <formula>AND(#REF!=3,IF(COUNTIF(#REF!,"=3")&gt;=2,TRUE))</formula>
    </cfRule>
    <cfRule type="expression" dxfId="2178" priority="33">
      <formula>AND(#REF!=2,IF(COUNTIF(#REF!,"=2")&gt;=2,TRUE))</formula>
    </cfRule>
  </conditionalFormatting>
  <conditionalFormatting sqref="C16:C17 C69">
    <cfRule type="aboveAverage" dxfId="2177" priority="30"/>
  </conditionalFormatting>
  <conditionalFormatting sqref="D16:D17 D69">
    <cfRule type="aboveAverage" dxfId="2176" priority="29"/>
  </conditionalFormatting>
  <conditionalFormatting sqref="N21:N24">
    <cfRule type="duplicateValues" dxfId="2175" priority="28"/>
  </conditionalFormatting>
  <conditionalFormatting sqref="N26:N31">
    <cfRule type="duplicateValues" dxfId="2174" priority="27"/>
  </conditionalFormatting>
  <conditionalFormatting sqref="N19:N20">
    <cfRule type="duplicateValues" dxfId="2173" priority="46"/>
  </conditionalFormatting>
  <conditionalFormatting sqref="N5">
    <cfRule type="duplicateValues" dxfId="2172" priority="47"/>
  </conditionalFormatting>
  <conditionalFormatting sqref="N49:N52">
    <cfRule type="duplicateValues" dxfId="2171" priority="24"/>
  </conditionalFormatting>
  <conditionalFormatting sqref="N54:N59">
    <cfRule type="duplicateValues" dxfId="2170" priority="23"/>
  </conditionalFormatting>
  <conditionalFormatting sqref="N43:N45 N47:N48">
    <cfRule type="duplicateValues" dxfId="2169" priority="25"/>
  </conditionalFormatting>
  <conditionalFormatting sqref="N38 N40:N42">
    <cfRule type="duplicateValues" dxfId="2168" priority="26"/>
  </conditionalFormatting>
  <conditionalFormatting sqref="H7 C12">
    <cfRule type="aboveAverage" dxfId="2167" priority="22"/>
  </conditionalFormatting>
  <conditionalFormatting sqref="H8 D12">
    <cfRule type="aboveAverage" dxfId="2166" priority="21"/>
  </conditionalFormatting>
  <conditionalFormatting sqref="E12 H9">
    <cfRule type="aboveAverage" dxfId="2165" priority="20"/>
  </conditionalFormatting>
  <conditionalFormatting sqref="H10 F12">
    <cfRule type="aboveAverage" dxfId="2164" priority="19"/>
  </conditionalFormatting>
  <conditionalFormatting sqref="H11 G12">
    <cfRule type="aboveAverage" dxfId="2163" priority="18"/>
  </conditionalFormatting>
  <conditionalFormatting sqref="B301:B310">
    <cfRule type="expression" dxfId="2162" priority="15">
      <formula>A301=3</formula>
    </cfRule>
    <cfRule type="expression" dxfId="2161" priority="16">
      <formula>A301=2</formula>
    </cfRule>
    <cfRule type="expression" dxfId="2160" priority="17">
      <formula>A301=1</formula>
    </cfRule>
    <cfRule type="containsBlanks" dxfId="2159" priority="48">
      <formula>LEN(TRIM(B301))=0</formula>
    </cfRule>
    <cfRule type="duplicateValues" dxfId="2158" priority="49"/>
  </conditionalFormatting>
  <conditionalFormatting sqref="B300">
    <cfRule type="expression" dxfId="2157" priority="10">
      <formula>A300=3</formula>
    </cfRule>
    <cfRule type="expression" dxfId="2156" priority="11">
      <formula>A300=2</formula>
    </cfRule>
    <cfRule type="expression" dxfId="2155" priority="12">
      <formula>A300=1</formula>
    </cfRule>
    <cfRule type="containsBlanks" dxfId="2154" priority="13">
      <formula>LEN(TRIM(B300))=0</formula>
    </cfRule>
    <cfRule type="duplicateValues" dxfId="2153" priority="14"/>
  </conditionalFormatting>
  <pageMargins left="0.78740157480314965" right="0.39370078740157483" top="0.78740157480314965" bottom="0.39370078740157483" header="0.59055118110236227" footer="0"/>
  <pageSetup paperSize="9" fitToHeight="0" orientation="portrait" verticalDpi="0" r:id="rId1"/>
  <headerFooter>
    <oddHeader>&amp;R&amp;9Page &amp;P of &amp;N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14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8.140625" style="1" bestFit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7" width="9.140625" style="1"/>
    <col min="18" max="18" width="7.7109375" style="1" hidden="1" customWidth="1"/>
    <col min="19" max="19" width="6" style="1" hidden="1" customWidth="1"/>
    <col min="20" max="20" width="16.5703125" style="1" hidden="1" customWidth="1"/>
    <col min="21" max="21" width="6" style="1" hidden="1" customWidth="1"/>
    <col min="22" max="22" width="20.85546875" style="1" hidden="1" customWidth="1"/>
    <col min="23" max="23" width="0" style="1" hidden="1" customWidth="1"/>
    <col min="24" max="24" width="17.28515625" style="1" hidden="1" customWidth="1"/>
    <col min="25" max="25" width="0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UPPER((Kalend!E35)&amp;" - "&amp;(Kalend!C35)&amp;" - "&amp;(Kalend!D35))</f>
        <v>V12 - VOKA 2. SISE-KV 12.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"&amp;(Kalend!A35)&amp;" kell "&amp;(Kalend!B35)</f>
        <v>Toimumisaeg: L, 16.02.2019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"&amp;(Kalend!F35)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R3" s="889" t="s">
        <v>444</v>
      </c>
      <c r="S3" s="760"/>
      <c r="T3" s="760"/>
      <c r="U3" s="760"/>
      <c r="V3" s="760"/>
      <c r="W3" s="760"/>
      <c r="X3" s="760"/>
      <c r="Y3" s="760"/>
      <c r="Z3" s="760"/>
      <c r="AA3" s="757"/>
    </row>
    <row r="4" spans="1:27" x14ac:dyDescent="0.2">
      <c r="A4" s="757" t="str">
        <f>"Korraldaja: "&amp;(Kalend!G35)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61" t="s">
        <v>49</v>
      </c>
      <c r="S4" s="773"/>
      <c r="T4" s="772"/>
      <c r="U4" s="773"/>
      <c r="V4" s="892"/>
      <c r="W4" s="773"/>
      <c r="X4" s="773"/>
      <c r="Y4" s="773"/>
      <c r="Z4" s="773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358</v>
      </c>
      <c r="S5" s="762"/>
      <c r="T5" s="762" t="s">
        <v>359</v>
      </c>
      <c r="U5" s="762"/>
      <c r="V5" s="763" t="s">
        <v>360</v>
      </c>
      <c r="W5" s="762"/>
      <c r="X5" s="762" t="s">
        <v>361</v>
      </c>
      <c r="Y5" s="764"/>
      <c r="Z5" s="762" t="s">
        <v>362</v>
      </c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366</v>
      </c>
      <c r="S6" s="773"/>
      <c r="T6" s="772"/>
      <c r="U6" s="773"/>
      <c r="V6" s="772"/>
      <c r="W6" s="774"/>
      <c r="X6" s="774"/>
      <c r="Y6" s="774"/>
      <c r="Z6" s="774"/>
      <c r="AA6" s="212"/>
    </row>
    <row r="7" spans="1:27" x14ac:dyDescent="0.2">
      <c r="A7" s="765">
        <v>1</v>
      </c>
      <c r="B7" s="940" t="s">
        <v>368</v>
      </c>
      <c r="C7" s="776"/>
      <c r="D7" s="778">
        <v>13</v>
      </c>
      <c r="E7" s="778">
        <v>13</v>
      </c>
      <c r="F7" s="778"/>
      <c r="G7" s="778"/>
      <c r="H7" s="796" t="str">
        <f>(IF(D7-C8&gt;0,1)+IF(E7-C9&gt;0,1)+IF(F7-C10&gt;0,1)+IF(G7-C11&gt;0,1))&amp;"-"&amp;(IF(D7-C8&lt;0,1)+IF(E7-C9&lt;0,1)+IF(F7-C10&lt;0,1)+IF(G7-C11&lt;0,1))</f>
        <v>2-0</v>
      </c>
      <c r="I7" s="778" t="str">
        <f>IF(AND(B7&lt;&gt;"",M$6=TRUE),A$6&amp;RANK(M7,M$7:M$11,0),"")</f>
        <v>A1</v>
      </c>
      <c r="J7" s="821">
        <f>VALUE(LEFT(H7,1))</f>
        <v>2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20000</v>
      </c>
      <c r="N7" s="212"/>
      <c r="O7" s="212"/>
      <c r="P7" s="212"/>
      <c r="Q7" s="212"/>
      <c r="R7" s="764">
        <f t="shared" ref="R7:R38" si="0">SUM(S7:AB7)</f>
        <v>317</v>
      </c>
      <c r="S7" s="784">
        <f>IFERROR(INDEX(V!$R:$R,MATCH(T7,V!$L:$L,0)),"")</f>
        <v>159</v>
      </c>
      <c r="T7" s="783" t="str">
        <f t="shared" ref="T7:T60" si="1">IFERROR(LEFT($B7,(FIND(",",$B7,1)-1)),"")</f>
        <v>Jaan Sepp</v>
      </c>
      <c r="U7" s="784">
        <f>IFERROR(INDEX(V!$R:$R,MATCH(V7,V!$L:$L,0)),"")</f>
        <v>158</v>
      </c>
      <c r="V7" s="783" t="str">
        <f t="shared" ref="V7:V60" si="2">IFERROR(MID($B7,FIND(", ",$B7)+2,256),"")</f>
        <v>Oskar Sepp</v>
      </c>
      <c r="W7" s="784" t="str">
        <f>IFERROR(INDEX(V!$R:$R,MATCH(X7,V!$L:$L,0)),"")</f>
        <v/>
      </c>
      <c r="X7" s="785" t="str">
        <f t="shared" ref="X7:X60" si="3">IFERROR(MID($B7,FIND("^",SUBSTITUTE($B7,", ","^",1))+2,FIND("^",SUBSTITUTE($B7,", ","^",2))-FIND("^",SUBSTITUTE($B7,", ","^",1))-2),"")</f>
        <v/>
      </c>
      <c r="Y7" s="784" t="str">
        <f>IFERROR(INDEX(V!$R:$R,MATCH(Z7,V!$L:$L,0)),"")</f>
        <v/>
      </c>
      <c r="Z7" s="785" t="str">
        <f t="shared" ref="Z7:Z60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369</v>
      </c>
      <c r="C8" s="778">
        <v>1</v>
      </c>
      <c r="D8" s="776"/>
      <c r="E8" s="778">
        <v>9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0-2</v>
      </c>
      <c r="I8" s="778" t="str">
        <f>IF(AND(B8&lt;&gt;"",M$6=TRUE),A$6&amp;RANK(M8,M$7:M$11,0),"")</f>
        <v>A3</v>
      </c>
      <c r="J8" s="821">
        <f t="shared" ref="J8:J11" si="5">VALUE(LEFT(H8,1))</f>
        <v>0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6">10000*J8+K8*100+L8</f>
        <v>0</v>
      </c>
      <c r="N8" s="212"/>
      <c r="O8" s="212"/>
      <c r="P8" s="212"/>
      <c r="Q8" s="212"/>
      <c r="R8" s="764">
        <f t="shared" si="0"/>
        <v>164</v>
      </c>
      <c r="S8" s="784">
        <f>IFERROR(INDEX(V!$R:$R,MATCH(T8,V!$L:$L,0)),"")</f>
        <v>88</v>
      </c>
      <c r="T8" s="783" t="str">
        <f t="shared" si="1"/>
        <v>Enn Tokman</v>
      </c>
      <c r="U8" s="784">
        <f>IFERROR(INDEX(V!$R:$R,MATCH(V8,V!$L:$L,0)),"")</f>
        <v>76</v>
      </c>
      <c r="V8" s="783" t="str">
        <f t="shared" si="2"/>
        <v>Tarmo Bombe</v>
      </c>
      <c r="W8" s="784" t="str">
        <f>IFERROR(INDEX(V!$R:$R,MATCH(X8,V!$L:$L,0)),"")</f>
        <v/>
      </c>
      <c r="X8" s="785" t="str">
        <f t="shared" si="3"/>
        <v/>
      </c>
      <c r="Y8" s="78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407</v>
      </c>
      <c r="C9" s="778">
        <v>5</v>
      </c>
      <c r="D9" s="787">
        <v>13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1-1</v>
      </c>
      <c r="I9" s="778" t="str">
        <f>IF(AND(B9&lt;&gt;"",M$6=TRUE),A$6&amp;RANK(M9,M$7:M$11,0),"")</f>
        <v>A2</v>
      </c>
      <c r="J9" s="821">
        <f t="shared" si="5"/>
        <v>1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6"/>
        <v>10000</v>
      </c>
      <c r="N9" s="212"/>
      <c r="O9" s="212"/>
      <c r="P9" s="803"/>
      <c r="Q9" s="212"/>
      <c r="R9" s="764">
        <f t="shared" si="0"/>
        <v>186</v>
      </c>
      <c r="S9" s="784">
        <f>IFERROR(INDEX(V!$R:$R,MATCH(T9,V!$L:$L,0)),"")</f>
        <v>120</v>
      </c>
      <c r="T9" s="783" t="str">
        <f t="shared" si="1"/>
        <v>Ivar Viljaste</v>
      </c>
      <c r="U9" s="784">
        <f>IFERROR(INDEX(V!$R:$R,MATCH(V9,V!$L:$L,0)),"")</f>
        <v>66</v>
      </c>
      <c r="V9" s="783" t="str">
        <f t="shared" si="2"/>
        <v>Sirje Viljaste</v>
      </c>
      <c r="W9" s="784" t="str">
        <f>IFERROR(INDEX(V!$R:$R,MATCH(X9,V!$L:$L,0)),"")</f>
        <v/>
      </c>
      <c r="X9" s="785" t="str">
        <f t="shared" si="3"/>
        <v/>
      </c>
      <c r="Y9" s="784" t="str">
        <f>IFERROR(INDEX(V!$R:$R,MATCH(Z9,V!$L:$L,0)),"")</f>
        <v/>
      </c>
      <c r="Z9" s="785" t="str">
        <f t="shared" si="4"/>
        <v/>
      </c>
      <c r="AA9" s="212"/>
    </row>
    <row r="10" spans="1:27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5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6"/>
        <v>0</v>
      </c>
      <c r="N10" s="212"/>
      <c r="O10" s="212"/>
      <c r="P10" s="212"/>
      <c r="Q10" s="212"/>
      <c r="R10" s="764">
        <f t="shared" si="0"/>
        <v>0</v>
      </c>
      <c r="S10" s="784" t="str">
        <f>IFERROR(INDEX(V!$R:$R,MATCH(T10,V!$L:$L,0)),"")</f>
        <v/>
      </c>
      <c r="T10" s="783" t="str">
        <f t="shared" si="1"/>
        <v/>
      </c>
      <c r="U10" s="784" t="str">
        <f>IFERROR(INDEX(V!$R:$R,MATCH(V10,V!$L:$L,0)),"")</f>
        <v/>
      </c>
      <c r="V10" s="783" t="str">
        <f t="shared" si="2"/>
        <v/>
      </c>
      <c r="W10" s="784" t="str">
        <f>IFERROR(INDEX(V!$R:$R,MATCH(X10,V!$L:$L,0)),"")</f>
        <v/>
      </c>
      <c r="X10" s="785" t="str">
        <f t="shared" si="3"/>
        <v/>
      </c>
      <c r="Y10" s="784" t="str">
        <f>IFERROR(INDEX(V!$R:$R,MATCH(Z10,V!$L:$L,0)),"")</f>
        <v/>
      </c>
      <c r="Z10" s="785" t="str">
        <f t="shared" si="4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5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6"/>
        <v>0</v>
      </c>
      <c r="O11" s="212"/>
      <c r="P11" s="212"/>
      <c r="Q11" s="212"/>
      <c r="R11" s="764">
        <f t="shared" si="0"/>
        <v>0</v>
      </c>
      <c r="S11" s="784" t="str">
        <f>IFERROR(INDEX(V!$R:$R,MATCH(T11,V!$L:$L,0)),"")</f>
        <v/>
      </c>
      <c r="T11" s="783" t="str">
        <f t="shared" si="1"/>
        <v/>
      </c>
      <c r="U11" s="784" t="str">
        <f>IFERROR(INDEX(V!$R:$R,MATCH(V11,V!$L:$L,0)),"")</f>
        <v/>
      </c>
      <c r="V11" s="783" t="str">
        <f t="shared" si="2"/>
        <v/>
      </c>
      <c r="W11" s="784" t="str">
        <f>IFERROR(INDEX(V!$R:$R,MATCH(X11,V!$L:$L,0)),"")</f>
        <v/>
      </c>
      <c r="X11" s="785" t="str">
        <f t="shared" si="3"/>
        <v/>
      </c>
      <c r="Y11" s="78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0"/>
        <v>0</v>
      </c>
      <c r="S12" s="784" t="str">
        <f>IFERROR(INDEX(V!$R:$R,MATCH(T12,V!$L:$L,0)),"")</f>
        <v/>
      </c>
      <c r="T12" s="783" t="str">
        <f t="shared" si="1"/>
        <v/>
      </c>
      <c r="U12" s="784" t="str">
        <f>IFERROR(INDEX(V!$R:$R,MATCH(V12,V!$L:$L,0)),"")</f>
        <v/>
      </c>
      <c r="V12" s="783" t="str">
        <f t="shared" si="2"/>
        <v/>
      </c>
      <c r="W12" s="784" t="str">
        <f>IFERROR(INDEX(V!$R:$R,MATCH(X12,V!$L:$L,0)),"")</f>
        <v/>
      </c>
      <c r="X12" s="785" t="str">
        <f t="shared" si="3"/>
        <v/>
      </c>
      <c r="Y12" s="78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/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64">
        <f t="shared" si="0"/>
        <v>0</v>
      </c>
      <c r="S13" s="784" t="str">
        <f>IFERROR(INDEX(V!$R:$R,MATCH(T13,V!$L:$L,0)),"")</f>
        <v/>
      </c>
      <c r="T13" s="783" t="str">
        <f t="shared" si="1"/>
        <v/>
      </c>
      <c r="U13" s="784" t="str">
        <f>IFERROR(INDEX(V!$R:$R,MATCH(V13,V!$L:$L,0)),"")</f>
        <v/>
      </c>
      <c r="V13" s="783" t="str">
        <f t="shared" si="2"/>
        <v/>
      </c>
      <c r="W13" s="784" t="str">
        <f>IFERROR(INDEX(V!$R:$R,MATCH(X13,V!$L:$L,0)),"")</f>
        <v/>
      </c>
      <c r="X13" s="785" t="str">
        <f t="shared" si="3"/>
        <v/>
      </c>
      <c r="Y13" s="78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65">
        <v>1</v>
      </c>
      <c r="B14" s="948" t="s">
        <v>370</v>
      </c>
      <c r="C14" s="776"/>
      <c r="D14" s="778">
        <v>6</v>
      </c>
      <c r="E14" s="778">
        <v>9</v>
      </c>
      <c r="F14" s="778"/>
      <c r="G14" s="778"/>
      <c r="H14" s="796" t="str">
        <f>(IF(D14-C15&gt;0,1)+IF(E14-C16&gt;0,1)+IF(F14-C17&gt;0,1)+IF(G14-C18&gt;0,1))&amp;"-"&amp;(IF(D14-C15&lt;0,1)+IF(E14-C16&lt;0,1)+IF(F14-C17&lt;0,1)+IF(G14-C18&lt;0,1))</f>
        <v>0-2</v>
      </c>
      <c r="I14" s="778" t="str">
        <f>IF(AND(B14&lt;&gt;"",M$6=TRUE),A$13&amp;RANK(M14,M$14:M$18,0),"")</f>
        <v>B3</v>
      </c>
      <c r="J14" s="821">
        <f>VALUE(LEFT(H14,1))</f>
        <v>0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0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0</v>
      </c>
      <c r="M14" s="824">
        <f>10000*J14+K14*100+L14</f>
        <v>0</v>
      </c>
      <c r="N14" s="950"/>
      <c r="O14" s="770"/>
      <c r="P14" s="770"/>
      <c r="Q14" s="770"/>
      <c r="R14" s="764">
        <f t="shared" si="0"/>
        <v>240</v>
      </c>
      <c r="S14" s="784">
        <f>IFERROR(INDEX(V!$R:$R,MATCH(T14,V!$L:$L,0)),"")</f>
        <v>117</v>
      </c>
      <c r="T14" s="783" t="str">
        <f t="shared" si="1"/>
        <v>Elmo Lageda</v>
      </c>
      <c r="U14" s="784">
        <f>IFERROR(INDEX(V!$R:$R,MATCH(V14,V!$L:$L,0)),"")</f>
        <v>123</v>
      </c>
      <c r="V14" s="783" t="str">
        <f t="shared" si="2"/>
        <v>Tõnu Piik</v>
      </c>
      <c r="W14" s="784" t="str">
        <f>IFERROR(INDEX(V!$R:$R,MATCH(X14,V!$L:$L,0)),"")</f>
        <v/>
      </c>
      <c r="X14" s="785" t="str">
        <f t="shared" si="3"/>
        <v/>
      </c>
      <c r="Y14" s="784" t="str">
        <f>IFERROR(INDEX(V!$R:$R,MATCH(Z14,V!$L:$L,0)),"")</f>
        <v/>
      </c>
      <c r="Z14" s="785" t="str">
        <f t="shared" si="4"/>
        <v/>
      </c>
      <c r="AA14" s="757"/>
    </row>
    <row r="15" spans="1:27" x14ac:dyDescent="0.2">
      <c r="A15" s="765">
        <v>2</v>
      </c>
      <c r="B15" s="940" t="s">
        <v>404</v>
      </c>
      <c r="C15" s="778">
        <v>13</v>
      </c>
      <c r="D15" s="776"/>
      <c r="E15" s="778">
        <v>6</v>
      </c>
      <c r="F15" s="778"/>
      <c r="G15" s="778"/>
      <c r="H15" s="796" t="str">
        <f>(IF(C15-D14&gt;0,1)+IF(E15-D16&gt;0,1)+IF(F15-D17&gt;0,1)+IF(G15-D18&gt;0,1))&amp;"-"&amp;(IF(C15-D14&lt;0,1)+IF(E15-D16&lt;0,1)+IF(F15-D17&lt;0,1)+IF(G15-D18&lt;0,1))</f>
        <v>1-1</v>
      </c>
      <c r="I15" s="778" t="str">
        <f>IF(AND(B15&lt;&gt;"",M$6=TRUE),A$13&amp;RANK(M15,M$14:M$18,0),"")</f>
        <v>B2</v>
      </c>
      <c r="J15" s="821">
        <f t="shared" ref="J15:J18" si="7">VALUE(LEFT(H15,1))</f>
        <v>1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0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0</v>
      </c>
      <c r="M15" s="824">
        <f t="shared" ref="M15:M18" si="8">10000*J15+K15*100+L15</f>
        <v>10000</v>
      </c>
      <c r="O15" s="770"/>
      <c r="P15" s="770"/>
      <c r="Q15" s="770"/>
      <c r="R15" s="764">
        <f t="shared" si="0"/>
        <v>190.5</v>
      </c>
      <c r="S15" s="784">
        <f>IFERROR(INDEX(V!$R:$R,MATCH(T15,V!$L:$L,0)),"")</f>
        <v>98.5</v>
      </c>
      <c r="T15" s="783" t="str">
        <f t="shared" si="1"/>
        <v>Illar Tõnurist</v>
      </c>
      <c r="U15" s="784">
        <f>IFERROR(INDEX(V!$R:$R,MATCH(V15,V!$L:$L,0)),"")</f>
        <v>92</v>
      </c>
      <c r="V15" s="783" t="str">
        <f t="shared" si="2"/>
        <v>Jaan Saar</v>
      </c>
      <c r="W15" s="784" t="str">
        <f>IFERROR(INDEX(V!$R:$R,MATCH(X15,V!$L:$L,0)),"")</f>
        <v/>
      </c>
      <c r="X15" s="785" t="str">
        <f t="shared" si="3"/>
        <v/>
      </c>
      <c r="Y15" s="784" t="str">
        <f>IFERROR(INDEX(V!$R:$R,MATCH(Z15,V!$L:$L,0)),"")</f>
        <v/>
      </c>
      <c r="Z15" s="785" t="str">
        <f t="shared" si="4"/>
        <v/>
      </c>
      <c r="AA15" s="757"/>
    </row>
    <row r="16" spans="1:27" x14ac:dyDescent="0.2">
      <c r="A16" s="765">
        <v>3</v>
      </c>
      <c r="B16" s="775" t="s">
        <v>528</v>
      </c>
      <c r="C16" s="778">
        <v>13</v>
      </c>
      <c r="D16" s="787">
        <v>13</v>
      </c>
      <c r="E16" s="776"/>
      <c r="F16" s="778"/>
      <c r="G16" s="778"/>
      <c r="H16" s="796" t="str">
        <f>(IF(C16-E14&gt;0,1)+IF(D16-E15&gt;0,1)+IF(F16-E17&gt;0,1)+IF(G16-E18&gt;0,1))&amp;"-"&amp;(IF(C16-E14&lt;0,1)+IF(D16-E15&lt;0,1)+IF(F16-E17&lt;0,1)+IF(G16-E18&lt;0,1))</f>
        <v>2-0</v>
      </c>
      <c r="I16" s="778" t="str">
        <f>IF(AND(B16&lt;&gt;"",M$6=TRUE),A$13&amp;RANK(M16,M$14:M$18,0),"")</f>
        <v>B1</v>
      </c>
      <c r="J16" s="821">
        <f t="shared" si="7"/>
        <v>2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8"/>
        <v>20000</v>
      </c>
      <c r="O16" s="770"/>
      <c r="P16" s="770"/>
      <c r="Q16" s="770"/>
      <c r="R16" s="764">
        <f t="shared" si="0"/>
        <v>155</v>
      </c>
      <c r="S16" s="784">
        <f>IFERROR(INDEX(V!$R:$R,MATCH(T16,V!$L:$L,0)),"")</f>
        <v>131</v>
      </c>
      <c r="T16" s="783" t="str">
        <f t="shared" si="1"/>
        <v>Kenneth Muusikus</v>
      </c>
      <c r="U16" s="784">
        <f>IFERROR(INDEX(V!$R:$R,MATCH(V16,V!$L:$L,0)),"")</f>
        <v>24</v>
      </c>
      <c r="V16" s="783" t="str">
        <f t="shared" si="2"/>
        <v>Kristiin-Marleen Neiland</v>
      </c>
      <c r="W16" s="784" t="str">
        <f>IFERROR(INDEX(V!$R:$R,MATCH(X16,V!$L:$L,0)),"")</f>
        <v/>
      </c>
      <c r="X16" s="785" t="str">
        <f t="shared" si="3"/>
        <v/>
      </c>
      <c r="Y16" s="784" t="str">
        <f>IFERROR(INDEX(V!$R:$R,MATCH(Z16,V!$L:$L,0)),"")</f>
        <v/>
      </c>
      <c r="Z16" s="785" t="str">
        <f t="shared" si="4"/>
        <v/>
      </c>
      <c r="AA16" s="757"/>
    </row>
    <row r="17" spans="1:27" hidden="1" x14ac:dyDescent="0.2">
      <c r="A17" s="765">
        <v>4</v>
      </c>
      <c r="B17" s="792"/>
      <c r="C17" s="778"/>
      <c r="D17" s="787"/>
      <c r="E17" s="778"/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0-0</v>
      </c>
      <c r="I17" s="778" t="str">
        <f>IF(AND(B17&lt;&gt;"",M$6=TRUE),A$13&amp;RANK(M17,M$14:M$18,0),"")</f>
        <v/>
      </c>
      <c r="J17" s="821">
        <f t="shared" si="7"/>
        <v>0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8"/>
        <v>0</v>
      </c>
      <c r="O17" s="770"/>
      <c r="P17" s="757"/>
      <c r="Q17" s="770"/>
      <c r="R17" s="764">
        <f t="shared" si="0"/>
        <v>0</v>
      </c>
      <c r="S17" s="784" t="str">
        <f>IFERROR(INDEX(V!$R:$R,MATCH(T17,V!$L:$L,0)),"")</f>
        <v/>
      </c>
      <c r="T17" s="783" t="str">
        <f t="shared" si="1"/>
        <v/>
      </c>
      <c r="U17" s="784" t="str">
        <f>IFERROR(INDEX(V!$R:$R,MATCH(V17,V!$L:$L,0)),"")</f>
        <v/>
      </c>
      <c r="V17" s="783" t="str">
        <f t="shared" si="2"/>
        <v/>
      </c>
      <c r="W17" s="784" t="str">
        <f>IFERROR(INDEX(V!$R:$R,MATCH(X17,V!$L:$L,0)),"")</f>
        <v/>
      </c>
      <c r="X17" s="785" t="str">
        <f t="shared" si="3"/>
        <v/>
      </c>
      <c r="Y17" s="784" t="str">
        <f>IFERROR(INDEX(V!$R:$R,MATCH(Z17,V!$L:$L,0)),"")</f>
        <v/>
      </c>
      <c r="Z17" s="785" t="str">
        <f t="shared" si="4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IF(AND(B18&lt;&gt;"",M$6=TRUE),A$13&amp;RANK(M18,M$14:M$18,0),"")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0"/>
        <v>0</v>
      </c>
      <c r="S18" s="784" t="str">
        <f>IFERROR(INDEX(V!$R:$R,MATCH(T18,V!$L:$L,0)),"")</f>
        <v/>
      </c>
      <c r="T18" s="783" t="str">
        <f t="shared" si="1"/>
        <v/>
      </c>
      <c r="U18" s="784" t="str">
        <f>IFERROR(INDEX(V!$R:$R,MATCH(V18,V!$L:$L,0)),"")</f>
        <v/>
      </c>
      <c r="V18" s="783" t="str">
        <f t="shared" si="2"/>
        <v/>
      </c>
      <c r="W18" s="784" t="str">
        <f>IFERROR(INDEX(V!$R:$R,MATCH(X18,V!$L:$L,0)),"")</f>
        <v/>
      </c>
      <c r="X18" s="785" t="str">
        <f t="shared" si="3"/>
        <v/>
      </c>
      <c r="Y18" s="784" t="str">
        <f>IFERROR(INDEX(V!$R:$R,MATCH(Z18,V!$L:$L,0)),"")</f>
        <v/>
      </c>
      <c r="Z18" s="785" t="str">
        <f t="shared" si="4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0"/>
        <v>0</v>
      </c>
      <c r="S19" s="784" t="str">
        <f>IFERROR(INDEX(V!$R:$R,MATCH(T19,V!$L:$L,0)),"")</f>
        <v/>
      </c>
      <c r="T19" s="783" t="str">
        <f t="shared" si="1"/>
        <v/>
      </c>
      <c r="U19" s="784" t="str">
        <f>IFERROR(INDEX(V!$R:$R,MATCH(V19,V!$L:$L,0)),"")</f>
        <v/>
      </c>
      <c r="V19" s="783" t="str">
        <f t="shared" si="2"/>
        <v/>
      </c>
      <c r="W19" s="784" t="str">
        <f>IFERROR(INDEX(V!$R:$R,MATCH(X19,V!$L:$L,0)),"")</f>
        <v/>
      </c>
      <c r="X19" s="785" t="str">
        <f t="shared" si="3"/>
        <v/>
      </c>
      <c r="Y19" s="784" t="str">
        <f>IFERROR(INDEX(V!$R:$R,MATCH(Z19,V!$L:$L,0)),"")</f>
        <v/>
      </c>
      <c r="Z19" s="785" t="str">
        <f t="shared" si="4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0"/>
        <v>0</v>
      </c>
      <c r="S20" s="784" t="str">
        <f>IFERROR(INDEX(V!$R:$R,MATCH(T20,V!$L:$L,0)),"")</f>
        <v/>
      </c>
      <c r="T20" s="783" t="str">
        <f t="shared" si="1"/>
        <v/>
      </c>
      <c r="U20" s="784" t="str">
        <f>IFERROR(INDEX(V!$R:$R,MATCH(V20,V!$L:$L,0)),"")</f>
        <v/>
      </c>
      <c r="V20" s="783" t="str">
        <f t="shared" si="2"/>
        <v/>
      </c>
      <c r="W20" s="784" t="str">
        <f>IFERROR(INDEX(V!$R:$R,MATCH(X20,V!$L:$L,0)),"")</f>
        <v/>
      </c>
      <c r="X20" s="785" t="str">
        <f t="shared" si="3"/>
        <v/>
      </c>
      <c r="Y20" s="784" t="str">
        <f>IFERROR(INDEX(V!$R:$R,MATCH(Z20,V!$L:$L,0)),"")</f>
        <v/>
      </c>
      <c r="Z20" s="785" t="str">
        <f t="shared" si="4"/>
        <v/>
      </c>
      <c r="AA20" s="755"/>
    </row>
    <row r="21" spans="1:27" x14ac:dyDescent="0.2">
      <c r="A21" s="765">
        <v>1</v>
      </c>
      <c r="B21" s="940" t="s">
        <v>461</v>
      </c>
      <c r="C21" s="776"/>
      <c r="D21" s="778">
        <v>13</v>
      </c>
      <c r="E21" s="778">
        <v>5</v>
      </c>
      <c r="F21" s="778">
        <v>8</v>
      </c>
      <c r="G21" s="778"/>
      <c r="H21" s="796" t="str">
        <f>(IF(D21-C22&gt;0,1)+IF(E21-C23&gt;0,1)+IF(F21-C24&gt;0,1)+IF(G21-C25&gt;0,1))&amp;"-"&amp;(IF(D21-C22&lt;0,1)+IF(E21-C23&lt;0,1)+IF(F21-C24&lt;0,1)+IF(G21-C25&lt;0,1))</f>
        <v>1-2</v>
      </c>
      <c r="I21" s="778" t="str">
        <f>IF(AND(B21&lt;&gt;"",M$20=TRUE),A$20&amp;RANK(M21,M$21:M$25,0),"")</f>
        <v>C3</v>
      </c>
      <c r="J21" s="821">
        <f>VALUE(LEFT(H21,1))</f>
        <v>1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0</v>
      </c>
      <c r="M21" s="824">
        <f>10000*J21+K21*100+L21</f>
        <v>10000</v>
      </c>
      <c r="O21" s="770"/>
      <c r="P21" s="770"/>
      <c r="Q21" s="770"/>
      <c r="R21" s="764">
        <f t="shared" si="0"/>
        <v>205</v>
      </c>
      <c r="S21" s="784">
        <f>IFERROR(INDEX(V!$R:$R,MATCH(T21,V!$L:$L,0)),"")</f>
        <v>97.5</v>
      </c>
      <c r="T21" s="783" t="str">
        <f t="shared" si="1"/>
        <v>Klavdia Piik</v>
      </c>
      <c r="U21" s="784">
        <f>IFERROR(INDEX(V!$R:$R,MATCH(V21,V!$L:$L,0)),"")</f>
        <v>107.5</v>
      </c>
      <c r="V21" s="783" t="str">
        <f t="shared" si="2"/>
        <v>Vladimir Ogneštšikov</v>
      </c>
      <c r="W21" s="784" t="str">
        <f>IFERROR(INDEX(V!$R:$R,MATCH(X21,V!$L:$L,0)),"")</f>
        <v/>
      </c>
      <c r="X21" s="785" t="str">
        <f t="shared" si="3"/>
        <v/>
      </c>
      <c r="Y21" s="784" t="str">
        <f>IFERROR(INDEX(V!$R:$R,MATCH(Z21,V!$L:$L,0)),"")</f>
        <v/>
      </c>
      <c r="Z21" s="785" t="str">
        <f t="shared" si="4"/>
        <v/>
      </c>
      <c r="AA21" s="757"/>
    </row>
    <row r="22" spans="1:27" x14ac:dyDescent="0.2">
      <c r="A22" s="765">
        <v>2</v>
      </c>
      <c r="B22" s="775" t="s">
        <v>486</v>
      </c>
      <c r="C22" s="778">
        <v>11</v>
      </c>
      <c r="D22" s="776"/>
      <c r="E22" s="778">
        <v>10</v>
      </c>
      <c r="F22" s="778">
        <v>11</v>
      </c>
      <c r="G22" s="778"/>
      <c r="H22" s="796" t="str">
        <f>(IF(C22-D21&gt;0,1)+IF(E22-D23&gt;0,1)+IF(F22-D24&gt;0,1)+IF(G22-D25&gt;0,1))&amp;"-"&amp;(IF(C22-D21&lt;0,1)+IF(E22-D23&lt;0,1)+IF(F22-D24&lt;0,1)+IF(G22-D25&lt;0,1))</f>
        <v>0-3</v>
      </c>
      <c r="I22" s="778" t="str">
        <f>IF(AND(B22&lt;&gt;"",M$20=TRUE),A$20&amp;RANK(M22,M$21:M$25,0),"")</f>
        <v>C4</v>
      </c>
      <c r="J22" s="821">
        <f t="shared" ref="J22:J25" si="9">VALUE(LEFT(H22,1))</f>
        <v>0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0</v>
      </c>
      <c r="M22" s="824">
        <f t="shared" ref="M22:M25" si="10">10000*J22+K22*100+L22</f>
        <v>0</v>
      </c>
      <c r="O22" s="770"/>
      <c r="P22" s="770"/>
      <c r="Q22" s="770"/>
      <c r="R22" s="764">
        <f t="shared" si="0"/>
        <v>176</v>
      </c>
      <c r="S22" s="784">
        <f>IFERROR(INDEX(V!$R:$R,MATCH(T22,V!$L:$L,0)),"")</f>
        <v>51</v>
      </c>
      <c r="T22" s="783" t="str">
        <f t="shared" si="1"/>
        <v>Janek Tarto</v>
      </c>
      <c r="U22" s="784">
        <f>IFERROR(INDEX(V!$R:$R,MATCH(V22,V!$L:$L,0)),"")</f>
        <v>125</v>
      </c>
      <c r="V22" s="783" t="str">
        <f t="shared" si="2"/>
        <v>Meelis Luud</v>
      </c>
      <c r="W22" s="784" t="str">
        <f>IFERROR(INDEX(V!$R:$R,MATCH(X22,V!$L:$L,0)),"")</f>
        <v/>
      </c>
      <c r="X22" s="785" t="str">
        <f t="shared" si="3"/>
        <v/>
      </c>
      <c r="Y22" s="784" t="str">
        <f>IFERROR(INDEX(V!$R:$R,MATCH(Z22,V!$L:$L,0)),"")</f>
        <v/>
      </c>
      <c r="Z22" s="785" t="str">
        <f t="shared" si="4"/>
        <v/>
      </c>
      <c r="AA22" s="757"/>
    </row>
    <row r="23" spans="1:27" x14ac:dyDescent="0.2">
      <c r="A23" s="765">
        <v>3</v>
      </c>
      <c r="B23" s="775" t="s">
        <v>508</v>
      </c>
      <c r="C23" s="778">
        <v>13</v>
      </c>
      <c r="D23" s="787">
        <v>13</v>
      </c>
      <c r="E23" s="776"/>
      <c r="F23" s="778">
        <v>13</v>
      </c>
      <c r="G23" s="778"/>
      <c r="H23" s="796" t="str">
        <f>(IF(C23-E21&gt;0,1)+IF(D23-E22&gt;0,1)+IF(F23-E24&gt;0,1)+IF(G23-E25&gt;0,1))&amp;"-"&amp;(IF(C23-E21&lt;0,1)+IF(D23-E22&lt;0,1)+IF(F23-E24&lt;0,1)+IF(G23-E25&lt;0,1))</f>
        <v>3-0</v>
      </c>
      <c r="I23" s="778" t="str">
        <f>IF(AND(B23&lt;&gt;"",M$20=TRUE),A$20&amp;RANK(M23,M$21:M$25,0),"")</f>
        <v>C1</v>
      </c>
      <c r="J23" s="821">
        <f t="shared" si="9"/>
        <v>3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0</v>
      </c>
      <c r="M23" s="824">
        <f t="shared" si="10"/>
        <v>30000</v>
      </c>
      <c r="O23" s="770"/>
      <c r="P23" s="770"/>
      <c r="Q23" s="770"/>
      <c r="R23" s="764">
        <f t="shared" si="0"/>
        <v>146.5</v>
      </c>
      <c r="S23" s="784">
        <f>IFERROR(INDEX(V!$R:$R,MATCH(T23,V!$L:$L,0)),"")</f>
        <v>40</v>
      </c>
      <c r="T23" s="783" t="str">
        <f t="shared" si="1"/>
        <v>Peep Peenema</v>
      </c>
      <c r="U23" s="784">
        <f>IFERROR(INDEX(V!$R:$R,MATCH(V23,V!$L:$L,0)),"")</f>
        <v>106.5</v>
      </c>
      <c r="V23" s="783" t="str">
        <f t="shared" si="2"/>
        <v>Ülo Piik</v>
      </c>
      <c r="W23" s="784" t="str">
        <f>IFERROR(INDEX(V!$R:$R,MATCH(X23,V!$L:$L,0)),"")</f>
        <v/>
      </c>
      <c r="X23" s="785" t="str">
        <f t="shared" si="3"/>
        <v/>
      </c>
      <c r="Y23" s="784" t="str">
        <f>IFERROR(INDEX(V!$R:$R,MATCH(Z23,V!$L:$L,0)),"")</f>
        <v/>
      </c>
      <c r="Z23" s="785" t="str">
        <f t="shared" si="4"/>
        <v/>
      </c>
      <c r="AA23" s="757"/>
    </row>
    <row r="24" spans="1:27" x14ac:dyDescent="0.2">
      <c r="A24" s="765">
        <v>4</v>
      </c>
      <c r="B24" s="775" t="s">
        <v>489</v>
      </c>
      <c r="C24" s="778">
        <v>13</v>
      </c>
      <c r="D24" s="787">
        <v>13</v>
      </c>
      <c r="E24" s="778">
        <v>5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2-1</v>
      </c>
      <c r="I24" s="778" t="str">
        <f>IF(AND(B24&lt;&gt;"",M$20=TRUE),A$20&amp;RANK(M24,M$21:M$25,0),"")</f>
        <v>C2</v>
      </c>
      <c r="J24" s="821">
        <f t="shared" si="9"/>
        <v>2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0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10"/>
        <v>20000</v>
      </c>
      <c r="O24" s="770"/>
      <c r="P24" s="770"/>
      <c r="Q24" s="770"/>
      <c r="R24" s="764">
        <f t="shared" si="0"/>
        <v>42</v>
      </c>
      <c r="S24" s="784">
        <f>IFERROR(INDEX(V!$R:$R,MATCH(T24,V!$L:$L,0)),"")</f>
        <v>22</v>
      </c>
      <c r="T24" s="783" t="str">
        <f t="shared" si="1"/>
        <v>Kaspar Mänd</v>
      </c>
      <c r="U24" s="784">
        <f>IFERROR(INDEX(V!$R:$R,MATCH(V24,V!$L:$L,0)),"")</f>
        <v>20</v>
      </c>
      <c r="V24" s="783" t="str">
        <f t="shared" si="2"/>
        <v>Reimo Lõhmus</v>
      </c>
      <c r="W24" s="784" t="str">
        <f>IFERROR(INDEX(V!$R:$R,MATCH(X24,V!$L:$L,0)),"")</f>
        <v/>
      </c>
      <c r="X24" s="785" t="str">
        <f t="shared" si="3"/>
        <v/>
      </c>
      <c r="Y24" s="784" t="str">
        <f>IFERROR(INDEX(V!$R:$R,MATCH(Z24,V!$L:$L,0)),"")</f>
        <v/>
      </c>
      <c r="Z24" s="785" t="str">
        <f t="shared" si="4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0"/>
        <v>0</v>
      </c>
      <c r="S25" s="784" t="str">
        <f>IFERROR(INDEX(V!$R:$R,MATCH(T25,V!$L:$L,0)),"")</f>
        <v/>
      </c>
      <c r="T25" s="783" t="str">
        <f t="shared" si="1"/>
        <v/>
      </c>
      <c r="U25" s="784" t="str">
        <f>IFERROR(INDEX(V!$R:$R,MATCH(V25,V!$L:$L,0)),"")</f>
        <v/>
      </c>
      <c r="V25" s="783" t="str">
        <f t="shared" si="2"/>
        <v/>
      </c>
      <c r="W25" s="784" t="str">
        <f>IFERROR(INDEX(V!$R:$R,MATCH(X25,V!$L:$L,0)),"")</f>
        <v/>
      </c>
      <c r="X25" s="785" t="str">
        <f t="shared" si="3"/>
        <v/>
      </c>
      <c r="Y25" s="784" t="str">
        <f>IFERROR(INDEX(V!$R:$R,MATCH(Z25,V!$L:$L,0)),"")</f>
        <v/>
      </c>
      <c r="Z25" s="785" t="str">
        <f t="shared" si="4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0"/>
        <v>0</v>
      </c>
      <c r="S26" s="784" t="str">
        <f>IFERROR(INDEX(V!$R:$R,MATCH(T26,V!$L:$L,0)),"")</f>
        <v/>
      </c>
      <c r="T26" s="783" t="str">
        <f t="shared" si="1"/>
        <v/>
      </c>
      <c r="U26" s="784" t="str">
        <f>IFERROR(INDEX(V!$R:$R,MATCH(V26,V!$L:$L,0)),"")</f>
        <v/>
      </c>
      <c r="V26" s="783" t="str">
        <f t="shared" si="2"/>
        <v/>
      </c>
      <c r="W26" s="784" t="str">
        <f>IFERROR(INDEX(V!$R:$R,MATCH(X26,V!$L:$L,0)),"")</f>
        <v/>
      </c>
      <c r="X26" s="785" t="str">
        <f t="shared" si="3"/>
        <v/>
      </c>
      <c r="Y26" s="784" t="str">
        <f>IFERROR(INDEX(V!$R:$R,MATCH(Z26,V!$L:$L,0)),"")</f>
        <v/>
      </c>
      <c r="Z26" s="785" t="str">
        <f t="shared" si="4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0"/>
        <v>0</v>
      </c>
      <c r="S27" s="784" t="str">
        <f>IFERROR(INDEX(V!$R:$R,MATCH(T27,V!$L:$L,0)),"")</f>
        <v/>
      </c>
      <c r="T27" s="783" t="str">
        <f t="shared" si="1"/>
        <v/>
      </c>
      <c r="U27" s="784" t="str">
        <f>IFERROR(INDEX(V!$R:$R,MATCH(V27,V!$L:$L,0)),"")</f>
        <v/>
      </c>
      <c r="V27" s="783" t="str">
        <f t="shared" si="2"/>
        <v/>
      </c>
      <c r="W27" s="784" t="str">
        <f>IFERROR(INDEX(V!$R:$R,MATCH(X27,V!$L:$L,0)),"")</f>
        <v/>
      </c>
      <c r="X27" s="785" t="str">
        <f t="shared" si="3"/>
        <v/>
      </c>
      <c r="Y27" s="784" t="str">
        <f>IFERROR(INDEX(V!$R:$R,MATCH(Z27,V!$L:$L,0)),"")</f>
        <v/>
      </c>
      <c r="Z27" s="785" t="str">
        <f t="shared" si="4"/>
        <v/>
      </c>
      <c r="AA27" s="760"/>
    </row>
    <row r="28" spans="1:27" x14ac:dyDescent="0.2">
      <c r="A28" s="765">
        <v>1</v>
      </c>
      <c r="B28" s="820" t="s">
        <v>399</v>
      </c>
      <c r="C28" s="776"/>
      <c r="D28" s="778">
        <v>2</v>
      </c>
      <c r="E28" s="778">
        <v>13</v>
      </c>
      <c r="F28" s="778">
        <v>13</v>
      </c>
      <c r="G28" s="778"/>
      <c r="H28" s="796" t="str">
        <f>(IF(D28-C29&gt;0,1)+IF(E28-C30&gt;0,1)+IF(F28-C31&gt;0,1)+IF(G28-C32&gt;0,1))&amp;"-"&amp;(IF(D28-C29&lt;0,1)+IF(E28-C30&lt;0,1)+IF(F28-C31&lt;0,1)+IF(G28-C32&lt;0,1))</f>
        <v>2-1</v>
      </c>
      <c r="I28" s="778" t="str">
        <f>IF(AND(B28&lt;&gt;"",M$27=TRUE),A$27&amp;RANK(M28,M$28:M$32,0),"")</f>
        <v>D2</v>
      </c>
      <c r="J28" s="821">
        <f>VALUE(LEFT(H28,1))</f>
        <v>2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20000</v>
      </c>
      <c r="O28" s="212"/>
      <c r="P28" s="212"/>
      <c r="Q28" s="212"/>
      <c r="R28" s="764">
        <f t="shared" si="0"/>
        <v>200</v>
      </c>
      <c r="S28" s="784">
        <f>IFERROR(INDEX(V!$R:$R,MATCH(T28,V!$L:$L,0)),"")</f>
        <v>123.5</v>
      </c>
      <c r="T28" s="783" t="str">
        <f t="shared" si="1"/>
        <v>Karla Purgats</v>
      </c>
      <c r="U28" s="784">
        <f>IFERROR(INDEX(V!$R:$R,MATCH(V28,V!$L:$L,0)),"")</f>
        <v>76.5</v>
      </c>
      <c r="V28" s="783" t="str">
        <f t="shared" si="2"/>
        <v>Lemmit Toomra</v>
      </c>
      <c r="W28" s="784" t="str">
        <f>IFERROR(INDEX(V!$R:$R,MATCH(X28,V!$L:$L,0)),"")</f>
        <v/>
      </c>
      <c r="X28" s="785" t="str">
        <f t="shared" si="3"/>
        <v/>
      </c>
      <c r="Y28" s="784" t="str">
        <f>IFERROR(INDEX(V!$R:$R,MATCH(Z28,V!$L:$L,0)),"")</f>
        <v/>
      </c>
      <c r="Z28" s="785" t="str">
        <f t="shared" si="4"/>
        <v/>
      </c>
      <c r="AA28" s="760"/>
    </row>
    <row r="29" spans="1:27" x14ac:dyDescent="0.2">
      <c r="A29" s="765">
        <v>2</v>
      </c>
      <c r="B29" s="775" t="s">
        <v>459</v>
      </c>
      <c r="C29" s="778">
        <v>13</v>
      </c>
      <c r="D29" s="776"/>
      <c r="E29" s="778">
        <v>13</v>
      </c>
      <c r="F29" s="778">
        <v>13</v>
      </c>
      <c r="G29" s="778"/>
      <c r="H29" s="796" t="str">
        <f>(IF(C29-D28&gt;0,1)+IF(E29-D30&gt;0,1)+IF(F29-D31&gt;0,1)+IF(G29-D32&gt;0,1))&amp;"-"&amp;(IF(C29-D28&lt;0,1)+IF(E29-D30&lt;0,1)+IF(F29-D31&lt;0,1)+IF(G29-D32&lt;0,1))</f>
        <v>3-0</v>
      </c>
      <c r="I29" s="778" t="str">
        <f>IF(AND(B29&lt;&gt;"",M$27=TRUE),A$27&amp;RANK(M29,M$28:M$32,0),"")</f>
        <v>D1</v>
      </c>
      <c r="J29" s="821">
        <f t="shared" ref="J29:J32" si="11">VALUE(LEFT(H29,1))</f>
        <v>3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30000</v>
      </c>
      <c r="O29" s="212"/>
      <c r="P29" s="212"/>
      <c r="Q29" s="212"/>
      <c r="R29" s="764">
        <f t="shared" si="0"/>
        <v>215.5</v>
      </c>
      <c r="S29" s="784">
        <f>IFERROR(INDEX(V!$R:$R,MATCH(T29,V!$L:$L,0)),"")</f>
        <v>105.5</v>
      </c>
      <c r="T29" s="783" t="str">
        <f t="shared" si="1"/>
        <v>Mait Metsla</v>
      </c>
      <c r="U29" s="784">
        <f>IFERROR(INDEX(V!$R:$R,MATCH(V29,V!$L:$L,0)),"")</f>
        <v>110</v>
      </c>
      <c r="V29" s="783" t="str">
        <f t="shared" si="2"/>
        <v>Matti Vinni</v>
      </c>
      <c r="W29" s="784" t="str">
        <f>IFERROR(INDEX(V!$R:$R,MATCH(X29,V!$L:$L,0)),"")</f>
        <v/>
      </c>
      <c r="X29" s="785" t="str">
        <f t="shared" si="3"/>
        <v/>
      </c>
      <c r="Y29" s="784" t="str">
        <f>IFERROR(INDEX(V!$R:$R,MATCH(Z29,V!$L:$L,0)),"")</f>
        <v/>
      </c>
      <c r="Z29" s="785" t="str">
        <f t="shared" si="4"/>
        <v/>
      </c>
      <c r="AA29" s="760"/>
    </row>
    <row r="30" spans="1:27" x14ac:dyDescent="0.2">
      <c r="A30" s="765">
        <v>3</v>
      </c>
      <c r="B30" s="775" t="s">
        <v>402</v>
      </c>
      <c r="C30" s="778">
        <v>11</v>
      </c>
      <c r="D30" s="787">
        <v>1</v>
      </c>
      <c r="E30" s="776"/>
      <c r="F30" s="778">
        <v>13</v>
      </c>
      <c r="G30" s="778"/>
      <c r="H30" s="796" t="str">
        <f>(IF(C30-E28&gt;0,1)+IF(D30-E29&gt;0,1)+IF(F30-E31&gt;0,1)+IF(G30-E32&gt;0,1))&amp;"-"&amp;(IF(C30-E28&lt;0,1)+IF(D30-E29&lt;0,1)+IF(F30-E31&lt;0,1)+IF(G30-E32&lt;0,1))</f>
        <v>1-2</v>
      </c>
      <c r="I30" s="778" t="str">
        <f>IF(AND(B30&lt;&gt;"",M$27=TRUE),A$27&amp;RANK(M30,M$28:M$32,0),"")</f>
        <v>D3</v>
      </c>
      <c r="J30" s="821">
        <f t="shared" si="11"/>
        <v>1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10000</v>
      </c>
      <c r="O30" s="212"/>
      <c r="P30" s="212"/>
      <c r="Q30" s="212"/>
      <c r="R30" s="764">
        <f t="shared" si="0"/>
        <v>93</v>
      </c>
      <c r="S30" s="784">
        <f>IFERROR(INDEX(V!$R:$R,MATCH(T30,V!$L:$L,0)),"")</f>
        <v>48</v>
      </c>
      <c r="T30" s="783" t="str">
        <f t="shared" si="1"/>
        <v>Andres Veski</v>
      </c>
      <c r="U30" s="784">
        <f>IFERROR(INDEX(V!$R:$R,MATCH(V30,V!$L:$L,0)),"")</f>
        <v>45</v>
      </c>
      <c r="V30" s="783" t="str">
        <f t="shared" si="2"/>
        <v>Svetlana Veski</v>
      </c>
      <c r="W30" s="784" t="str">
        <f>IFERROR(INDEX(V!$R:$R,MATCH(X30,V!$L:$L,0)),"")</f>
        <v/>
      </c>
      <c r="X30" s="785" t="str">
        <f t="shared" si="3"/>
        <v/>
      </c>
      <c r="Y30" s="784" t="str">
        <f>IFERROR(INDEX(V!$R:$R,MATCH(Z30,V!$L:$L,0)),"")</f>
        <v/>
      </c>
      <c r="Z30" s="785" t="str">
        <f t="shared" si="4"/>
        <v/>
      </c>
      <c r="AA30" s="760"/>
    </row>
    <row r="31" spans="1:27" x14ac:dyDescent="0.2">
      <c r="A31" s="765">
        <v>4</v>
      </c>
      <c r="B31" s="792" t="s">
        <v>514</v>
      </c>
      <c r="C31" s="778">
        <v>1</v>
      </c>
      <c r="D31" s="787">
        <v>4</v>
      </c>
      <c r="E31" s="778">
        <v>1</v>
      </c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0-3</v>
      </c>
      <c r="I31" s="778" t="str">
        <f>IF(AND(B31&lt;&gt;"",M$27=TRUE),A$27&amp;RANK(M31,M$28:M$32,0),"")</f>
        <v>D4</v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212"/>
      <c r="P31" s="212"/>
      <c r="Q31" s="212"/>
      <c r="R31" s="764">
        <f t="shared" si="0"/>
        <v>31</v>
      </c>
      <c r="S31" s="784">
        <f>IFERROR(INDEX(V!$R:$R,MATCH(T31,V!$L:$L,0)),"")</f>
        <v>16</v>
      </c>
      <c r="T31" s="783" t="str">
        <f t="shared" si="1"/>
        <v>Ksenija Matšneva</v>
      </c>
      <c r="U31" s="784">
        <f>IFERROR(INDEX(V!$R:$R,MATCH(V31,V!$L:$L,0)),"")</f>
        <v>15</v>
      </c>
      <c r="V31" s="783" t="str">
        <f t="shared" si="2"/>
        <v>Veroonika Mendes</v>
      </c>
      <c r="W31" s="784" t="str">
        <f>IFERROR(INDEX(V!$R:$R,MATCH(X31,V!$L:$L,0)),"")</f>
        <v/>
      </c>
      <c r="X31" s="785" t="str">
        <f t="shared" si="3"/>
        <v/>
      </c>
      <c r="Y31" s="784" t="str">
        <f>IFERROR(INDEX(V!$R:$R,MATCH(Z31,V!$L:$L,0)),"")</f>
        <v/>
      </c>
      <c r="Z31" s="785" t="str">
        <f t="shared" si="4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0"/>
        <v>0</v>
      </c>
      <c r="S32" s="784" t="str">
        <f>IFERROR(INDEX(V!$R:$R,MATCH(T32,V!$L:$L,0)),"")</f>
        <v/>
      </c>
      <c r="T32" s="783" t="str">
        <f t="shared" si="1"/>
        <v/>
      </c>
      <c r="U32" s="784" t="str">
        <f>IFERROR(INDEX(V!$R:$R,MATCH(V32,V!$L:$L,0)),"")</f>
        <v/>
      </c>
      <c r="V32" s="783" t="str">
        <f t="shared" si="2"/>
        <v/>
      </c>
      <c r="W32" s="784" t="str">
        <f>IFERROR(INDEX(V!$R:$R,MATCH(X32,V!$L:$L,0)),"")</f>
        <v/>
      </c>
      <c r="X32" s="785" t="str">
        <f t="shared" si="3"/>
        <v/>
      </c>
      <c r="Y32" s="784" t="str">
        <f>IFERROR(INDEX(V!$R:$R,MATCH(Z32,V!$L:$L,0)),"")</f>
        <v/>
      </c>
      <c r="Z32" s="785" t="str">
        <f t="shared" si="4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0"/>
        <v>0</v>
      </c>
      <c r="S33" s="784" t="str">
        <f>IFERROR(INDEX(V!$R:$R,MATCH(T33,V!$L:$L,0)),"")</f>
        <v/>
      </c>
      <c r="T33" s="783" t="str">
        <f t="shared" si="1"/>
        <v/>
      </c>
      <c r="U33" s="784" t="str">
        <f>IFERROR(INDEX(V!$R:$R,MATCH(V33,V!$L:$L,0)),"")</f>
        <v/>
      </c>
      <c r="V33" s="783" t="str">
        <f t="shared" si="2"/>
        <v/>
      </c>
      <c r="W33" s="784" t="str">
        <f>IFERROR(INDEX(V!$R:$R,MATCH(X33,V!$L:$L,0)),"")</f>
        <v/>
      </c>
      <c r="X33" s="785" t="str">
        <f t="shared" si="3"/>
        <v/>
      </c>
      <c r="Y33" s="784" t="str">
        <f>IFERROR(INDEX(V!$R:$R,MATCH(Z33,V!$L:$L,0)),"")</f>
        <v/>
      </c>
      <c r="Z33" s="785" t="str">
        <f t="shared" si="4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0"/>
        <v>0</v>
      </c>
      <c r="S34" s="784" t="str">
        <f>IFERROR(INDEX(V!$R:$R,MATCH(T34,V!$L:$L,0)),"")</f>
        <v/>
      </c>
      <c r="T34" s="783" t="str">
        <f t="shared" si="1"/>
        <v/>
      </c>
      <c r="U34" s="784" t="str">
        <f>IFERROR(INDEX(V!$R:$R,MATCH(V34,V!$L:$L,0)),"")</f>
        <v/>
      </c>
      <c r="V34" s="783" t="str">
        <f t="shared" si="2"/>
        <v/>
      </c>
      <c r="W34" s="784" t="str">
        <f>IFERROR(INDEX(V!$R:$R,MATCH(X34,V!$L:$L,0)),"")</f>
        <v/>
      </c>
      <c r="X34" s="785" t="str">
        <f t="shared" si="3"/>
        <v/>
      </c>
      <c r="Y34" s="784" t="str">
        <f>IFERROR(INDEX(V!$R:$R,MATCH(Z34,V!$L:$L,0)),"")</f>
        <v/>
      </c>
      <c r="Z34" s="785" t="str">
        <f t="shared" si="4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0"/>
        <v>0</v>
      </c>
      <c r="S35" s="784" t="str">
        <f>IFERROR(INDEX(V!$R:$R,MATCH(T35,V!$L:$L,0)),"")</f>
        <v/>
      </c>
      <c r="T35" s="783" t="str">
        <f t="shared" si="1"/>
        <v/>
      </c>
      <c r="U35" s="784" t="str">
        <f>IFERROR(INDEX(V!$R:$R,MATCH(V35,V!$L:$L,0)),"")</f>
        <v/>
      </c>
      <c r="V35" s="783" t="str">
        <f t="shared" si="2"/>
        <v/>
      </c>
      <c r="W35" s="784" t="str">
        <f>IFERROR(INDEX(V!$R:$R,MATCH(X35,V!$L:$L,0)),"")</f>
        <v/>
      </c>
      <c r="X35" s="785" t="str">
        <f t="shared" si="3"/>
        <v/>
      </c>
      <c r="Y35" s="784" t="str">
        <f>IFERROR(INDEX(V!$R:$R,MATCH(Z35,V!$L:$L,0)),"")</f>
        <v/>
      </c>
      <c r="Z35" s="785" t="str">
        <f t="shared" si="4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0"/>
        <v>0</v>
      </c>
      <c r="S36" s="784" t="str">
        <f>IFERROR(INDEX(V!$R:$R,MATCH(T36,V!$L:$L,0)),"")</f>
        <v/>
      </c>
      <c r="T36" s="783" t="str">
        <f t="shared" si="1"/>
        <v/>
      </c>
      <c r="U36" s="784" t="str">
        <f>IFERROR(INDEX(V!$R:$R,MATCH(V36,V!$L:$L,0)),"")</f>
        <v/>
      </c>
      <c r="V36" s="783" t="str">
        <f t="shared" si="2"/>
        <v/>
      </c>
      <c r="W36" s="784" t="str">
        <f>IFERROR(INDEX(V!$R:$R,MATCH(X36,V!$L:$L,0)),"")</f>
        <v/>
      </c>
      <c r="X36" s="785" t="str">
        <f t="shared" si="3"/>
        <v/>
      </c>
      <c r="Y36" s="784" t="str">
        <f>IFERROR(INDEX(V!$R:$R,MATCH(Z36,V!$L:$L,0)),"")</f>
        <v/>
      </c>
      <c r="Z36" s="785" t="str">
        <f t="shared" si="4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0"/>
        <v>0</v>
      </c>
      <c r="S37" s="784" t="str">
        <f>IFERROR(INDEX(V!$R:$R,MATCH(T37,V!$L:$L,0)),"")</f>
        <v/>
      </c>
      <c r="T37" s="783" t="str">
        <f t="shared" si="1"/>
        <v/>
      </c>
      <c r="U37" s="784" t="str">
        <f>IFERROR(INDEX(V!$R:$R,MATCH(V37,V!$L:$L,0)),"")</f>
        <v/>
      </c>
      <c r="V37" s="783" t="str">
        <f t="shared" si="2"/>
        <v/>
      </c>
      <c r="W37" s="784" t="str">
        <f>IFERROR(INDEX(V!$R:$R,MATCH(X37,V!$L:$L,0)),"")</f>
        <v/>
      </c>
      <c r="X37" s="785" t="str">
        <f t="shared" si="3"/>
        <v/>
      </c>
      <c r="Y37" s="784" t="str">
        <f>IFERROR(INDEX(V!$R:$R,MATCH(Z37,V!$L:$L,0)),"")</f>
        <v/>
      </c>
      <c r="Z37" s="785" t="str">
        <f t="shared" si="4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0"/>
        <v>0</v>
      </c>
      <c r="S38" s="784" t="str">
        <f>IFERROR(INDEX(V!$R:$R,MATCH(T38,V!$L:$L,0)),"")</f>
        <v/>
      </c>
      <c r="T38" s="783" t="str">
        <f t="shared" si="1"/>
        <v/>
      </c>
      <c r="U38" s="784" t="str">
        <f>IFERROR(INDEX(V!$R:$R,MATCH(V38,V!$L:$L,0)),"")</f>
        <v/>
      </c>
      <c r="V38" s="783" t="str">
        <f t="shared" si="2"/>
        <v/>
      </c>
      <c r="W38" s="784" t="str">
        <f>IFERROR(INDEX(V!$R:$R,MATCH(X38,V!$L:$L,0)),"")</f>
        <v/>
      </c>
      <c r="X38" s="785" t="str">
        <f t="shared" si="3"/>
        <v/>
      </c>
      <c r="Y38" s="784" t="str">
        <f>IFERROR(INDEX(V!$R:$R,MATCH(Z38,V!$L:$L,0)),"")</f>
        <v/>
      </c>
      <c r="Z38" s="785" t="str">
        <f t="shared" si="4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ref="R39:R60" si="15">SUM(S39:AB39)</f>
        <v>0</v>
      </c>
      <c r="S39" s="784" t="str">
        <f>IFERROR(INDEX(V!$R:$R,MATCH(T39,V!$L:$L,0)),"")</f>
        <v/>
      </c>
      <c r="T39" s="783" t="str">
        <f t="shared" si="1"/>
        <v/>
      </c>
      <c r="U39" s="784" t="str">
        <f>IFERROR(INDEX(V!$R:$R,MATCH(V39,V!$L:$L,0)),"")</f>
        <v/>
      </c>
      <c r="V39" s="783" t="str">
        <f t="shared" si="2"/>
        <v/>
      </c>
      <c r="W39" s="784" t="str">
        <f>IFERROR(INDEX(V!$R:$R,MATCH(X39,V!$L:$L,0)),"")</f>
        <v/>
      </c>
      <c r="X39" s="785" t="str">
        <f t="shared" si="3"/>
        <v/>
      </c>
      <c r="Y39" s="784" t="str">
        <f>IFERROR(INDEX(V!$R:$R,MATCH(Z39,V!$L:$L,0)),"")</f>
        <v/>
      </c>
      <c r="Z39" s="785" t="str">
        <f t="shared" si="4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si="15"/>
        <v>0</v>
      </c>
      <c r="S40" s="784" t="str">
        <f>IFERROR(INDEX(V!$R:$R,MATCH(T40,V!$L:$L,0)),"")</f>
        <v/>
      </c>
      <c r="T40" s="783" t="str">
        <f t="shared" si="1"/>
        <v/>
      </c>
      <c r="U40" s="784" t="str">
        <f>IFERROR(INDEX(V!$R:$R,MATCH(V40,V!$L:$L,0)),"")</f>
        <v/>
      </c>
      <c r="V40" s="783" t="str">
        <f t="shared" si="2"/>
        <v/>
      </c>
      <c r="W40" s="784" t="str">
        <f>IFERROR(INDEX(V!$R:$R,MATCH(X40,V!$L:$L,0)),"")</f>
        <v/>
      </c>
      <c r="X40" s="785" t="str">
        <f t="shared" si="3"/>
        <v/>
      </c>
      <c r="Y40" s="784" t="str">
        <f>IFERROR(INDEX(V!$R:$R,MATCH(Z40,V!$L:$L,0)),"")</f>
        <v/>
      </c>
      <c r="Z40" s="785" t="str">
        <f t="shared" si="4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1"/>
        <v/>
      </c>
      <c r="U41" s="784" t="str">
        <f>IFERROR(INDEX(V!$R:$R,MATCH(V41,V!$L:$L,0)),"")</f>
        <v/>
      </c>
      <c r="V41" s="783" t="str">
        <f t="shared" si="2"/>
        <v/>
      </c>
      <c r="W41" s="784" t="str">
        <f>IFERROR(INDEX(V!$R:$R,MATCH(X41,V!$L:$L,0)),"")</f>
        <v/>
      </c>
      <c r="X41" s="785" t="str">
        <f t="shared" si="3"/>
        <v/>
      </c>
      <c r="Y41" s="784" t="str">
        <f>IFERROR(INDEX(V!$R:$R,MATCH(Z41,V!$L:$L,0)),"")</f>
        <v/>
      </c>
      <c r="Z41" s="785" t="str">
        <f t="shared" si="4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1"/>
        <v/>
      </c>
      <c r="U42" s="784" t="str">
        <f>IFERROR(INDEX(V!$R:$R,MATCH(V42,V!$L:$L,0)),"")</f>
        <v/>
      </c>
      <c r="V42" s="783" t="str">
        <f t="shared" si="2"/>
        <v/>
      </c>
      <c r="W42" s="784" t="str">
        <f>IFERROR(INDEX(V!$R:$R,MATCH(X42,V!$L:$L,0)),"")</f>
        <v/>
      </c>
      <c r="X42" s="785" t="str">
        <f t="shared" si="3"/>
        <v/>
      </c>
      <c r="Y42" s="784" t="str">
        <f>IFERROR(INDEX(V!$R:$R,MATCH(Z42,V!$L:$L,0)),"")</f>
        <v/>
      </c>
      <c r="Z42" s="785" t="str">
        <f t="shared" si="4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1"/>
        <v/>
      </c>
      <c r="U43" s="784" t="str">
        <f>IFERROR(INDEX(V!$R:$R,MATCH(V43,V!$L:$L,0)),"")</f>
        <v/>
      </c>
      <c r="V43" s="783" t="str">
        <f t="shared" si="2"/>
        <v/>
      </c>
      <c r="W43" s="784" t="str">
        <f>IFERROR(INDEX(V!$R:$R,MATCH(X43,V!$L:$L,0)),"")</f>
        <v/>
      </c>
      <c r="X43" s="785" t="str">
        <f t="shared" si="3"/>
        <v/>
      </c>
      <c r="Y43" s="784" t="str">
        <f>IFERROR(INDEX(V!$R:$R,MATCH(Z43,V!$L:$L,0)),"")</f>
        <v/>
      </c>
      <c r="Z43" s="785" t="str">
        <f t="shared" si="4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1"/>
        <v/>
      </c>
      <c r="U44" s="784" t="str">
        <f>IFERROR(INDEX(V!$R:$R,MATCH(V44,V!$L:$L,0)),"")</f>
        <v/>
      </c>
      <c r="V44" s="783" t="str">
        <f t="shared" si="2"/>
        <v/>
      </c>
      <c r="W44" s="784" t="str">
        <f>IFERROR(INDEX(V!$R:$R,MATCH(X44,V!$L:$L,0)),"")</f>
        <v/>
      </c>
      <c r="X44" s="785" t="str">
        <f t="shared" si="3"/>
        <v/>
      </c>
      <c r="Y44" s="784" t="str">
        <f>IFERROR(INDEX(V!$R:$R,MATCH(Z44,V!$L:$L,0)),"")</f>
        <v/>
      </c>
      <c r="Z44" s="785" t="str">
        <f t="shared" si="4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1"/>
        <v/>
      </c>
      <c r="U45" s="784" t="str">
        <f>IFERROR(INDEX(V!$R:$R,MATCH(V45,V!$L:$L,0)),"")</f>
        <v/>
      </c>
      <c r="V45" s="783" t="str">
        <f t="shared" si="2"/>
        <v/>
      </c>
      <c r="W45" s="784" t="str">
        <f>IFERROR(INDEX(V!$R:$R,MATCH(X45,V!$L:$L,0)),"")</f>
        <v/>
      </c>
      <c r="X45" s="785" t="str">
        <f t="shared" si="3"/>
        <v/>
      </c>
      <c r="Y45" s="784" t="str">
        <f>IFERROR(INDEX(V!$R:$R,MATCH(Z45,V!$L:$L,0)),"")</f>
        <v/>
      </c>
      <c r="Z45" s="785" t="str">
        <f t="shared" si="4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1"/>
        <v/>
      </c>
      <c r="U46" s="784" t="str">
        <f>IFERROR(INDEX(V!$R:$R,MATCH(V46,V!$L:$L,0)),"")</f>
        <v/>
      </c>
      <c r="V46" s="783" t="str">
        <f t="shared" si="2"/>
        <v/>
      </c>
      <c r="W46" s="784" t="str">
        <f>IFERROR(INDEX(V!$R:$R,MATCH(X46,V!$L:$L,0)),"")</f>
        <v/>
      </c>
      <c r="X46" s="785" t="str">
        <f t="shared" si="3"/>
        <v/>
      </c>
      <c r="Y46" s="784" t="str">
        <f>IFERROR(INDEX(V!$R:$R,MATCH(Z46,V!$L:$L,0)),"")</f>
        <v/>
      </c>
      <c r="Z46" s="785" t="str">
        <f t="shared" si="4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1"/>
        <v/>
      </c>
      <c r="U47" s="784" t="str">
        <f>IFERROR(INDEX(V!$R:$R,MATCH(V47,V!$L:$L,0)),"")</f>
        <v/>
      </c>
      <c r="V47" s="783" t="str">
        <f t="shared" si="2"/>
        <v/>
      </c>
      <c r="W47" s="784" t="str">
        <f>IFERROR(INDEX(V!$R:$R,MATCH(X47,V!$L:$L,0)),"")</f>
        <v/>
      </c>
      <c r="X47" s="785" t="str">
        <f t="shared" si="3"/>
        <v/>
      </c>
      <c r="Y47" s="784" t="str">
        <f>IFERROR(INDEX(V!$R:$R,MATCH(Z47,V!$L:$L,0)),"")</f>
        <v/>
      </c>
      <c r="Z47" s="785" t="str">
        <f t="shared" si="4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1"/>
        <v/>
      </c>
      <c r="U48" s="784" t="str">
        <f>IFERROR(INDEX(V!$R:$R,MATCH(V48,V!$L:$L,0)),"")</f>
        <v/>
      </c>
      <c r="V48" s="783" t="str">
        <f t="shared" si="2"/>
        <v/>
      </c>
      <c r="W48" s="784" t="str">
        <f>IFERROR(INDEX(V!$R:$R,MATCH(X48,V!$L:$L,0)),"")</f>
        <v/>
      </c>
      <c r="X48" s="785" t="str">
        <f t="shared" si="3"/>
        <v/>
      </c>
      <c r="Y48" s="784" t="str">
        <f>IFERROR(INDEX(V!$R:$R,MATCH(Z48,V!$L:$L,0)),"")</f>
        <v/>
      </c>
      <c r="Z48" s="785" t="str">
        <f t="shared" si="4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1"/>
        <v/>
      </c>
      <c r="U49" s="784" t="str">
        <f>IFERROR(INDEX(V!$R:$R,MATCH(V49,V!$L:$L,0)),"")</f>
        <v/>
      </c>
      <c r="V49" s="783" t="str">
        <f t="shared" si="2"/>
        <v/>
      </c>
      <c r="W49" s="784" t="str">
        <f>IFERROR(INDEX(V!$R:$R,MATCH(X49,V!$L:$L,0)),"")</f>
        <v/>
      </c>
      <c r="X49" s="785" t="str">
        <f t="shared" si="3"/>
        <v/>
      </c>
      <c r="Y49" s="784" t="str">
        <f>IFERROR(INDEX(V!$R:$R,MATCH(Z49,V!$L:$L,0)),"")</f>
        <v/>
      </c>
      <c r="Z49" s="785" t="str">
        <f t="shared" si="4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1"/>
        <v/>
      </c>
      <c r="U50" s="784" t="str">
        <f>IFERROR(INDEX(V!$R:$R,MATCH(V50,V!$L:$L,0)),"")</f>
        <v/>
      </c>
      <c r="V50" s="783" t="str">
        <f t="shared" si="2"/>
        <v/>
      </c>
      <c r="W50" s="784" t="str">
        <f>IFERROR(INDEX(V!$R:$R,MATCH(X50,V!$L:$L,0)),"")</f>
        <v/>
      </c>
      <c r="X50" s="785" t="str">
        <f t="shared" si="3"/>
        <v/>
      </c>
      <c r="Y50" s="784" t="str">
        <f>IFERROR(INDEX(V!$R:$R,MATCH(Z50,V!$L:$L,0)),"")</f>
        <v/>
      </c>
      <c r="Z50" s="785" t="str">
        <f t="shared" si="4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1"/>
        <v/>
      </c>
      <c r="U51" s="784" t="str">
        <f>IFERROR(INDEX(V!$R:$R,MATCH(V51,V!$L:$L,0)),"")</f>
        <v/>
      </c>
      <c r="V51" s="783" t="str">
        <f t="shared" si="2"/>
        <v/>
      </c>
      <c r="W51" s="784" t="str">
        <f>IFERROR(INDEX(V!$R:$R,MATCH(X51,V!$L:$L,0)),"")</f>
        <v/>
      </c>
      <c r="X51" s="785" t="str">
        <f t="shared" si="3"/>
        <v/>
      </c>
      <c r="Y51" s="784" t="str">
        <f>IFERROR(INDEX(V!$R:$R,MATCH(Z51,V!$L:$L,0)),"")</f>
        <v/>
      </c>
      <c r="Z51" s="785" t="str">
        <f t="shared" si="4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1"/>
        <v/>
      </c>
      <c r="U52" s="784" t="str">
        <f>IFERROR(INDEX(V!$R:$R,MATCH(V52,V!$L:$L,0)),"")</f>
        <v/>
      </c>
      <c r="V52" s="783" t="str">
        <f t="shared" si="2"/>
        <v/>
      </c>
      <c r="W52" s="784" t="str">
        <f>IFERROR(INDEX(V!$R:$R,MATCH(X52,V!$L:$L,0)),"")</f>
        <v/>
      </c>
      <c r="X52" s="785" t="str">
        <f t="shared" si="3"/>
        <v/>
      </c>
      <c r="Y52" s="784" t="str">
        <f>IFERROR(INDEX(V!$R:$R,MATCH(Z52,V!$L:$L,0)),"")</f>
        <v/>
      </c>
      <c r="Z52" s="785" t="str">
        <f t="shared" si="4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1"/>
        <v/>
      </c>
      <c r="U53" s="784" t="str">
        <f>IFERROR(INDEX(V!$R:$R,MATCH(V53,V!$L:$L,0)),"")</f>
        <v/>
      </c>
      <c r="V53" s="783" t="str">
        <f t="shared" si="2"/>
        <v/>
      </c>
      <c r="W53" s="784" t="str">
        <f>IFERROR(INDEX(V!$R:$R,MATCH(X53,V!$L:$L,0)),"")</f>
        <v/>
      </c>
      <c r="X53" s="785" t="str">
        <f t="shared" si="3"/>
        <v/>
      </c>
      <c r="Y53" s="784" t="str">
        <f>IFERROR(INDEX(V!$R:$R,MATCH(Z53,V!$L:$L,0)),"")</f>
        <v/>
      </c>
      <c r="Z53" s="785" t="str">
        <f t="shared" si="4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1"/>
        <v/>
      </c>
      <c r="U54" s="784" t="str">
        <f>IFERROR(INDEX(V!$R:$R,MATCH(V54,V!$L:$L,0)),"")</f>
        <v/>
      </c>
      <c r="V54" s="783" t="str">
        <f t="shared" si="2"/>
        <v/>
      </c>
      <c r="W54" s="784" t="str">
        <f>IFERROR(INDEX(V!$R:$R,MATCH(X54,V!$L:$L,0)),"")</f>
        <v/>
      </c>
      <c r="X54" s="785" t="str">
        <f t="shared" si="3"/>
        <v/>
      </c>
      <c r="Y54" s="784" t="str">
        <f>IFERROR(INDEX(V!$R:$R,MATCH(Z54,V!$L:$L,0)),"")</f>
        <v/>
      </c>
      <c r="Z54" s="785" t="str">
        <f t="shared" si="4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1"/>
        <v/>
      </c>
      <c r="U55" s="784" t="str">
        <f>IFERROR(INDEX(V!$R:$R,MATCH(V55,V!$L:$L,0)),"")</f>
        <v/>
      </c>
      <c r="V55" s="783" t="str">
        <f t="shared" si="2"/>
        <v/>
      </c>
      <c r="W55" s="784" t="str">
        <f>IFERROR(INDEX(V!$R:$R,MATCH(X55,V!$L:$L,0)),"")</f>
        <v/>
      </c>
      <c r="X55" s="785" t="str">
        <f t="shared" si="3"/>
        <v/>
      </c>
      <c r="Y55" s="784" t="str">
        <f>IFERROR(INDEX(V!$R:$R,MATCH(Z55,V!$L:$L,0)),"")</f>
        <v/>
      </c>
      <c r="Z55" s="785" t="str">
        <f t="shared" si="4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1"/>
        <v/>
      </c>
      <c r="U56" s="784" t="str">
        <f>IFERROR(INDEX(V!$R:$R,MATCH(V56,V!$L:$L,0)),"")</f>
        <v/>
      </c>
      <c r="V56" s="783" t="str">
        <f t="shared" si="2"/>
        <v/>
      </c>
      <c r="W56" s="784" t="str">
        <f>IFERROR(INDEX(V!$R:$R,MATCH(X56,V!$L:$L,0)),"")</f>
        <v/>
      </c>
      <c r="X56" s="785" t="str">
        <f t="shared" si="3"/>
        <v/>
      </c>
      <c r="Y56" s="784" t="str">
        <f>IFERROR(INDEX(V!$R:$R,MATCH(Z56,V!$L:$L,0)),"")</f>
        <v/>
      </c>
      <c r="Z56" s="785" t="str">
        <f t="shared" si="4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1"/>
        <v/>
      </c>
      <c r="U57" s="784" t="str">
        <f>IFERROR(INDEX(V!$R:$R,MATCH(V57,V!$L:$L,0)),"")</f>
        <v/>
      </c>
      <c r="V57" s="783" t="str">
        <f t="shared" si="2"/>
        <v/>
      </c>
      <c r="W57" s="784" t="str">
        <f>IFERROR(INDEX(V!$R:$R,MATCH(X57,V!$L:$L,0)),"")</f>
        <v/>
      </c>
      <c r="X57" s="785" t="str">
        <f t="shared" si="3"/>
        <v/>
      </c>
      <c r="Y57" s="784" t="str">
        <f>IFERROR(INDEX(V!$R:$R,MATCH(Z57,V!$L:$L,0)),"")</f>
        <v/>
      </c>
      <c r="Z57" s="785" t="str">
        <f t="shared" si="4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1"/>
        <v/>
      </c>
      <c r="U58" s="784" t="str">
        <f>IFERROR(INDEX(V!$R:$R,MATCH(V58,V!$L:$L,0)),"")</f>
        <v/>
      </c>
      <c r="V58" s="783" t="str">
        <f t="shared" si="2"/>
        <v/>
      </c>
      <c r="W58" s="784" t="str">
        <f>IFERROR(INDEX(V!$R:$R,MATCH(X58,V!$L:$L,0)),"")</f>
        <v/>
      </c>
      <c r="X58" s="785" t="str">
        <f t="shared" si="3"/>
        <v/>
      </c>
      <c r="Y58" s="784" t="str">
        <f>IFERROR(INDEX(V!$R:$R,MATCH(Z58,V!$L:$L,0)),"")</f>
        <v/>
      </c>
      <c r="Z58" s="785" t="str">
        <f t="shared" si="4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1"/>
        <v/>
      </c>
      <c r="U59" s="784" t="str">
        <f>IFERROR(INDEX(V!$R:$R,MATCH(V59,V!$L:$L,0)),"")</f>
        <v/>
      </c>
      <c r="V59" s="783" t="str">
        <f t="shared" si="2"/>
        <v/>
      </c>
      <c r="W59" s="784" t="str">
        <f>IFERROR(INDEX(V!$R:$R,MATCH(X59,V!$L:$L,0)),"")</f>
        <v/>
      </c>
      <c r="X59" s="785" t="str">
        <f t="shared" si="3"/>
        <v/>
      </c>
      <c r="Y59" s="784" t="str">
        <f>IFERROR(INDEX(V!$R:$R,MATCH(Z59,V!$L:$L,0)),"")</f>
        <v/>
      </c>
      <c r="Z59" s="785" t="str">
        <f t="shared" si="4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1"/>
        <v/>
      </c>
      <c r="U60" s="784" t="str">
        <f>IFERROR(INDEX(V!$R:$R,MATCH(V60,V!$L:$L,0)),"")</f>
        <v/>
      </c>
      <c r="V60" s="783" t="str">
        <f t="shared" si="2"/>
        <v/>
      </c>
      <c r="W60" s="784" t="str">
        <f>IFERROR(INDEX(V!$R:$R,MATCH(X60,V!$L:$L,0)),"")</f>
        <v/>
      </c>
      <c r="X60" s="785" t="str">
        <f t="shared" si="3"/>
        <v/>
      </c>
      <c r="Y60" s="784" t="str">
        <f>IFERROR(INDEX(V!$R:$R,MATCH(Z60,V!$L:$L,0)),"")</f>
        <v/>
      </c>
      <c r="Z60" s="785" t="str">
        <f t="shared" si="4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Jaan Sepp, Oskar Sepp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Jaan Sepp, Oskar Sepp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Karla Purgats, Lemmit Toomra</v>
      </c>
      <c r="C104" s="856">
        <v>3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Jaan Sepp, Oskar Sepp</v>
      </c>
      <c r="F105" s="755"/>
      <c r="G105" s="851">
        <v>11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Kenneth Muusikus, Kristiin-Marleen Neiland</v>
      </c>
      <c r="C106" s="851">
        <v>13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Kenneth Muusikus, Kristiin-Marleen Neiland</v>
      </c>
      <c r="D107" s="860"/>
      <c r="E107" s="851">
        <v>11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Kaspar Mänd, Reimo Lõhmus</v>
      </c>
      <c r="C108" s="856">
        <v>7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Ivar Viljaste, Sirje Viljaste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414</v>
      </c>
      <c r="B110" s="850" t="str">
        <f>IF(A110="-","-",IFERROR(INDEX(B$1:B$100,MATCH(A110,I$1:I$100,0)),""))</f>
        <v>Peep Peenema, Ülo Piik</v>
      </c>
      <c r="C110" s="851">
        <v>12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Illar Tõnurist, Jaan Saar</v>
      </c>
      <c r="D111" s="755"/>
      <c r="E111" s="851">
        <v>5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415</v>
      </c>
      <c r="B112" s="855" t="str">
        <f>IF(A112="-","-",IFERROR(INDEX(B$1:B$100,MATCH(A112,I$1:I$100,0)),""))</f>
        <v>Illar Tõnurist, Jaan Saar</v>
      </c>
      <c r="C112" s="856">
        <v>13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Ivar Viljaste, Sirje Viljaste</v>
      </c>
      <c r="F113" s="860"/>
      <c r="G113" s="851">
        <v>13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417</v>
      </c>
      <c r="B114" s="850" t="str">
        <f>IF(A114="-","-",IFERROR(INDEX(B$1:B$100,MATCH(A114,I$1:I$100,0)),""))</f>
        <v>Mait Metsla, Matti Vinni</v>
      </c>
      <c r="C114" s="851">
        <v>12</v>
      </c>
      <c r="D114" s="858"/>
      <c r="E114" s="859"/>
      <c r="F114" s="807"/>
      <c r="G114" s="807"/>
      <c r="H114" s="951" t="str">
        <f>IF(COUNT(G105,G113)=2,IF(G105&lt;G113,E105,E113),"")</f>
        <v>Jaan Sepp, Oskar Sepp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Ivar Viljaste, Sirje Viljaste</v>
      </c>
      <c r="D115" s="860"/>
      <c r="E115" s="962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416</v>
      </c>
      <c r="B116" s="855" t="str">
        <f>IF(A116="-","-",IFERROR(INDEX(B$1:B$100,MATCH(A116,I$1:I$100,0)),""))</f>
        <v>Ivar Viljaste, Sirje Viljaste</v>
      </c>
      <c r="C116" s="856">
        <v>13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Kenneth Muusikus, Kristiin-Marleen Neiland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Kenneth Muusikus, Kristiin-Marleen Neiland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Illar Tõnurist, Jaan Saar</v>
      </c>
      <c r="F119" s="860"/>
      <c r="G119" s="856">
        <v>4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Illar Tõnurist, Jaan Saar</v>
      </c>
      <c r="I121" s="938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Karla Purgats, Lemmit Toomra</v>
      </c>
      <c r="D123" s="755"/>
      <c r="E123" s="851">
        <v>11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Kaspar Mänd, Reimo Lõhmus</v>
      </c>
      <c r="F124" s="755"/>
      <c r="G124" s="851">
        <v>3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Kaspar Mänd, Reimo Lõhmus</v>
      </c>
      <c r="D125" s="868"/>
      <c r="E125" s="856">
        <v>13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951" t="str">
        <f>IF(COUNT(G124,G128)=2,IF(G124&gt;G128,E124,E128),"")</f>
        <v>Mait Metsla, Matti Vinni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Peep Peenema, Ülo Piik</v>
      </c>
      <c r="D127" s="851"/>
      <c r="E127" s="851">
        <v>11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Mait Metsla, Matti Vinni</v>
      </c>
      <c r="F128" s="860"/>
      <c r="G128" s="856">
        <v>13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Mait Metsla, Matti Vinni</v>
      </c>
      <c r="D129" s="868"/>
      <c r="E129" s="856">
        <v>13</v>
      </c>
      <c r="F129" s="851"/>
      <c r="G129" s="869"/>
      <c r="H129" s="951" t="str">
        <f>IF(COUNT(G124,G128)=2,IF(G124&lt;G128,E124,E128),"")</f>
        <v>Kaspar Mänd, Reimo Lõhmus</v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Karla Purgats, Lemmit Toomra</v>
      </c>
      <c r="F131" s="755"/>
      <c r="G131" s="851">
        <v>13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>Karla Purgats, Lemmit Toomra</v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Peep Peenema, Ülo Piik</v>
      </c>
      <c r="F133" s="860"/>
      <c r="G133" s="856">
        <v>6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>Peep Peenema, Ülo Piik</v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Enn Tokman, Tarmo Bombe</v>
      </c>
      <c r="C140" s="851">
        <v>13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Enn Tokman, Tarmo Bombe</v>
      </c>
      <c r="D141" s="755"/>
      <c r="E141" s="851">
        <v>2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440</v>
      </c>
      <c r="B142" s="855" t="str">
        <f>IF(A142="-","-",IFERROR(INDEX(B$1:B$100,MATCH(A142,I$1:I$100,0)),""))</f>
        <v>Ksenija Matšneva, Veroonika Mendes</v>
      </c>
      <c r="C142" s="856">
        <v>11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Klavdia Piik, Vladimir Ogneštšikov</v>
      </c>
      <c r="F143" s="755"/>
      <c r="G143" s="962">
        <v>6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425</v>
      </c>
      <c r="B144" s="850" t="str">
        <f>IF(A144="-","-",IFERROR(INDEX(B$1:B$100,MATCH(A144,I$1:I$100,0)),""))</f>
        <v>Klavdia Piik, Vladimir Ogneštšikov</v>
      </c>
      <c r="C144" s="851">
        <f>IF(B144="-",0,IF(B146="-",13,""))</f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Klavdia Piik, Vladimir Ogneštšikov</v>
      </c>
      <c r="D145" s="860"/>
      <c r="E145" s="851">
        <v>13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429</v>
      </c>
      <c r="B146" s="855" t="s">
        <v>424</v>
      </c>
      <c r="C146" s="856">
        <f>IF(B146="-",0,IF(B144="-",13,""))</f>
        <v>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Elmo Lageda, Tõnu Piik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427</v>
      </c>
      <c r="B148" s="850" t="str">
        <f>IF(A148="-","-",IFERROR(INDEX(B$1:B$100,MATCH(A148,I$1:I$100,0)),""))</f>
        <v>Andres Veski, Svetlana Veski</v>
      </c>
      <c r="C148" s="851">
        <f>IF(B148="-",0,IF(B150="-",13,""))</f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Andres Veski, Svetlana Veski</v>
      </c>
      <c r="D149" s="755"/>
      <c r="E149" s="851">
        <v>4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507</v>
      </c>
      <c r="B150" s="855" t="s">
        <v>424</v>
      </c>
      <c r="C150" s="856">
        <f>IF(B150="-",0,IF(B148="-",13,""))</f>
        <v>0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Elmo Lageda, Tõnu Piik</v>
      </c>
      <c r="F151" s="860"/>
      <c r="G151" s="851">
        <v>13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423</v>
      </c>
      <c r="B152" s="850" t="str">
        <f>IF(A152="-","-",IFERROR(INDEX(B$1:B$100,MATCH(A152,I$1:I$100,0)),""))</f>
        <v>Elmo Lageda, Tõnu Piik</v>
      </c>
      <c r="C152" s="851">
        <v>13</v>
      </c>
      <c r="D152" s="858"/>
      <c r="E152" s="859"/>
      <c r="F152" s="807"/>
      <c r="G152" s="807"/>
      <c r="H152" s="951" t="str">
        <f>IF(COUNT(G143,G151)=2,IF(G143&lt;G151,E143,E151),"")</f>
        <v>Klavdia Piik, Vladimir Ogneštšikov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Elmo Lageda, Tõnu Piik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422</v>
      </c>
      <c r="B154" s="855" t="str">
        <f>IF(A154="-","-",IFERROR(INDEX(B$1:B$100,MATCH(A154,I$1:I$100,0)),""))</f>
        <v>Janek Tarto, Meelis Luud</v>
      </c>
      <c r="C154" s="856">
        <v>0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Enn Tokman, Tarmo Bombe</v>
      </c>
      <c r="F155" s="755"/>
      <c r="G155" s="851">
        <v>3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Andres Veski, Svetlana Veski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Andres Veski, Svetlana Veski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Enn Tokman, Tarmo Bombe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Ksenija Matšneva, Veroonika Mendes</v>
      </c>
      <c r="D161" s="755"/>
      <c r="E161" s="851">
        <f>IF(C161="-",0,IF(C163="-",13,""))</f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Ksenija Matšneva, Veroonika Mendes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-</v>
      </c>
      <c r="D163" s="868"/>
      <c r="E163" s="856">
        <f>IF(C163="-",0,IF(C161="-",13,""))</f>
        <v>0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>Ksenija Matšneva, Veroonika Mendes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-</v>
      </c>
      <c r="D165" s="851"/>
      <c r="E165" s="851">
        <f>IF(C165="-",0,IF(C167="-",13,""))</f>
        <v>0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Janek Tarto, Meelis Luud</v>
      </c>
      <c r="F166" s="860"/>
      <c r="G166" s="963">
        <v>1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Janek Tarto, Meelis Luud</v>
      </c>
      <c r="D167" s="868"/>
      <c r="E167" s="856">
        <f>IF(C167="-",0,IF(C165="-",13,""))</f>
        <v>13</v>
      </c>
      <c r="F167" s="851"/>
      <c r="G167" s="869"/>
      <c r="H167" s="951" t="str">
        <f>IF(COUNT(G162,G166)=2,IF(G162&lt;G166,E162,E166),"")</f>
        <v>Janek Tarto, Meelis Luud</v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>-</v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810"/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>-</v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 t="s">
        <v>232</v>
      </c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3" si="22">IFERROR(INDEX(H$100:H$300,MATCH(A300&amp;". koht",H$101:H$301,0)),"")</f>
        <v>Ivar Viljaste, Sirje Viljaste</v>
      </c>
      <c r="C300" s="755">
        <f>IF(16-A300&gt;0,16-A300,1)</f>
        <v>15</v>
      </c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Jaan Sepp, Oskar Sepp</v>
      </c>
      <c r="C301" s="755">
        <f t="shared" ref="C301:C313" si="23">IF(16-A301&gt;0,16-A301,1)</f>
        <v>14</v>
      </c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Kenneth Muusikus, Kristiin-Marleen Neiland</v>
      </c>
      <c r="C302" s="755">
        <f t="shared" si="23"/>
        <v>13</v>
      </c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Illar Tõnurist, Jaan Saar</v>
      </c>
      <c r="C303" s="755">
        <f t="shared" si="23"/>
        <v>12</v>
      </c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Mait Metsla, Matti Vinni</v>
      </c>
      <c r="C304" s="755">
        <f t="shared" si="23"/>
        <v>11</v>
      </c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Kaspar Mänd, Reimo Lõhmus</v>
      </c>
      <c r="C305" s="755">
        <f t="shared" si="23"/>
        <v>10</v>
      </c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75">
        <v>7</v>
      </c>
      <c r="B306" s="816" t="str">
        <f t="shared" si="22"/>
        <v>Karla Purgats, Lemmit Toomra</v>
      </c>
      <c r="C306" s="755">
        <f t="shared" si="23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Peep Peenema, Ülo Piik</v>
      </c>
      <c r="C307" s="755">
        <f t="shared" si="23"/>
        <v>8</v>
      </c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Elmo Lageda, Tõnu Piik</v>
      </c>
      <c r="C308" s="755">
        <f t="shared" si="23"/>
        <v>7</v>
      </c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Klavdia Piik, Vladimir Ogneštšikov</v>
      </c>
      <c r="C309" s="755">
        <f t="shared" si="23"/>
        <v>6</v>
      </c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x14ac:dyDescent="0.2">
      <c r="A310" s="875">
        <v>11</v>
      </c>
      <c r="B310" s="816" t="str">
        <f t="shared" si="22"/>
        <v>Andres Veski, Svetlana Veski</v>
      </c>
      <c r="C310" s="755">
        <f t="shared" si="23"/>
        <v>5</v>
      </c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Enn Tokman, Tarmo Bombe</v>
      </c>
      <c r="C311" s="755">
        <f t="shared" si="23"/>
        <v>4</v>
      </c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Ksenija Matšneva, Veroonika Mendes</v>
      </c>
      <c r="C312" s="755">
        <f t="shared" si="23"/>
        <v>3</v>
      </c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875">
        <v>14</v>
      </c>
      <c r="B313" s="816" t="str">
        <f t="shared" si="22"/>
        <v>Janek Tarto, Meelis Luud</v>
      </c>
      <c r="C313" s="755">
        <f t="shared" si="23"/>
        <v>2</v>
      </c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  <row r="314" spans="1:27" x14ac:dyDescent="0.2">
      <c r="A314" s="755"/>
      <c r="B314" s="754"/>
      <c r="C314" s="755"/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</row>
  </sheetData>
  <conditionalFormatting sqref="B313">
    <cfRule type="containsBlanks" dxfId="2152" priority="263">
      <formula>LEN(TRIM(B313))=0</formula>
    </cfRule>
    <cfRule type="duplicateValues" dxfId="2151" priority="264"/>
  </conditionalFormatting>
  <conditionalFormatting sqref="I56:I60">
    <cfRule type="expression" dxfId="2150" priority="102">
      <formula>FIND(2,I56,1)</formula>
    </cfRule>
    <cfRule type="expression" dxfId="2149" priority="103">
      <formula>FIND(1,I56,1)</formula>
    </cfRule>
  </conditionalFormatting>
  <conditionalFormatting sqref="A102:A116">
    <cfRule type="cellIs" dxfId="2148" priority="256" operator="equal">
      <formula>"-"</formula>
    </cfRule>
    <cfRule type="duplicateValues" dxfId="2147" priority="257"/>
  </conditionalFormatting>
  <conditionalFormatting sqref="A140:A154">
    <cfRule type="cellIs" dxfId="2146" priority="254" operator="equal">
      <formula>"-"</formula>
    </cfRule>
    <cfRule type="duplicateValues" dxfId="2145" priority="255"/>
  </conditionalFormatting>
  <conditionalFormatting sqref="D7 C8">
    <cfRule type="aboveAverage" dxfId="2144" priority="253"/>
  </conditionalFormatting>
  <conditionalFormatting sqref="E7 C9">
    <cfRule type="aboveAverage" dxfId="2143" priority="252"/>
  </conditionalFormatting>
  <conditionalFormatting sqref="F7 C10">
    <cfRule type="aboveAverage" dxfId="2142" priority="251"/>
  </conditionalFormatting>
  <conditionalFormatting sqref="E8 D9">
    <cfRule type="aboveAverage" dxfId="2141" priority="250"/>
  </conditionalFormatting>
  <conditionalFormatting sqref="G7 C11">
    <cfRule type="aboveAverage" dxfId="2140" priority="249"/>
  </conditionalFormatting>
  <conditionalFormatting sqref="F8 D10">
    <cfRule type="aboveAverage" dxfId="2139" priority="248"/>
  </conditionalFormatting>
  <conditionalFormatting sqref="G8 D11">
    <cfRule type="aboveAverage" dxfId="2138" priority="247"/>
  </conditionalFormatting>
  <conditionalFormatting sqref="F9 E10">
    <cfRule type="aboveAverage" dxfId="2137" priority="246"/>
  </conditionalFormatting>
  <conditionalFormatting sqref="G9 E11">
    <cfRule type="aboveAverage" dxfId="2136" priority="245"/>
  </conditionalFormatting>
  <conditionalFormatting sqref="F11 G10">
    <cfRule type="aboveAverage" dxfId="2135" priority="244"/>
  </conditionalFormatting>
  <conditionalFormatting sqref="K14:K18">
    <cfRule type="expression" dxfId="2134" priority="236">
      <formula>AND(J14=3,IF(COUNTIF(J$14:J$18,"=3")&gt;=2,TRUE))</formula>
    </cfRule>
    <cfRule type="expression" dxfId="2133" priority="242">
      <formula>AND(J14=1,IF(COUNTIF(J$14:J$18,"=1")&gt;=2,TRUE))</formula>
    </cfRule>
    <cfRule type="expression" dxfId="2132" priority="243">
      <formula>AND(J14=2,IF(COUNTIF(J$14:J$18,"=2")&gt;=2,TRUE))</formula>
    </cfRule>
  </conditionalFormatting>
  <conditionalFormatting sqref="K21:K25">
    <cfRule type="expression" dxfId="2131" priority="235">
      <formula>AND(J21=3,IF(COUNTIF(J$21:J$25,"=3")&gt;=2,TRUE))</formula>
    </cfRule>
    <cfRule type="expression" dxfId="2130" priority="240">
      <formula>AND(J21=1,IF(COUNTIF(J$21:J$25,"=1")&gt;=2,TRUE))</formula>
    </cfRule>
    <cfRule type="expression" dxfId="2129" priority="241">
      <formula>AND(J21=2,IF(COUNTIF(J$21:J$25,"=2")&gt;=2,TRUE))</formula>
    </cfRule>
  </conditionalFormatting>
  <conditionalFormatting sqref="K7:K11">
    <cfRule type="expression" dxfId="2128" priority="237">
      <formula>AND(J7=3,IF(COUNTIF(J$7:J$11,"=3")&gt;=2,TRUE))</formula>
    </cfRule>
    <cfRule type="expression" dxfId="2127" priority="238">
      <formula>AND(J7=1,IF(COUNTIF(J$7:J$11,"=1")&gt;=2,TRUE))</formula>
    </cfRule>
    <cfRule type="expression" dxfId="2126" priority="239">
      <formula>AND(J7=2,IF(COUNTIF(J$7:J$11,"=2")&gt;=2,TRUE))</formula>
    </cfRule>
  </conditionalFormatting>
  <conditionalFormatting sqref="H7:H11">
    <cfRule type="expression" dxfId="2125" priority="226">
      <formula>AND(J7=1,IF(COUNTIF(J$7:J$11,"=1")&gt;=2,TRUE))</formula>
    </cfRule>
    <cfRule type="expression" dxfId="2124" priority="233">
      <formula>AND(J7=3,IF(COUNTIF(J$7:J$11,"=3")&gt;=2,TRUE))</formula>
    </cfRule>
    <cfRule type="expression" dxfId="2123" priority="234">
      <formula>AND(J7=2,IF(COUNTIF(J$7:J$11,"=2")&gt;=2,TRUE))</formula>
    </cfRule>
  </conditionalFormatting>
  <conditionalFormatting sqref="H17:H18">
    <cfRule type="expression" dxfId="2122" priority="227">
      <formula>AND(J17=1,IF(COUNTIF(J$14:J$18,"=1")&gt;=2,TRUE))</formula>
    </cfRule>
    <cfRule type="expression" dxfId="2121" priority="231">
      <formula>AND(J17=3,IF(COUNTIF(J$14:J$18,"=3")&gt;=2,TRUE))</formula>
    </cfRule>
    <cfRule type="expression" dxfId="2120" priority="232">
      <formula>AND(J17=2,IF(COUNTIF(J$14:J$18,"=2")&gt;=2,TRUE))</formula>
    </cfRule>
  </conditionalFormatting>
  <conditionalFormatting sqref="H21:H25">
    <cfRule type="expression" dxfId="2119" priority="228">
      <formula>AND(J21=1,IF(COUNTIF(J$21:J$25,"=1")&gt;=2,TRUE))</formula>
    </cfRule>
    <cfRule type="expression" dxfId="2118" priority="229">
      <formula>AND(J21=3,IF(COUNTIF(J$21:J$25,"=3")&gt;=2,TRUE))</formula>
    </cfRule>
    <cfRule type="expression" dxfId="2117" priority="230">
      <formula>AND(J21=2,IF(COUNTIF(J$21:J$25,"=2")&gt;=2,TRUE))</formula>
    </cfRule>
  </conditionalFormatting>
  <conditionalFormatting sqref="C69 C73:C74">
    <cfRule type="aboveAverage" dxfId="2116" priority="225"/>
  </conditionalFormatting>
  <conditionalFormatting sqref="D69 D73:D74">
    <cfRule type="aboveAverage" dxfId="2115" priority="224"/>
  </conditionalFormatting>
  <conditionalFormatting sqref="K28:K32">
    <cfRule type="expression" dxfId="2114" priority="221">
      <formula>AND(J28=3,IF(COUNTIF(J$28:J$32,"=3")&gt;=2,TRUE))</formula>
    </cfRule>
    <cfRule type="expression" dxfId="2113" priority="222">
      <formula>AND(J28=1,IF(COUNTIF(J$28:J$32,"=1")&gt;=2,TRUE))</formula>
    </cfRule>
    <cfRule type="expression" dxfId="2112" priority="223">
      <formula>AND(J28=2,IF(COUNTIF(J$28:J$32,"=2")&gt;=2,TRUE))</formula>
    </cfRule>
  </conditionalFormatting>
  <conditionalFormatting sqref="H28:H32">
    <cfRule type="expression" dxfId="2111" priority="218">
      <formula>AND(J28=1,IF(COUNTIF(J$28:J$32,"=1")&gt;=2,TRUE))</formula>
    </cfRule>
    <cfRule type="expression" dxfId="2110" priority="219">
      <formula>AND(J28=3,IF(COUNTIF(J$28:J$32,"=3")&gt;=2,TRUE))</formula>
    </cfRule>
    <cfRule type="expression" dxfId="2109" priority="220">
      <formula>AND(J28=2,IF(COUNTIF(J$28:J$32,"=2")&gt;=2,TRUE))</formula>
    </cfRule>
  </conditionalFormatting>
  <conditionalFormatting sqref="D14 C15">
    <cfRule type="aboveAverage" dxfId="2108" priority="217"/>
  </conditionalFormatting>
  <conditionalFormatting sqref="E14 C16">
    <cfRule type="aboveAverage" dxfId="2107" priority="216"/>
  </conditionalFormatting>
  <conditionalFormatting sqref="F14 C17">
    <cfRule type="aboveAverage" dxfId="2106" priority="215"/>
  </conditionalFormatting>
  <conditionalFormatting sqref="E15 D16">
    <cfRule type="aboveAverage" dxfId="2105" priority="214"/>
  </conditionalFormatting>
  <conditionalFormatting sqref="G14 C18">
    <cfRule type="aboveAverage" dxfId="2104" priority="213"/>
  </conditionalFormatting>
  <conditionalFormatting sqref="F15 D17">
    <cfRule type="aboveAverage" dxfId="2103" priority="212"/>
  </conditionalFormatting>
  <conditionalFormatting sqref="G15 D18">
    <cfRule type="aboveAverage" dxfId="2102" priority="211"/>
  </conditionalFormatting>
  <conditionalFormatting sqref="F16 E17">
    <cfRule type="aboveAverage" dxfId="2101" priority="210"/>
  </conditionalFormatting>
  <conditionalFormatting sqref="G16 E18">
    <cfRule type="aboveAverage" dxfId="2100" priority="209"/>
  </conditionalFormatting>
  <conditionalFormatting sqref="F18 G17">
    <cfRule type="aboveAverage" dxfId="2099" priority="208"/>
  </conditionalFormatting>
  <conditionalFormatting sqref="D21 C22">
    <cfRule type="aboveAverage" dxfId="2098" priority="207"/>
  </conditionalFormatting>
  <conditionalFormatting sqref="E21 C23">
    <cfRule type="aboveAverage" dxfId="2097" priority="206"/>
  </conditionalFormatting>
  <conditionalFormatting sqref="F21 C24">
    <cfRule type="aboveAverage" dxfId="2096" priority="205"/>
  </conditionalFormatting>
  <conditionalFormatting sqref="E22 D23">
    <cfRule type="aboveAverage" dxfId="2095" priority="204"/>
  </conditionalFormatting>
  <conditionalFormatting sqref="G21 C25">
    <cfRule type="aboveAverage" dxfId="2094" priority="203"/>
  </conditionalFormatting>
  <conditionalFormatting sqref="F22 D24">
    <cfRule type="aboveAverage" dxfId="2093" priority="202"/>
  </conditionalFormatting>
  <conditionalFormatting sqref="G22 D25">
    <cfRule type="aboveAverage" dxfId="2092" priority="201"/>
  </conditionalFormatting>
  <conditionalFormatting sqref="F23 E24">
    <cfRule type="aboveAverage" dxfId="2091" priority="200"/>
  </conditionalFormatting>
  <conditionalFormatting sqref="G23 E25">
    <cfRule type="aboveAverage" dxfId="2090" priority="199"/>
  </conditionalFormatting>
  <conditionalFormatting sqref="F25 G24">
    <cfRule type="aboveAverage" dxfId="2089" priority="198"/>
  </conditionalFormatting>
  <conditionalFormatting sqref="D28 C29">
    <cfRule type="aboveAverage" dxfId="2088" priority="197"/>
  </conditionalFormatting>
  <conditionalFormatting sqref="E28 C30">
    <cfRule type="aboveAverage" dxfId="2087" priority="196"/>
  </conditionalFormatting>
  <conditionalFormatting sqref="F28 C31">
    <cfRule type="aboveAverage" dxfId="2086" priority="195"/>
  </conditionalFormatting>
  <conditionalFormatting sqref="E29 D30">
    <cfRule type="aboveAverage" dxfId="2085" priority="194"/>
  </conditionalFormatting>
  <conditionalFormatting sqref="G28 C32">
    <cfRule type="aboveAverage" dxfId="2084" priority="193"/>
  </conditionalFormatting>
  <conditionalFormatting sqref="F29 D31">
    <cfRule type="aboveAverage" dxfId="2083" priority="192"/>
  </conditionalFormatting>
  <conditionalFormatting sqref="G29 D32">
    <cfRule type="aboveAverage" dxfId="2082" priority="191"/>
  </conditionalFormatting>
  <conditionalFormatting sqref="F30 E31">
    <cfRule type="aboveAverage" dxfId="2081" priority="190"/>
  </conditionalFormatting>
  <conditionalFormatting sqref="G30 E32">
    <cfRule type="aboveAverage" dxfId="2080" priority="189"/>
  </conditionalFormatting>
  <conditionalFormatting sqref="F32 G31">
    <cfRule type="aboveAverage" dxfId="2079" priority="188"/>
  </conditionalFormatting>
  <conditionalFormatting sqref="D35 C36">
    <cfRule type="aboveAverage" dxfId="2078" priority="186"/>
  </conditionalFormatting>
  <conditionalFormatting sqref="E35 C37">
    <cfRule type="aboveAverage" dxfId="2077" priority="185"/>
  </conditionalFormatting>
  <conditionalFormatting sqref="F35 C38">
    <cfRule type="aboveAverage" dxfId="2076" priority="184"/>
  </conditionalFormatting>
  <conditionalFormatting sqref="E36 D37">
    <cfRule type="aboveAverage" dxfId="2075" priority="183"/>
  </conditionalFormatting>
  <conditionalFormatting sqref="G35 C39">
    <cfRule type="aboveAverage" dxfId="2074" priority="182"/>
  </conditionalFormatting>
  <conditionalFormatting sqref="F36 D38">
    <cfRule type="aboveAverage" dxfId="2073" priority="181"/>
  </conditionalFormatting>
  <conditionalFormatting sqref="G36 D39">
    <cfRule type="aboveAverage" dxfId="2072" priority="180"/>
  </conditionalFormatting>
  <conditionalFormatting sqref="F37 E38">
    <cfRule type="aboveAverage" dxfId="2071" priority="179"/>
  </conditionalFormatting>
  <conditionalFormatting sqref="G37 E39">
    <cfRule type="aboveAverage" dxfId="2070" priority="178"/>
  </conditionalFormatting>
  <conditionalFormatting sqref="F39 G38">
    <cfRule type="aboveAverage" dxfId="2069" priority="177"/>
  </conditionalFormatting>
  <conditionalFormatting sqref="K42:K46">
    <cfRule type="expression" dxfId="2068" priority="169">
      <formula>AND(J42=3,IF(COUNTIF(J$14:J$18,"=3")&gt;=2,TRUE))</formula>
    </cfRule>
    <cfRule type="expression" dxfId="2067" priority="175">
      <formula>AND(J42=1,IF(COUNTIF(J$14:J$18,"=1")&gt;=2,TRUE))</formula>
    </cfRule>
    <cfRule type="expression" dxfId="2066" priority="176">
      <formula>AND(J42=2,IF(COUNTIF(J$14:J$18,"=2")&gt;=2,TRUE))</formula>
    </cfRule>
  </conditionalFormatting>
  <conditionalFormatting sqref="K49:K53">
    <cfRule type="expression" dxfId="2065" priority="168">
      <formula>AND(J49=3,IF(COUNTIF(J$21:J$25,"=3")&gt;=2,TRUE))</formula>
    </cfRule>
    <cfRule type="expression" dxfId="2064" priority="173">
      <formula>AND(J49=1,IF(COUNTIF(J$21:J$25,"=1")&gt;=2,TRUE))</formula>
    </cfRule>
    <cfRule type="expression" dxfId="2063" priority="174">
      <formula>AND(J49=2,IF(COUNTIF(J$21:J$25,"=2")&gt;=2,TRUE))</formula>
    </cfRule>
  </conditionalFormatting>
  <conditionalFormatting sqref="K35:K39">
    <cfRule type="expression" dxfId="2062" priority="170">
      <formula>AND(J35=3,IF(COUNTIF(J$7:J$11,"=3")&gt;=2,TRUE))</formula>
    </cfRule>
    <cfRule type="expression" dxfId="2061" priority="171">
      <formula>AND(J35=1,IF(COUNTIF(J$7:J$11,"=1")&gt;=2,TRUE))</formula>
    </cfRule>
    <cfRule type="expression" dxfId="2060" priority="172">
      <formula>AND(J35=2,IF(COUNTIF(J$7:J$11,"=2")&gt;=2,TRUE))</formula>
    </cfRule>
  </conditionalFormatting>
  <conditionalFormatting sqref="H35:H39">
    <cfRule type="expression" dxfId="2059" priority="159">
      <formula>AND(J35=1,IF(COUNTIF(J$7:J$11,"=1")&gt;=2,TRUE))</formula>
    </cfRule>
    <cfRule type="expression" dxfId="2058" priority="166">
      <formula>AND(J35=3,IF(COUNTIF(J$7:J$11,"=3")&gt;=2,TRUE))</formula>
    </cfRule>
    <cfRule type="expression" dxfId="2057" priority="167">
      <formula>AND(J35=2,IF(COUNTIF(J$7:J$11,"=2")&gt;=2,TRUE))</formula>
    </cfRule>
  </conditionalFormatting>
  <conditionalFormatting sqref="H42:H46">
    <cfRule type="expression" dxfId="2056" priority="160">
      <formula>AND(J42=1,IF(COUNTIF(J$14:J$18,"=1")&gt;=2,TRUE))</formula>
    </cfRule>
    <cfRule type="expression" dxfId="2055" priority="164">
      <formula>AND(J42=3,IF(COUNTIF(J$14:J$18,"=3")&gt;=2,TRUE))</formula>
    </cfRule>
    <cfRule type="expression" dxfId="2054" priority="165">
      <formula>AND(J42=2,IF(COUNTIF(J$14:J$18,"=2")&gt;=2,TRUE))</formula>
    </cfRule>
  </conditionalFormatting>
  <conditionalFormatting sqref="H49:H53">
    <cfRule type="expression" dxfId="2053" priority="161">
      <formula>AND(J49=1,IF(COUNTIF(J$21:J$25,"=1")&gt;=2,TRUE))</formula>
    </cfRule>
    <cfRule type="expression" dxfId="2052" priority="162">
      <formula>AND(J49=3,IF(COUNTIF(J$21:J$25,"=3")&gt;=2,TRUE))</formula>
    </cfRule>
    <cfRule type="expression" dxfId="2051" priority="163">
      <formula>AND(J49=2,IF(COUNTIF(J$21:J$25,"=2")&gt;=2,TRUE))</formula>
    </cfRule>
  </conditionalFormatting>
  <conditionalFormatting sqref="K56:K60">
    <cfRule type="expression" dxfId="2050" priority="156">
      <formula>AND(J56=3,IF(COUNTIF(J$28:J$32,"=3")&gt;=2,TRUE))</formula>
    </cfRule>
    <cfRule type="expression" dxfId="2049" priority="157">
      <formula>AND(J56=1,IF(COUNTIF(J$28:J$32,"=1")&gt;=2,TRUE))</formula>
    </cfRule>
    <cfRule type="expression" dxfId="2048" priority="158">
      <formula>AND(J56=2,IF(COUNTIF(J$28:J$32,"=2")&gt;=2,TRUE))</formula>
    </cfRule>
  </conditionalFormatting>
  <conditionalFormatting sqref="H56:H60">
    <cfRule type="expression" dxfId="2047" priority="153">
      <formula>AND(J56=1,IF(COUNTIF(J$28:J$32,"=1")&gt;=2,TRUE))</formula>
    </cfRule>
    <cfRule type="expression" dxfId="2046" priority="154">
      <formula>AND(J56=3,IF(COUNTIF(J$28:J$32,"=3")&gt;=2,TRUE))</formula>
    </cfRule>
    <cfRule type="expression" dxfId="2045" priority="155">
      <formula>AND(J56=2,IF(COUNTIF(J$28:J$32,"=2")&gt;=2,TRUE))</formula>
    </cfRule>
  </conditionalFormatting>
  <conditionalFormatting sqref="B37">
    <cfRule type="duplicateValues" dxfId="2044" priority="187"/>
  </conditionalFormatting>
  <conditionalFormatting sqref="D42 C43">
    <cfRule type="aboveAverage" dxfId="2043" priority="151"/>
  </conditionalFormatting>
  <conditionalFormatting sqref="E42 C44">
    <cfRule type="aboveAverage" dxfId="2042" priority="150"/>
  </conditionalFormatting>
  <conditionalFormatting sqref="F42 C45">
    <cfRule type="aboveAverage" dxfId="2041" priority="149"/>
  </conditionalFormatting>
  <conditionalFormatting sqref="E43 D44">
    <cfRule type="aboveAverage" dxfId="2040" priority="148"/>
  </conditionalFormatting>
  <conditionalFormatting sqref="G42 C46">
    <cfRule type="aboveAverage" dxfId="2039" priority="147"/>
  </conditionalFormatting>
  <conditionalFormatting sqref="F43 D45">
    <cfRule type="aboveAverage" dxfId="2038" priority="146"/>
  </conditionalFormatting>
  <conditionalFormatting sqref="G43 D46">
    <cfRule type="aboveAverage" dxfId="2037" priority="145"/>
  </conditionalFormatting>
  <conditionalFormatting sqref="F44 E45">
    <cfRule type="aboveAverage" dxfId="2036" priority="144"/>
  </conditionalFormatting>
  <conditionalFormatting sqref="G44 E46">
    <cfRule type="aboveAverage" dxfId="2035" priority="143"/>
  </conditionalFormatting>
  <conditionalFormatting sqref="F46 G45">
    <cfRule type="aboveAverage" dxfId="2034" priority="142"/>
  </conditionalFormatting>
  <conditionalFormatting sqref="B44">
    <cfRule type="duplicateValues" dxfId="2033" priority="152"/>
  </conditionalFormatting>
  <conditionalFormatting sqref="D49 C50">
    <cfRule type="aboveAverage" dxfId="2032" priority="140"/>
  </conditionalFormatting>
  <conditionalFormatting sqref="E49 C51">
    <cfRule type="aboveAverage" dxfId="2031" priority="139"/>
  </conditionalFormatting>
  <conditionalFormatting sqref="F49 C52">
    <cfRule type="aboveAverage" dxfId="2030" priority="138"/>
  </conditionalFormatting>
  <conditionalFormatting sqref="E50 D51">
    <cfRule type="aboveAverage" dxfId="2029" priority="137"/>
  </conditionalFormatting>
  <conditionalFormatting sqref="G49 C53">
    <cfRule type="aboveAverage" dxfId="2028" priority="136"/>
  </conditionalFormatting>
  <conditionalFormatting sqref="F50 D52">
    <cfRule type="aboveAverage" dxfId="2027" priority="135"/>
  </conditionalFormatting>
  <conditionalFormatting sqref="G50 D53">
    <cfRule type="aboveAverage" dxfId="2026" priority="134"/>
  </conditionalFormatting>
  <conditionalFormatting sqref="F51 E52">
    <cfRule type="aboveAverage" dxfId="2025" priority="133"/>
  </conditionalFormatting>
  <conditionalFormatting sqref="G51 E53">
    <cfRule type="aboveAverage" dxfId="2024" priority="132"/>
  </conditionalFormatting>
  <conditionalFormatting sqref="F53 G52">
    <cfRule type="aboveAverage" dxfId="2023" priority="131"/>
  </conditionalFormatting>
  <conditionalFormatting sqref="B51">
    <cfRule type="duplicateValues" dxfId="2022" priority="141"/>
  </conditionalFormatting>
  <conditionalFormatting sqref="D56 C57">
    <cfRule type="aboveAverage" dxfId="2021" priority="129"/>
  </conditionalFormatting>
  <conditionalFormatting sqref="E56 C58">
    <cfRule type="aboveAverage" dxfId="2020" priority="128"/>
  </conditionalFormatting>
  <conditionalFormatting sqref="F56 C59">
    <cfRule type="aboveAverage" dxfId="2019" priority="127"/>
  </conditionalFormatting>
  <conditionalFormatting sqref="E57 D58">
    <cfRule type="aboveAverage" dxfId="2018" priority="126"/>
  </conditionalFormatting>
  <conditionalFormatting sqref="G56 C60">
    <cfRule type="aboveAverage" dxfId="2017" priority="125"/>
  </conditionalFormatting>
  <conditionalFormatting sqref="F57 D59">
    <cfRule type="aboveAverage" dxfId="2016" priority="124"/>
  </conditionalFormatting>
  <conditionalFormatting sqref="G57 D60">
    <cfRule type="aboveAverage" dxfId="2015" priority="123"/>
  </conditionalFormatting>
  <conditionalFormatting sqref="F58 E59">
    <cfRule type="aboveAverage" dxfId="2014" priority="122"/>
  </conditionalFormatting>
  <conditionalFormatting sqref="G58 E60">
    <cfRule type="aboveAverage" dxfId="2013" priority="121"/>
  </conditionalFormatting>
  <conditionalFormatting sqref="F60 G59">
    <cfRule type="aboveAverage" dxfId="2012" priority="120"/>
  </conditionalFormatting>
  <conditionalFormatting sqref="B58">
    <cfRule type="duplicateValues" dxfId="2011" priority="130"/>
  </conditionalFormatting>
  <conditionalFormatting sqref="I10:I11">
    <cfRule type="expression" dxfId="2010" priority="118">
      <formula>FIND(2,I10,1)</formula>
    </cfRule>
    <cfRule type="expression" dxfId="2009" priority="119">
      <formula>FIND(1,I10,1)</formula>
    </cfRule>
  </conditionalFormatting>
  <conditionalFormatting sqref="I7:I9">
    <cfRule type="expression" dxfId="2008" priority="116">
      <formula>FIND(2,I7,1)</formula>
    </cfRule>
    <cfRule type="expression" dxfId="2007" priority="117">
      <formula>FIND(1,I7,1)</formula>
    </cfRule>
  </conditionalFormatting>
  <conditionalFormatting sqref="I28:I32">
    <cfRule type="expression" dxfId="2006" priority="112">
      <formula>FIND(2,I28,1)</formula>
    </cfRule>
    <cfRule type="expression" dxfId="2005" priority="113">
      <formula>FIND(1,I28,1)</formula>
    </cfRule>
  </conditionalFormatting>
  <conditionalFormatting sqref="I21:I25">
    <cfRule type="expression" dxfId="2004" priority="114">
      <formula>FIND(2,I21,1)</formula>
    </cfRule>
    <cfRule type="expression" dxfId="2003" priority="115">
      <formula>FIND(1,I21,1)</formula>
    </cfRule>
  </conditionalFormatting>
  <conditionalFormatting sqref="I38:I39">
    <cfRule type="expression" dxfId="2002" priority="110">
      <formula>FIND(2,I38,1)</formula>
    </cfRule>
    <cfRule type="expression" dxfId="2001" priority="111">
      <formula>FIND(1,I38,1)</formula>
    </cfRule>
  </conditionalFormatting>
  <conditionalFormatting sqref="I35:I37">
    <cfRule type="expression" dxfId="2000" priority="108">
      <formula>FIND(2,I35,1)</formula>
    </cfRule>
    <cfRule type="expression" dxfId="1999" priority="109">
      <formula>FIND(1,I35,1)</formula>
    </cfRule>
  </conditionalFormatting>
  <conditionalFormatting sqref="I42:I46">
    <cfRule type="expression" dxfId="1998" priority="106">
      <formula>FIND(2,I42,1)</formula>
    </cfRule>
    <cfRule type="expression" dxfId="1997" priority="107">
      <formula>FIND(1,I42,1)</formula>
    </cfRule>
  </conditionalFormatting>
  <conditionalFormatting sqref="I49:I53">
    <cfRule type="expression" dxfId="1996" priority="104">
      <formula>FIND(2,I49,1)</formula>
    </cfRule>
    <cfRule type="expression" dxfId="1995" priority="105">
      <formula>FIND(1,I49,1)</formula>
    </cfRule>
  </conditionalFormatting>
  <conditionalFormatting sqref="L15:L18">
    <cfRule type="expression" dxfId="1994" priority="96">
      <formula>OR(J15=0,J15=4)</formula>
    </cfRule>
    <cfRule type="expression" dxfId="1993" priority="100">
      <formula>AND(J15=1,IF(COUNTIF(J$14:J$18,"=1")=1,TRUE))</formula>
    </cfRule>
    <cfRule type="expression" dxfId="1992" priority="101">
      <formula>AND(J15=3,IF(COUNTIF(J$14:J$18,"=3")=1,TRUE))</formula>
    </cfRule>
  </conditionalFormatting>
  <conditionalFormatting sqref="L21:L25">
    <cfRule type="expression" dxfId="1991" priority="97">
      <formula>OR(J21=0,J21=4)</formula>
    </cfRule>
    <cfRule type="expression" dxfId="1990" priority="98">
      <formula>AND(J21=1,IF(COUNTIF(J$21:J$25,"=1")=1,TRUE))</formula>
    </cfRule>
    <cfRule type="expression" dxfId="1989" priority="99">
      <formula>AND(J21=3,IF(COUNTIF(J$21:J$25,"=3")=1,TRUE))</formula>
    </cfRule>
  </conditionalFormatting>
  <conditionalFormatting sqref="L7:L11">
    <cfRule type="expression" dxfId="1988" priority="93">
      <formula>OR(J7=0,J7=4)</formula>
    </cfRule>
    <cfRule type="expression" dxfId="1987" priority="94">
      <formula>AND(J7=1,IF(COUNTIF(J$7:J$11,"=1")=1,TRUE))</formula>
    </cfRule>
    <cfRule type="expression" dxfId="1986" priority="95">
      <formula>AND(J7=3,IF(COUNTIF(J$7:J$11,"=3")=1,TRUE))</formula>
    </cfRule>
  </conditionalFormatting>
  <conditionalFormatting sqref="L28:L32">
    <cfRule type="expression" dxfId="1985" priority="90">
      <formula>OR(J28=0,J28=4)</formula>
    </cfRule>
    <cfRule type="expression" dxfId="1984" priority="91">
      <formula>AND(J28=1,IF(COUNTIF(J$28:J$32,"=1")=1,TRUE))</formula>
    </cfRule>
    <cfRule type="expression" dxfId="1983" priority="92">
      <formula>AND(J28=3,IF(COUNTIF(J$28:J$32,"=3")=1,TRUE))</formula>
    </cfRule>
  </conditionalFormatting>
  <conditionalFormatting sqref="L43:L46">
    <cfRule type="expression" dxfId="1982" priority="84">
      <formula>OR(J43=0,J43=4)</formula>
    </cfRule>
    <cfRule type="expression" dxfId="1981" priority="88">
      <formula>AND(J43=1,IF(COUNTIF(J$14:J$18,"=1")=1,TRUE))</formula>
    </cfRule>
    <cfRule type="expression" dxfId="1980" priority="89">
      <formula>AND(J43=3,IF(COUNTIF(J$14:J$18,"=3")=1,TRUE))</formula>
    </cfRule>
  </conditionalFormatting>
  <conditionalFormatting sqref="L49:L53">
    <cfRule type="expression" dxfId="1979" priority="85">
      <formula>OR(J49=0,J49=4)</formula>
    </cfRule>
    <cfRule type="expression" dxfId="1978" priority="86">
      <formula>AND(J49=1,IF(COUNTIF(J$21:J$25,"=1")=1,TRUE))</formula>
    </cfRule>
    <cfRule type="expression" dxfId="1977" priority="87">
      <formula>AND(J49=3,IF(COUNTIF(J$21:J$25,"=3")=1,TRUE))</formula>
    </cfRule>
  </conditionalFormatting>
  <conditionalFormatting sqref="L35:L39">
    <cfRule type="expression" dxfId="1976" priority="81">
      <formula>OR(J35=0,J35=4)</formula>
    </cfRule>
    <cfRule type="expression" dxfId="1975" priority="82">
      <formula>AND(J35=1,IF(COUNTIF(J$7:J$11,"=1")=1,TRUE))</formula>
    </cfRule>
    <cfRule type="expression" dxfId="1974" priority="83">
      <formula>AND(J35=3,IF(COUNTIF(J$7:J$11,"=3")=1,TRUE))</formula>
    </cfRule>
  </conditionalFormatting>
  <conditionalFormatting sqref="L56:L60">
    <cfRule type="expression" dxfId="1973" priority="78">
      <formula>OR(J56=0,J56=4)</formula>
    </cfRule>
    <cfRule type="expression" dxfId="1972" priority="79">
      <formula>AND(J56=1,IF(COUNTIF(J$28:J$32,"=1")=1,TRUE))</formula>
    </cfRule>
    <cfRule type="expression" dxfId="1971" priority="80">
      <formula>AND(J56=3,IF(COUNTIF(J$28:J$32,"=3")=1,TRUE))</formula>
    </cfRule>
  </conditionalFormatting>
  <conditionalFormatting sqref="L42">
    <cfRule type="expression" dxfId="1970" priority="75">
      <formula>OR(J42=0,J42=4)</formula>
    </cfRule>
    <cfRule type="expression" dxfId="1969" priority="76">
      <formula>AND(J42=1,IF(COUNTIF(J$7:J$11,"=1")=1,TRUE))</formula>
    </cfRule>
    <cfRule type="expression" dxfId="1968" priority="77">
      <formula>AND(J42=3,IF(COUNTIF(J$7:J$11,"=3")=1,TRUE))</formula>
    </cfRule>
  </conditionalFormatting>
  <conditionalFormatting sqref="E123 E125">
    <cfRule type="aboveAverage" dxfId="1967" priority="74"/>
  </conditionalFormatting>
  <conditionalFormatting sqref="E127 E129">
    <cfRule type="aboveAverage" dxfId="1966" priority="73"/>
  </conditionalFormatting>
  <conditionalFormatting sqref="G124 G128">
    <cfRule type="aboveAverage" dxfId="1965" priority="72"/>
  </conditionalFormatting>
  <conditionalFormatting sqref="G131 G133">
    <cfRule type="aboveAverage" dxfId="1964" priority="71"/>
  </conditionalFormatting>
  <conditionalFormatting sqref="E123 E125 E127 E129 G124 G128 G131 G133">
    <cfRule type="containsBlanks" dxfId="1963" priority="70">
      <formula>LEN(TRIM(E123))=0</formula>
    </cfRule>
  </conditionalFormatting>
  <conditionalFormatting sqref="C102 C104">
    <cfRule type="aboveAverage" dxfId="1962" priority="69"/>
  </conditionalFormatting>
  <conditionalFormatting sqref="E103 E107">
    <cfRule type="aboveAverage" dxfId="1961" priority="68"/>
  </conditionalFormatting>
  <conditionalFormatting sqref="C110 C112">
    <cfRule type="aboveAverage" dxfId="1960" priority="67"/>
  </conditionalFormatting>
  <conditionalFormatting sqref="G105 G113">
    <cfRule type="aboveAverage" dxfId="1959" priority="66"/>
  </conditionalFormatting>
  <conditionalFormatting sqref="C102 C104 C110 C112 E103 G105 E107 G113">
    <cfRule type="containsBlanks" dxfId="1958" priority="65">
      <formula>LEN(TRIM(C102))=0</formula>
    </cfRule>
  </conditionalFormatting>
  <conditionalFormatting sqref="C106 C108">
    <cfRule type="aboveAverage" dxfId="1957" priority="64"/>
  </conditionalFormatting>
  <conditionalFormatting sqref="C106 C108">
    <cfRule type="containsBlanks" dxfId="1956" priority="63">
      <formula>LEN(TRIM(C106))=0</formula>
    </cfRule>
  </conditionalFormatting>
  <conditionalFormatting sqref="C114 C116">
    <cfRule type="aboveAverage" dxfId="1955" priority="62"/>
  </conditionalFormatting>
  <conditionalFormatting sqref="C114 C116">
    <cfRule type="containsBlanks" dxfId="1954" priority="61">
      <formula>LEN(TRIM(C114))=0</formula>
    </cfRule>
  </conditionalFormatting>
  <conditionalFormatting sqref="E103">
    <cfRule type="aboveAverage" dxfId="1953" priority="60"/>
  </conditionalFormatting>
  <conditionalFormatting sqref="E107">
    <cfRule type="aboveAverage" dxfId="1952" priority="59"/>
  </conditionalFormatting>
  <conditionalFormatting sqref="G105">
    <cfRule type="aboveAverage" dxfId="1951" priority="58"/>
  </conditionalFormatting>
  <conditionalFormatting sqref="G105">
    <cfRule type="aboveAverage" dxfId="1950" priority="57"/>
  </conditionalFormatting>
  <conditionalFormatting sqref="G113">
    <cfRule type="aboveAverage" dxfId="1949" priority="56"/>
  </conditionalFormatting>
  <conditionalFormatting sqref="G113">
    <cfRule type="aboveAverage" dxfId="1948" priority="55"/>
  </conditionalFormatting>
  <conditionalFormatting sqref="G117 G119">
    <cfRule type="aboveAverage" dxfId="1947" priority="54"/>
  </conditionalFormatting>
  <conditionalFormatting sqref="G117 G119">
    <cfRule type="containsBlanks" dxfId="1946" priority="53">
      <formula>LEN(TRIM(G117))=0</formula>
    </cfRule>
  </conditionalFormatting>
  <conditionalFormatting sqref="E107">
    <cfRule type="aboveAverage" dxfId="1945" priority="52"/>
  </conditionalFormatting>
  <conditionalFormatting sqref="E111 E115">
    <cfRule type="aboveAverage" dxfId="1944" priority="51"/>
  </conditionalFormatting>
  <conditionalFormatting sqref="E111 E115">
    <cfRule type="containsBlanks" dxfId="1943" priority="50">
      <formula>LEN(TRIM(E111))=0</formula>
    </cfRule>
  </conditionalFormatting>
  <conditionalFormatting sqref="E111">
    <cfRule type="aboveAverage" dxfId="1942" priority="49"/>
  </conditionalFormatting>
  <conditionalFormatting sqref="E115">
    <cfRule type="aboveAverage" dxfId="1941" priority="48"/>
  </conditionalFormatting>
  <conditionalFormatting sqref="E115">
    <cfRule type="aboveAverage" dxfId="1940" priority="47"/>
  </conditionalFormatting>
  <conditionalFormatting sqref="G113">
    <cfRule type="aboveAverage" dxfId="1939" priority="46"/>
  </conditionalFormatting>
  <conditionalFormatting sqref="G113">
    <cfRule type="aboveAverage" dxfId="1938" priority="45"/>
  </conditionalFormatting>
  <conditionalFormatting sqref="E161 E163">
    <cfRule type="aboveAverage" dxfId="1937" priority="44"/>
  </conditionalFormatting>
  <conditionalFormatting sqref="E165 E167">
    <cfRule type="aboveAverage" dxfId="1936" priority="43"/>
  </conditionalFormatting>
  <conditionalFormatting sqref="G162 G166">
    <cfRule type="aboveAverage" dxfId="1935" priority="42"/>
  </conditionalFormatting>
  <conditionalFormatting sqref="G169 G171">
    <cfRule type="aboveAverage" dxfId="1934" priority="41"/>
  </conditionalFormatting>
  <conditionalFormatting sqref="E161 E163 E165 E167 G162 G166 G169 G171">
    <cfRule type="containsBlanks" dxfId="1933" priority="40">
      <formula>LEN(TRIM(E161))=0</formula>
    </cfRule>
  </conditionalFormatting>
  <conditionalFormatting sqref="C140 C142">
    <cfRule type="aboveAverage" dxfId="1932" priority="39"/>
  </conditionalFormatting>
  <conditionalFormatting sqref="E141 E145">
    <cfRule type="aboveAverage" dxfId="1931" priority="38"/>
  </conditionalFormatting>
  <conditionalFormatting sqref="C148 C150">
    <cfRule type="aboveAverage" dxfId="1930" priority="37"/>
  </conditionalFormatting>
  <conditionalFormatting sqref="G143 G151">
    <cfRule type="aboveAverage" dxfId="1929" priority="36"/>
  </conditionalFormatting>
  <conditionalFormatting sqref="C140 C142 C148 C150 E141 G143 E145 G151">
    <cfRule type="containsBlanks" dxfId="1928" priority="35">
      <formula>LEN(TRIM(C140))=0</formula>
    </cfRule>
  </conditionalFormatting>
  <conditionalFormatting sqref="C144 C146">
    <cfRule type="aboveAverage" dxfId="1927" priority="34"/>
  </conditionalFormatting>
  <conditionalFormatting sqref="C144 C146">
    <cfRule type="containsBlanks" dxfId="1926" priority="33">
      <formula>LEN(TRIM(C144))=0</formula>
    </cfRule>
  </conditionalFormatting>
  <conditionalFormatting sqref="C152 C154">
    <cfRule type="aboveAverage" dxfId="1925" priority="32"/>
  </conditionalFormatting>
  <conditionalFormatting sqref="C152 C154">
    <cfRule type="containsBlanks" dxfId="1924" priority="31">
      <formula>LEN(TRIM(C152))=0</formula>
    </cfRule>
  </conditionalFormatting>
  <conditionalFormatting sqref="E141">
    <cfRule type="aboveAverage" dxfId="1923" priority="30"/>
  </conditionalFormatting>
  <conditionalFormatting sqref="E145">
    <cfRule type="aboveAverage" dxfId="1922" priority="29"/>
  </conditionalFormatting>
  <conditionalFormatting sqref="G143">
    <cfRule type="aboveAverage" dxfId="1921" priority="28"/>
  </conditionalFormatting>
  <conditionalFormatting sqref="G143">
    <cfRule type="aboveAverage" dxfId="1920" priority="27"/>
  </conditionalFormatting>
  <conditionalFormatting sqref="G151">
    <cfRule type="aboveAverage" dxfId="1919" priority="26"/>
  </conditionalFormatting>
  <conditionalFormatting sqref="G151">
    <cfRule type="aboveAverage" dxfId="1918" priority="25"/>
  </conditionalFormatting>
  <conditionalFormatting sqref="G155 G157">
    <cfRule type="aboveAverage" dxfId="1917" priority="24"/>
  </conditionalFormatting>
  <conditionalFormatting sqref="G155 G157">
    <cfRule type="containsBlanks" dxfId="1916" priority="23">
      <formula>LEN(TRIM(G155))=0</formula>
    </cfRule>
  </conditionalFormatting>
  <conditionalFormatting sqref="E145">
    <cfRule type="aboveAverage" dxfId="1915" priority="22"/>
  </conditionalFormatting>
  <conditionalFormatting sqref="E149 E153">
    <cfRule type="aboveAverage" dxfId="1914" priority="21"/>
  </conditionalFormatting>
  <conditionalFormatting sqref="E149 E153">
    <cfRule type="containsBlanks" dxfId="1913" priority="20">
      <formula>LEN(TRIM(E149))=0</formula>
    </cfRule>
  </conditionalFormatting>
  <conditionalFormatting sqref="E149">
    <cfRule type="aboveAverage" dxfId="1912" priority="19"/>
  </conditionalFormatting>
  <conditionalFormatting sqref="E153">
    <cfRule type="aboveAverage" dxfId="1911" priority="18"/>
  </conditionalFormatting>
  <conditionalFormatting sqref="E153">
    <cfRule type="aboveAverage" dxfId="1910" priority="17"/>
  </conditionalFormatting>
  <conditionalFormatting sqref="G151">
    <cfRule type="aboveAverage" dxfId="1909" priority="16"/>
  </conditionalFormatting>
  <conditionalFormatting sqref="G151">
    <cfRule type="aboveAverage" dxfId="1908" priority="15"/>
  </conditionalFormatting>
  <conditionalFormatting sqref="B301:B314">
    <cfRule type="containsBlanks" dxfId="1907" priority="261">
      <formula>LEN(TRIM(B301))=0</formula>
    </cfRule>
    <cfRule type="duplicateValues" dxfId="1906" priority="262"/>
  </conditionalFormatting>
  <conditionalFormatting sqref="B300:B314">
    <cfRule type="expression" dxfId="1905" priority="10">
      <formula>A300=3</formula>
    </cfRule>
    <cfRule type="expression" dxfId="1904" priority="11">
      <formula>A300=2</formula>
    </cfRule>
    <cfRule type="expression" dxfId="1903" priority="12">
      <formula>A300=1</formula>
    </cfRule>
    <cfRule type="containsBlanks" dxfId="1902" priority="13">
      <formula>LEN(TRIM(B300))=0</formula>
    </cfRule>
    <cfRule type="duplicateValues" dxfId="1901" priority="14"/>
  </conditionalFormatting>
  <conditionalFormatting sqref="L14">
    <cfRule type="expression" dxfId="1900" priority="8">
      <formula>OR(J14=0,J14=4)</formula>
    </cfRule>
    <cfRule type="expression" dxfId="1899" priority="9">
      <formula>AND(J14=3,IF(COUNTIF(J$7:J$11,"=3")=1,TRUE))</formula>
    </cfRule>
  </conditionalFormatting>
  <conditionalFormatting sqref="H14:H16">
    <cfRule type="expression" dxfId="1898" priority="5">
      <formula>AND(J14=1,IF(COUNTIF(J$7:J$11,"=1")&gt;=2,TRUE))</formula>
    </cfRule>
    <cfRule type="expression" dxfId="1897" priority="6">
      <formula>AND(J14=3,IF(COUNTIF(J$7:J$11,"=3")&gt;=2,TRUE))</formula>
    </cfRule>
    <cfRule type="expression" dxfId="1896" priority="7">
      <formula>AND(J14=2,IF(COUNTIF(J$7:J$11,"=2")&gt;=2,TRUE))</formula>
    </cfRule>
  </conditionalFormatting>
  <conditionalFormatting sqref="I17:I18">
    <cfRule type="expression" dxfId="1895" priority="3">
      <formula>FIND(2,I17,1)</formula>
    </cfRule>
    <cfRule type="expression" dxfId="1894" priority="4">
      <formula>FIND(1,I17,1)</formula>
    </cfRule>
  </conditionalFormatting>
  <conditionalFormatting sqref="I14:I16">
    <cfRule type="expression" dxfId="1893" priority="1">
      <formula>FIND(2,I14,1)</formula>
    </cfRule>
    <cfRule type="expression" dxfId="1892" priority="2">
      <formula>FIND(1,I14,1)</formula>
    </cfRule>
  </conditionalFormatting>
  <conditionalFormatting sqref="T7:T60 X7:X60 Z7:Z60">
    <cfRule type="expression" dxfId="1891" priority="291">
      <formula>AND(S7="",COUNTIF(T7,"*,*")=0)</formula>
    </cfRule>
  </conditionalFormatting>
  <conditionalFormatting sqref="V7:V60">
    <cfRule type="expression" dxfId="1890" priority="292">
      <formula>AND(U7="",FIND(",",V7))</formula>
    </cfRule>
    <cfRule type="expression" dxfId="1889" priority="293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3" manualBreakCount="3">
    <brk id="98" max="16383" man="1"/>
    <brk id="136" max="16383" man="1"/>
    <brk id="297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FF99"/>
    <pageSetUpPr fitToPage="1"/>
  </sheetPr>
  <dimension ref="A1:R313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23.8554687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6384" width="9.140625" style="1"/>
  </cols>
  <sheetData>
    <row r="1" spans="1:18" x14ac:dyDescent="0.2">
      <c r="A1" s="753" t="str">
        <f>UPPER((Kalend!E36)&amp;" - "&amp;(Kalend!C36)&amp;" - "&amp;(Kalend!D36))</f>
        <v>VI-Ü - VIRU SK 1. SISE-MV - ÜKSIK</v>
      </c>
      <c r="B1" s="754"/>
      <c r="C1" s="755"/>
      <c r="D1" s="755"/>
      <c r="E1" s="756" t="str">
        <f>HYPERLINK("#'Kalend'!I1","Kalender")</f>
        <v>Kalender</v>
      </c>
      <c r="F1" s="755"/>
      <c r="G1" s="756" t="str">
        <f>HYPERLINK("#'V'!AE1","Reiting")</f>
        <v>Reiting</v>
      </c>
      <c r="J1" s="622" t="s">
        <v>233</v>
      </c>
      <c r="K1" s="755"/>
      <c r="L1" s="755"/>
      <c r="M1" s="758"/>
      <c r="N1" s="755"/>
      <c r="O1" s="755"/>
      <c r="P1" s="755"/>
      <c r="Q1" s="755"/>
      <c r="R1" s="755"/>
    </row>
    <row r="2" spans="1:18" x14ac:dyDescent="0.2">
      <c r="A2" s="757" t="str">
        <f>"Toimumisaeg: "&amp;(Kalend!A36)&amp;" kell "&amp;(Kalend!B36)</f>
        <v>Toimumisaeg: P, 17.02.2019 kell 16:00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</row>
    <row r="3" spans="1:18" x14ac:dyDescent="0.2">
      <c r="A3" s="757" t="str">
        <f>"Toimumiskoht: "&amp;(Kalend!F36)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9" t="s">
        <v>357</v>
      </c>
      <c r="L3" s="757"/>
      <c r="M3" s="757"/>
      <c r="N3" s="757"/>
      <c r="O3" s="757"/>
      <c r="P3" s="757"/>
      <c r="Q3" s="757"/>
      <c r="R3" s="757"/>
    </row>
    <row r="4" spans="1:18" x14ac:dyDescent="0.2">
      <c r="A4" s="757" t="str">
        <f>"Korraldaja: "&amp;(Kalend!G36)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</row>
    <row r="5" spans="1:18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0"/>
    </row>
    <row r="6" spans="1:18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212"/>
    </row>
    <row r="7" spans="1:18" x14ac:dyDescent="0.2">
      <c r="A7" s="765">
        <v>1</v>
      </c>
      <c r="B7" s="940" t="s">
        <v>223</v>
      </c>
      <c r="C7" s="776"/>
      <c r="D7" s="778">
        <v>7</v>
      </c>
      <c r="E7" s="778">
        <v>13</v>
      </c>
      <c r="F7" s="778">
        <v>13</v>
      </c>
      <c r="G7" s="778">
        <v>13</v>
      </c>
      <c r="H7" s="796" t="str">
        <f>(IF(D7-C8&gt;0,1)+IF(E7-C9&gt;0,1)+IF(F7-C10&gt;0,1)+IF(G7-C11&gt;0,1))&amp;"-"&amp;(IF(D7-C8&lt;0,1)+IF(E7-C9&lt;0,1)+IF(F7-C10&lt;0,1)+IF(G7-C11&lt;0,1))</f>
        <v>3-1</v>
      </c>
      <c r="I7" s="778" t="str">
        <f>IF(AND(B7&lt;&gt;"",M$6=TRUE),A$6&amp;RANK(M7,M$7:M$11,0),"")</f>
        <v>A2</v>
      </c>
      <c r="J7" s="821">
        <f>VALUE(LEFT(H7,1))</f>
        <v>3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30000</v>
      </c>
      <c r="N7" s="212"/>
      <c r="O7" s="212"/>
      <c r="P7" s="212"/>
      <c r="Q7" s="212"/>
      <c r="R7" s="212"/>
    </row>
    <row r="8" spans="1:18" x14ac:dyDescent="0.2">
      <c r="A8" s="765">
        <v>2</v>
      </c>
      <c r="B8" s="775" t="s">
        <v>285</v>
      </c>
      <c r="C8" s="778">
        <v>13</v>
      </c>
      <c r="D8" s="776"/>
      <c r="E8" s="778">
        <v>13</v>
      </c>
      <c r="F8" s="778">
        <v>13</v>
      </c>
      <c r="G8" s="778">
        <v>13</v>
      </c>
      <c r="H8" s="796" t="str">
        <f>(IF(C8-D7&gt;0,1)+IF(E8-D9&gt;0,1)+IF(F8-D10&gt;0,1)+IF(G8-D11&gt;0,1))&amp;"-"&amp;(IF(C8-D7&lt;0,1)+IF(E8-D9&lt;0,1)+IF(F8-D10&lt;0,1)+IF(G8-D11&lt;0,1))</f>
        <v>4-0</v>
      </c>
      <c r="I8" s="778" t="str">
        <f>IF(AND(B8&lt;&gt;"",M$6=TRUE),A$6&amp;RANK(M8,M$7:M$11,0),"")</f>
        <v>A1</v>
      </c>
      <c r="J8" s="821">
        <f t="shared" ref="J8:J11" si="0">VALUE(LEFT(H8,1))</f>
        <v>4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1">10000*J8+K8*100+L8</f>
        <v>40000</v>
      </c>
      <c r="N8" s="212"/>
      <c r="O8" s="803"/>
      <c r="P8" s="212"/>
      <c r="Q8" s="212"/>
      <c r="R8" s="212"/>
    </row>
    <row r="9" spans="1:18" x14ac:dyDescent="0.2">
      <c r="A9" s="765">
        <v>3</v>
      </c>
      <c r="B9" s="775" t="s">
        <v>293</v>
      </c>
      <c r="C9" s="778">
        <v>9</v>
      </c>
      <c r="D9" s="787">
        <v>5</v>
      </c>
      <c r="E9" s="776"/>
      <c r="F9" s="778">
        <v>13</v>
      </c>
      <c r="G9" s="778">
        <v>13</v>
      </c>
      <c r="H9" s="796" t="str">
        <f>(IF(C9-E7&gt;0,1)+IF(D9-E8&gt;0,1)+IF(F9-E10&gt;0,1)+IF(G9-E11&gt;0,1))&amp;"-"&amp;(IF(C9-E7&lt;0,1)+IF(D9-E8&lt;0,1)+IF(F9-E10&lt;0,1)+IF(G9-E11&lt;0,1))</f>
        <v>2-2</v>
      </c>
      <c r="I9" s="778" t="str">
        <f>IF(AND(B9&lt;&gt;"",M$6=TRUE),A$6&amp;RANK(M9,M$7:M$11,0),"")</f>
        <v>A3</v>
      </c>
      <c r="J9" s="821">
        <f t="shared" si="0"/>
        <v>2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1"/>
        <v>20000</v>
      </c>
      <c r="N9" s="212"/>
      <c r="O9" s="212"/>
      <c r="P9" s="803"/>
      <c r="Q9" s="212"/>
      <c r="R9" s="212"/>
    </row>
    <row r="10" spans="1:18" x14ac:dyDescent="0.2">
      <c r="A10" s="765">
        <v>4</v>
      </c>
      <c r="B10" s="792" t="s">
        <v>308</v>
      </c>
      <c r="C10" s="778">
        <v>12</v>
      </c>
      <c r="D10" s="787">
        <v>1</v>
      </c>
      <c r="E10" s="778">
        <v>1</v>
      </c>
      <c r="F10" s="776"/>
      <c r="G10" s="779">
        <v>3</v>
      </c>
      <c r="H10" s="796" t="str">
        <f>(IF(C10-F7&gt;0,1)+IF(D10-F8&gt;0,1)+IF(E10-F9&gt;0,1)+IF(G10-F11&gt;0,1))&amp;"-"&amp;(IF(C10-F7&lt;0,1)+IF(D10-F8&lt;0,1)+IF(E10-F9&lt;0,1)+IF(G10-F11&lt;0,1))</f>
        <v>0-4</v>
      </c>
      <c r="I10" s="778" t="str">
        <f>IF(AND(B10&lt;&gt;"",M$6=TRUE),A$6&amp;RANK(M10,M$7:M$11,0),"")</f>
        <v>A5</v>
      </c>
      <c r="J10" s="821">
        <f t="shared" si="0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1"/>
        <v>0</v>
      </c>
      <c r="N10" s="212"/>
      <c r="O10" s="212"/>
      <c r="P10" s="212"/>
      <c r="Q10" s="212"/>
      <c r="R10" s="212"/>
    </row>
    <row r="11" spans="1:18" x14ac:dyDescent="0.2">
      <c r="A11" s="765">
        <v>5</v>
      </c>
      <c r="B11" s="792" t="s">
        <v>313</v>
      </c>
      <c r="C11" s="778">
        <v>10</v>
      </c>
      <c r="D11" s="778">
        <v>9</v>
      </c>
      <c r="E11" s="778">
        <v>8</v>
      </c>
      <c r="F11" s="778">
        <v>13</v>
      </c>
      <c r="G11" s="776"/>
      <c r="H11" s="796" t="str">
        <f>(IF(C11-G7&gt;0,1)+IF(D11-G8&gt;0,1)+IF(E11-G9&gt;0,1)+IF(F11-G10&gt;0,1))&amp;"-"&amp;(IF(C11-G7&lt;0,1)+IF(D11-G8&lt;0,1)+IF(E11-G9&lt;0,1)+IF(F11-G10&lt;0,1))</f>
        <v>1-3</v>
      </c>
      <c r="I11" s="778" t="str">
        <f>IF(AND(B11&lt;&gt;"",M$6=TRUE),A$6&amp;RANK(M11,M$7:M$11,0),"")</f>
        <v>A4</v>
      </c>
      <c r="J11" s="821">
        <f t="shared" si="0"/>
        <v>1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1"/>
        <v>10000</v>
      </c>
      <c r="O11" s="212"/>
      <c r="P11" s="212"/>
      <c r="Q11" s="212"/>
      <c r="R11" s="212"/>
    </row>
    <row r="12" spans="1:18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55"/>
    </row>
    <row r="13" spans="1:18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>
        <v>4</v>
      </c>
      <c r="G13" s="767">
        <v>5</v>
      </c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55"/>
    </row>
    <row r="14" spans="1:18" x14ac:dyDescent="0.2">
      <c r="A14" s="765">
        <v>1</v>
      </c>
      <c r="B14" s="948" t="s">
        <v>274</v>
      </c>
      <c r="C14" s="776"/>
      <c r="D14" s="778">
        <v>6</v>
      </c>
      <c r="E14" s="778">
        <v>7</v>
      </c>
      <c r="F14" s="788">
        <v>13</v>
      </c>
      <c r="G14" s="778">
        <v>13</v>
      </c>
      <c r="H14" s="789" t="str">
        <f>(IF(D14-C15&gt;0,1)+IF(E14-C16&gt;0,1)+IF(F14-C17&gt;0,1)+IF(G14-C18&gt;0,1))&amp;"-"&amp;(IF(D14-C15&lt;0,1)+IF(E14-C16&lt;0,1)+IF(F14-C17&lt;0,1)+IF(G14-C18&lt;0,1))</f>
        <v>2-2</v>
      </c>
      <c r="I14" s="778" t="str">
        <f>IF(AND(B14&lt;&gt;"",M$6=TRUE),A$13&amp;RANK(M14,M$14:M$18,0),"")</f>
        <v>B3</v>
      </c>
      <c r="J14" s="821">
        <f>VALUE(LEFT(H14,1))</f>
        <v>2</v>
      </c>
      <c r="K14" s="964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1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7</v>
      </c>
      <c r="M14" s="824">
        <f>10000*J14+K14*100+L14</f>
        <v>20107</v>
      </c>
      <c r="N14" s="950"/>
      <c r="O14" s="771"/>
      <c r="P14" s="770"/>
      <c r="Q14" s="770"/>
      <c r="R14" s="757"/>
    </row>
    <row r="15" spans="1:18" x14ac:dyDescent="0.2">
      <c r="A15" s="765">
        <v>2</v>
      </c>
      <c r="B15" s="940" t="s">
        <v>281</v>
      </c>
      <c r="C15" s="778">
        <v>13</v>
      </c>
      <c r="D15" s="776"/>
      <c r="E15" s="786">
        <v>13</v>
      </c>
      <c r="F15" s="778">
        <v>9</v>
      </c>
      <c r="G15" s="778">
        <v>13</v>
      </c>
      <c r="H15" s="780" t="str">
        <f>(IF(C15-D14&gt;0,1)+IF(E15-D16&gt;0,1)+IF(F15-D17&gt;0,1)+IF(G15-D18&gt;0,1))&amp;"-"&amp;(IF(C15-D14&lt;0,1)+IF(E15-D16&lt;0,1)+IF(F15-D17&lt;0,1)+IF(G15-D18&lt;0,1))</f>
        <v>3-1</v>
      </c>
      <c r="I15" s="778" t="str">
        <f>IF(AND(B15&lt;&gt;"",M$6=TRUE),A$13&amp;RANK(M15,M$14:M$18,0),"")</f>
        <v>B1</v>
      </c>
      <c r="J15" s="821">
        <f t="shared" ref="J15:J18" si="2">VALUE(LEFT(H15,1))</f>
        <v>3</v>
      </c>
      <c r="K15" s="96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1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11</v>
      </c>
      <c r="M15" s="824">
        <f t="shared" ref="M15:M18" si="3">10000*J15+K15*100+L15</f>
        <v>30111</v>
      </c>
      <c r="O15" s="771"/>
      <c r="P15" s="770"/>
      <c r="Q15" s="770"/>
      <c r="R15" s="757"/>
    </row>
    <row r="16" spans="1:18" x14ac:dyDescent="0.2">
      <c r="A16" s="765">
        <v>3</v>
      </c>
      <c r="B16" s="775" t="s">
        <v>290</v>
      </c>
      <c r="C16" s="778">
        <v>13</v>
      </c>
      <c r="D16" s="966">
        <v>2</v>
      </c>
      <c r="E16" s="776"/>
      <c r="F16" s="778">
        <v>13</v>
      </c>
      <c r="G16" s="778">
        <v>13</v>
      </c>
      <c r="H16" s="780" t="str">
        <f>(IF(C16-E14&gt;0,1)+IF(D16-E15&gt;0,1)+IF(F16-E17&gt;0,1)+IF(G16-E18&gt;0,1))&amp;"-"&amp;(IF(C16-E14&lt;0,1)+IF(D16-E15&lt;0,1)+IF(F16-E17&lt;0,1)+IF(G16-E18&lt;0,1))</f>
        <v>3-1</v>
      </c>
      <c r="I16" s="778" t="str">
        <f>IF(AND(B16&lt;&gt;"",M$6=TRUE),A$13&amp;RANK(M16,M$14:M$18,0),"")</f>
        <v>B2</v>
      </c>
      <c r="J16" s="821">
        <f t="shared" si="2"/>
        <v>3</v>
      </c>
      <c r="K16" s="96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-11</v>
      </c>
      <c r="M16" s="824">
        <f t="shared" si="3"/>
        <v>29989</v>
      </c>
      <c r="O16" s="771"/>
      <c r="P16" s="770"/>
      <c r="Q16" s="770"/>
      <c r="R16" s="757"/>
    </row>
    <row r="17" spans="1:18" x14ac:dyDescent="0.2">
      <c r="A17" s="765">
        <v>4</v>
      </c>
      <c r="B17" s="792" t="s">
        <v>291</v>
      </c>
      <c r="C17" s="788">
        <v>6</v>
      </c>
      <c r="D17" s="787">
        <v>13</v>
      </c>
      <c r="E17" s="778">
        <v>8</v>
      </c>
      <c r="F17" s="776"/>
      <c r="G17" s="779">
        <v>13</v>
      </c>
      <c r="H17" s="789" t="str">
        <f>(IF(C17-F14&gt;0,1)+IF(D17-F15&gt;0,1)+IF(E17-F16&gt;0,1)+IF(G17-F18&gt;0,1))&amp;"-"&amp;(IF(C17-F14&lt;0,1)+IF(D17-F15&lt;0,1)+IF(E17-F16&lt;0,1)+IF(G17-F18&lt;0,1))</f>
        <v>2-2</v>
      </c>
      <c r="I17" s="778" t="str">
        <f>IF(AND(B17&lt;&gt;"",M$6=TRUE),A$13&amp;RANK(M17,M$14:M$18,0),"")</f>
        <v>B4</v>
      </c>
      <c r="J17" s="821">
        <f t="shared" si="2"/>
        <v>2</v>
      </c>
      <c r="K17" s="967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-7</v>
      </c>
      <c r="M17" s="824">
        <f t="shared" si="3"/>
        <v>19993</v>
      </c>
      <c r="O17" s="770"/>
      <c r="P17" s="757"/>
      <c r="Q17" s="770"/>
      <c r="R17" s="757"/>
    </row>
    <row r="18" spans="1:18" x14ac:dyDescent="0.2">
      <c r="A18" s="765">
        <v>5</v>
      </c>
      <c r="B18" s="792" t="s">
        <v>306</v>
      </c>
      <c r="C18" s="778">
        <v>1</v>
      </c>
      <c r="D18" s="778">
        <v>8</v>
      </c>
      <c r="E18" s="778">
        <v>12</v>
      </c>
      <c r="F18" s="778">
        <v>3</v>
      </c>
      <c r="G18" s="776"/>
      <c r="H18" s="796" t="str">
        <f>(IF(C18-G14&gt;0,1)+IF(D18-G15&gt;0,1)+IF(E18-G16&gt;0,1)+IF(F18-G17&gt;0,1))&amp;"-"&amp;(IF(C18-G14&lt;0,1)+IF(D18-G15&lt;0,1)+IF(E18-G16&lt;0,1)+IF(F18-G17&lt;0,1))</f>
        <v>0-4</v>
      </c>
      <c r="I18" s="778" t="str">
        <f>IF(AND(B18&lt;&gt;"",M$6=TRUE),A$13&amp;RANK(M18,M$14:M$18,0),"")</f>
        <v>B5</v>
      </c>
      <c r="J18" s="821">
        <f t="shared" si="2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3"/>
        <v>0</v>
      </c>
      <c r="O18" s="770"/>
      <c r="P18" s="770"/>
      <c r="Q18" s="770"/>
      <c r="R18" s="757"/>
    </row>
    <row r="19" spans="1:18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55"/>
    </row>
    <row r="20" spans="1:18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>
        <v>5</v>
      </c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55"/>
    </row>
    <row r="21" spans="1:18" x14ac:dyDescent="0.2">
      <c r="A21" s="765">
        <v>1</v>
      </c>
      <c r="B21" s="940" t="s">
        <v>278</v>
      </c>
      <c r="C21" s="776"/>
      <c r="D21" s="778">
        <v>9</v>
      </c>
      <c r="E21" s="788">
        <v>10</v>
      </c>
      <c r="F21" s="778">
        <v>3</v>
      </c>
      <c r="G21" s="778">
        <v>13</v>
      </c>
      <c r="H21" s="796" t="str">
        <f>(IF(D21-C22&gt;0,1)+IF(E21-C23&gt;0,1)+IF(F21-C24&gt;0,1)+IF(G21-C25&gt;0,1))&amp;"-"&amp;(IF(D21-C22&lt;0,1)+IF(E21-C23&lt;0,1)+IF(F21-C24&lt;0,1)+IF(G21-C25&lt;0,1))</f>
        <v>1-3</v>
      </c>
      <c r="I21" s="778" t="str">
        <f>IF(AND(B21&lt;&gt;"",M$20=TRUE),A$20&amp;RANK(M21,M$21:M$25,0),"")</f>
        <v>C5</v>
      </c>
      <c r="J21" s="821">
        <f>VALUE(LEFT(H21,1))</f>
        <v>1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-3</v>
      </c>
      <c r="M21" s="824">
        <f>10000*J21+K21*100+L21</f>
        <v>9997</v>
      </c>
      <c r="O21" s="770"/>
      <c r="P21" s="770"/>
      <c r="Q21" s="770"/>
      <c r="R21" s="757"/>
    </row>
    <row r="22" spans="1:18" x14ac:dyDescent="0.2">
      <c r="A22" s="765">
        <v>2</v>
      </c>
      <c r="B22" s="775" t="s">
        <v>284</v>
      </c>
      <c r="C22" s="778">
        <v>13</v>
      </c>
      <c r="D22" s="776"/>
      <c r="E22" s="778">
        <v>13</v>
      </c>
      <c r="F22" s="778">
        <v>13</v>
      </c>
      <c r="G22" s="786">
        <v>9</v>
      </c>
      <c r="H22" s="796" t="str">
        <f>(IF(C22-D21&gt;0,1)+IF(E22-D23&gt;0,1)+IF(F22-D24&gt;0,1)+IF(G22-D25&gt;0,1))&amp;"-"&amp;(IF(C22-D21&lt;0,1)+IF(E22-D23&lt;0,1)+IF(F22-D24&lt;0,1)+IF(G22-D25&lt;0,1))</f>
        <v>3-1</v>
      </c>
      <c r="I22" s="778" t="str">
        <f>IF(AND(B22&lt;&gt;"",M$20=TRUE),A$20&amp;RANK(M22,M$21:M$25,0),"")</f>
        <v>C2</v>
      </c>
      <c r="J22" s="821">
        <f t="shared" ref="J22:J25" si="4">VALUE(LEFT(H22,1))</f>
        <v>3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-4</v>
      </c>
      <c r="M22" s="824">
        <f t="shared" ref="M22:M25" si="5">10000*J22+K22*100+L22</f>
        <v>29996</v>
      </c>
      <c r="O22" s="770"/>
      <c r="P22" s="770"/>
      <c r="Q22" s="770"/>
      <c r="R22" s="757"/>
    </row>
    <row r="23" spans="1:18" x14ac:dyDescent="0.2">
      <c r="A23" s="765">
        <v>3</v>
      </c>
      <c r="B23" s="775" t="s">
        <v>225</v>
      </c>
      <c r="C23" s="788">
        <v>13</v>
      </c>
      <c r="D23" s="787">
        <v>3</v>
      </c>
      <c r="E23" s="776"/>
      <c r="F23" s="778">
        <v>11</v>
      </c>
      <c r="G23" s="778">
        <v>5</v>
      </c>
      <c r="H23" s="796" t="str">
        <f>(IF(C23-E21&gt;0,1)+IF(D23-E22&gt;0,1)+IF(F23-E24&gt;0,1)+IF(G23-E25&gt;0,1))&amp;"-"&amp;(IF(C23-E21&lt;0,1)+IF(D23-E22&lt;0,1)+IF(F23-E24&lt;0,1)+IF(G23-E25&lt;0,1))</f>
        <v>1-3</v>
      </c>
      <c r="I23" s="778" t="str">
        <f>IF(AND(B23&lt;&gt;"",M$20=TRUE),A$20&amp;RANK(M23,M$21:M$25,0),"")</f>
        <v>C4</v>
      </c>
      <c r="J23" s="821">
        <f t="shared" si="4"/>
        <v>1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1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3</v>
      </c>
      <c r="M23" s="824">
        <f t="shared" si="5"/>
        <v>10103</v>
      </c>
      <c r="O23" s="771"/>
      <c r="P23" s="770"/>
      <c r="Q23" s="770"/>
      <c r="R23" s="757"/>
    </row>
    <row r="24" spans="1:18" x14ac:dyDescent="0.2">
      <c r="A24" s="765">
        <v>4</v>
      </c>
      <c r="B24" s="775" t="s">
        <v>300</v>
      </c>
      <c r="C24" s="778">
        <v>13</v>
      </c>
      <c r="D24" s="787">
        <v>12</v>
      </c>
      <c r="E24" s="778">
        <v>13</v>
      </c>
      <c r="F24" s="776"/>
      <c r="G24" s="779">
        <v>8</v>
      </c>
      <c r="H24" s="796" t="str">
        <f>(IF(C24-F21&gt;0,1)+IF(D24-F22&gt;0,1)+IF(E24-F23&gt;0,1)+IF(G24-F25&gt;0,1))&amp;"-"&amp;(IF(C24-F21&lt;0,1)+IF(D24-F22&lt;0,1)+IF(E24-F23&lt;0,1)+IF(G24-F25&lt;0,1))</f>
        <v>2-2</v>
      </c>
      <c r="I24" s="778" t="str">
        <f>IF(AND(B24&lt;&gt;"",M$20=TRUE),A$20&amp;RANK(M24,M$21:M$25,0),"")</f>
        <v>C3</v>
      </c>
      <c r="J24" s="821">
        <f t="shared" si="4"/>
        <v>2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0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5"/>
        <v>20000</v>
      </c>
      <c r="O24" s="771"/>
      <c r="P24" s="770"/>
      <c r="Q24" s="770"/>
      <c r="R24" s="757"/>
    </row>
    <row r="25" spans="1:18" x14ac:dyDescent="0.2">
      <c r="A25" s="765">
        <v>5</v>
      </c>
      <c r="B25" s="792" t="s">
        <v>307</v>
      </c>
      <c r="C25" s="778">
        <v>10</v>
      </c>
      <c r="D25" s="786">
        <v>13</v>
      </c>
      <c r="E25" s="778">
        <v>13</v>
      </c>
      <c r="F25" s="778">
        <v>13</v>
      </c>
      <c r="G25" s="776"/>
      <c r="H25" s="796" t="str">
        <f>(IF(C25-G21&gt;0,1)+IF(D25-G22&gt;0,1)+IF(E25-G23&gt;0,1)+IF(F25-G24&gt;0,1))&amp;"-"&amp;(IF(C25-G21&lt;0,1)+IF(D25-G22&lt;0,1)+IF(E25-G23&lt;0,1)+IF(F25-G24&lt;0,1))</f>
        <v>3-1</v>
      </c>
      <c r="I25" s="778" t="str">
        <f>IF(AND(B25&lt;&gt;"",M$20=TRUE),A$20&amp;RANK(M25,M$21:M$25,0),"")</f>
        <v>C1</v>
      </c>
      <c r="J25" s="821">
        <f t="shared" si="4"/>
        <v>3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1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4</v>
      </c>
      <c r="M25" s="824">
        <f t="shared" si="5"/>
        <v>30104</v>
      </c>
      <c r="O25" s="770"/>
      <c r="P25" s="770"/>
      <c r="Q25" s="770"/>
      <c r="R25" s="757"/>
    </row>
    <row r="26" spans="1:18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55"/>
    </row>
    <row r="27" spans="1:18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>
        <v>5</v>
      </c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0"/>
    </row>
    <row r="28" spans="1:18" x14ac:dyDescent="0.2">
      <c r="A28" s="765">
        <v>1</v>
      </c>
      <c r="B28" s="820" t="s">
        <v>272</v>
      </c>
      <c r="C28" s="776"/>
      <c r="D28" s="778">
        <v>13</v>
      </c>
      <c r="E28" s="786">
        <v>4</v>
      </c>
      <c r="F28" s="778">
        <v>13</v>
      </c>
      <c r="G28" s="778">
        <v>13</v>
      </c>
      <c r="H28" s="780" t="str">
        <f>(IF(D28-C29&gt;0,1)+IF(E28-C30&gt;0,1)+IF(F28-C31&gt;0,1)+IF(G28-C32&gt;0,1))&amp;"-"&amp;(IF(D28-C29&lt;0,1)+IF(E28-C30&lt;0,1)+IF(F28-C31&lt;0,1)+IF(G28-C32&lt;0,1))</f>
        <v>3-1</v>
      </c>
      <c r="I28" s="778" t="str">
        <f>IF(AND(B28&lt;&gt;"",M$27=TRUE),A$27&amp;RANK(M28,M$28:M$32,0),"")</f>
        <v>D2</v>
      </c>
      <c r="J28" s="821">
        <f>VALUE(LEFT(H28,1))</f>
        <v>3</v>
      </c>
      <c r="K28" s="968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-9</v>
      </c>
      <c r="M28" s="824">
        <f>10000*J28+K28*100+L28</f>
        <v>29991</v>
      </c>
      <c r="O28" s="212"/>
      <c r="P28" s="212"/>
      <c r="Q28" s="212"/>
      <c r="R28" s="760"/>
    </row>
    <row r="29" spans="1:18" x14ac:dyDescent="0.2">
      <c r="A29" s="765">
        <v>2</v>
      </c>
      <c r="B29" s="775" t="s">
        <v>282</v>
      </c>
      <c r="C29" s="778">
        <v>11</v>
      </c>
      <c r="D29" s="776"/>
      <c r="E29" s="778">
        <v>6</v>
      </c>
      <c r="F29" s="788">
        <v>13</v>
      </c>
      <c r="G29" s="778">
        <v>13</v>
      </c>
      <c r="H29" s="789" t="str">
        <f>(IF(C29-D28&gt;0,1)+IF(E29-D30&gt;0,1)+IF(F29-D31&gt;0,1)+IF(G29-D32&gt;0,1))&amp;"-"&amp;(IF(C29-D28&lt;0,1)+IF(E29-D30&lt;0,1)+IF(F29-D31&lt;0,1)+IF(G29-D32&lt;0,1))</f>
        <v>2-2</v>
      </c>
      <c r="I29" s="778" t="str">
        <f>IF(AND(B29&lt;&gt;"",M$27=TRUE),A$27&amp;RANK(M29,M$28:M$32,0),"")</f>
        <v>D3</v>
      </c>
      <c r="J29" s="821">
        <f t="shared" ref="J29:J32" si="6">VALUE(LEFT(H29,1))</f>
        <v>2</v>
      </c>
      <c r="K29" s="967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1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1</v>
      </c>
      <c r="M29" s="824">
        <f t="shared" ref="M29:M32" si="7">10000*J29+K29*100+L29</f>
        <v>20101</v>
      </c>
      <c r="O29" s="212"/>
      <c r="P29" s="212"/>
      <c r="Q29" s="212"/>
      <c r="R29" s="760"/>
    </row>
    <row r="30" spans="1:18" x14ac:dyDescent="0.2">
      <c r="A30" s="765">
        <v>3</v>
      </c>
      <c r="B30" s="775" t="s">
        <v>286</v>
      </c>
      <c r="C30" s="786">
        <v>13</v>
      </c>
      <c r="D30" s="787">
        <v>13</v>
      </c>
      <c r="E30" s="776"/>
      <c r="F30" s="778">
        <v>7</v>
      </c>
      <c r="G30" s="778">
        <v>13</v>
      </c>
      <c r="H30" s="780" t="str">
        <f>(IF(C30-E28&gt;0,1)+IF(D30-E29&gt;0,1)+IF(F30-E31&gt;0,1)+IF(G30-E32&gt;0,1))&amp;"-"&amp;(IF(C30-E28&lt;0,1)+IF(D30-E29&lt;0,1)+IF(F30-E31&lt;0,1)+IF(G30-E32&lt;0,1))</f>
        <v>3-1</v>
      </c>
      <c r="I30" s="778" t="str">
        <f>IF(AND(B30&lt;&gt;"",M$27=TRUE),A$27&amp;RANK(M30,M$28:M$32,0),"")</f>
        <v>D1</v>
      </c>
      <c r="J30" s="821">
        <f t="shared" si="6"/>
        <v>3</v>
      </c>
      <c r="K30" s="96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1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9</v>
      </c>
      <c r="M30" s="824">
        <f t="shared" si="7"/>
        <v>30109</v>
      </c>
      <c r="O30" s="212"/>
      <c r="P30" s="212"/>
      <c r="Q30" s="212"/>
      <c r="R30" s="760"/>
    </row>
    <row r="31" spans="1:18" x14ac:dyDescent="0.2">
      <c r="A31" s="765">
        <v>4</v>
      </c>
      <c r="B31" s="792" t="s">
        <v>292</v>
      </c>
      <c r="C31" s="778">
        <v>10</v>
      </c>
      <c r="D31" s="826">
        <v>12</v>
      </c>
      <c r="E31" s="778">
        <v>13</v>
      </c>
      <c r="F31" s="776"/>
      <c r="G31" s="779">
        <v>13</v>
      </c>
      <c r="H31" s="789" t="str">
        <f>(IF(C31-F28&gt;0,1)+IF(D31-F29&gt;0,1)+IF(E31-F30&gt;0,1)+IF(G31-F32&gt;0,1))&amp;"-"&amp;(IF(C31-F28&lt;0,1)+IF(D31-F29&lt;0,1)+IF(E31-F30&lt;0,1)+IF(G31-F32&lt;0,1))</f>
        <v>2-2</v>
      </c>
      <c r="I31" s="778" t="str">
        <f>IF(AND(B31&lt;&gt;"",M$27=TRUE),A$27&amp;RANK(M31,M$28:M$32,0),"")</f>
        <v>D4</v>
      </c>
      <c r="J31" s="821">
        <f t="shared" si="6"/>
        <v>2</v>
      </c>
      <c r="K31" s="967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-1</v>
      </c>
      <c r="M31" s="824">
        <f t="shared" si="7"/>
        <v>19999</v>
      </c>
      <c r="O31" s="803"/>
      <c r="P31" s="212"/>
      <c r="Q31" s="212"/>
      <c r="R31" s="760"/>
    </row>
    <row r="32" spans="1:18" x14ac:dyDescent="0.2">
      <c r="A32" s="765">
        <v>5</v>
      </c>
      <c r="B32" s="792" t="s">
        <v>303</v>
      </c>
      <c r="C32" s="778">
        <v>5</v>
      </c>
      <c r="D32" s="778">
        <v>7</v>
      </c>
      <c r="E32" s="778">
        <v>6</v>
      </c>
      <c r="F32" s="778">
        <v>12</v>
      </c>
      <c r="G32" s="776"/>
      <c r="H32" s="796" t="str">
        <f>(IF(C32-G28&gt;0,1)+IF(D32-G29&gt;0,1)+IF(E32-G30&gt;0,1)+IF(F32-G31&gt;0,1))&amp;"-"&amp;(IF(C32-G28&lt;0,1)+IF(D32-G29&lt;0,1)+IF(E32-G30&lt;0,1)+IF(F32-G31&lt;0,1))</f>
        <v>0-4</v>
      </c>
      <c r="I32" s="778" t="str">
        <f>IF(AND(B32&lt;&gt;"",M$27=TRUE),A$27&amp;RANK(M32,M$28:M$32,0),"")</f>
        <v>D5</v>
      </c>
      <c r="J32" s="821">
        <f t="shared" si="6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7"/>
        <v>0</v>
      </c>
      <c r="O32" s="212"/>
      <c r="P32" s="212"/>
      <c r="Q32" s="212"/>
      <c r="R32" s="760"/>
    </row>
    <row r="33" spans="1:18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0"/>
    </row>
    <row r="34" spans="1:18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0"/>
    </row>
    <row r="35" spans="1:18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0"/>
    </row>
    <row r="36" spans="1:18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8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9">10000*J36+K36*100+L36</f>
        <v>0</v>
      </c>
      <c r="O36" s="212"/>
      <c r="P36" s="212"/>
      <c r="Q36" s="212"/>
      <c r="R36" s="760"/>
    </row>
    <row r="37" spans="1:18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8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9"/>
        <v>0</v>
      </c>
      <c r="O37" s="212"/>
      <c r="P37" s="212"/>
      <c r="Q37" s="212"/>
      <c r="R37" s="760"/>
    </row>
    <row r="38" spans="1:18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8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9"/>
        <v>0</v>
      </c>
      <c r="O38" s="212"/>
      <c r="P38" s="212"/>
      <c r="Q38" s="212"/>
      <c r="R38" s="760"/>
    </row>
    <row r="39" spans="1:18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8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9"/>
        <v>0</v>
      </c>
      <c r="O39" s="212"/>
      <c r="P39" s="212"/>
      <c r="Q39" s="212"/>
      <c r="R39" s="760"/>
    </row>
    <row r="40" spans="1:18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0"/>
    </row>
    <row r="41" spans="1:18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0"/>
    </row>
    <row r="42" spans="1:18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IF(AND(B42&lt;&gt;"",M$42=TRUE),A$42&amp;RANK(M42,M$43:VD$47,0),"")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0"/>
    </row>
    <row r="43" spans="1:18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IF(AND(B43&lt;&gt;"",M$42=TRUE),A$42&amp;RANK(M43,M$43:VD$47,0),"")</f>
        <v/>
      </c>
      <c r="J43" s="821">
        <f t="shared" ref="J43:J46" si="10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1">10000*J43+K43*100+L43</f>
        <v>0</v>
      </c>
      <c r="O43" s="770"/>
      <c r="P43" s="770"/>
      <c r="Q43" s="770"/>
      <c r="R43" s="760"/>
    </row>
    <row r="44" spans="1:18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IF(AND(B44&lt;&gt;"",M$42=TRUE),A$42&amp;RANK(M44,M$43:VD$47,0),"")</f>
        <v/>
      </c>
      <c r="J44" s="821">
        <f t="shared" si="10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1"/>
        <v>0</v>
      </c>
      <c r="O44" s="770"/>
      <c r="P44" s="770"/>
      <c r="Q44" s="770"/>
      <c r="R44" s="760"/>
    </row>
    <row r="45" spans="1:18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IF(AND(B45&lt;&gt;"",M$42=TRUE),A$42&amp;RANK(M45,M$43:VD$47,0),"")</f>
        <v/>
      </c>
      <c r="J45" s="821">
        <f t="shared" si="10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1"/>
        <v>0</v>
      </c>
      <c r="O45" s="770"/>
      <c r="P45" s="770"/>
      <c r="Q45" s="770"/>
      <c r="R45" s="760"/>
    </row>
    <row r="46" spans="1:18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IF(AND(B46&lt;&gt;"",M$42=TRUE),A$42&amp;RANK(M46,M$43:VD$47,0),"")</f>
        <v/>
      </c>
      <c r="J46" s="821">
        <f t="shared" si="10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1"/>
        <v>0</v>
      </c>
      <c r="O46" s="770"/>
      <c r="P46" s="770"/>
      <c r="Q46" s="770"/>
      <c r="R46" s="760"/>
    </row>
    <row r="47" spans="1:18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0"/>
    </row>
    <row r="48" spans="1:18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0"/>
    </row>
    <row r="49" spans="1:18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0"/>
    </row>
    <row r="50" spans="1:18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2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3">10000*J50+K50*100+L50</f>
        <v>0</v>
      </c>
      <c r="O50" s="770"/>
      <c r="P50" s="770"/>
      <c r="Q50" s="770"/>
      <c r="R50" s="760"/>
    </row>
    <row r="51" spans="1:18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2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3"/>
        <v>0</v>
      </c>
      <c r="O51" s="770"/>
      <c r="P51" s="770"/>
      <c r="Q51" s="770"/>
      <c r="R51" s="760"/>
    </row>
    <row r="52" spans="1:18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2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3"/>
        <v>0</v>
      </c>
      <c r="O52" s="770"/>
      <c r="P52" s="770"/>
      <c r="Q52" s="770"/>
      <c r="R52" s="760"/>
    </row>
    <row r="53" spans="1:18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2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3"/>
        <v>0</v>
      </c>
      <c r="O53" s="770"/>
      <c r="P53" s="770"/>
      <c r="Q53" s="770"/>
      <c r="R53" s="760"/>
    </row>
    <row r="54" spans="1:18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0"/>
    </row>
    <row r="55" spans="1:18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0"/>
    </row>
    <row r="56" spans="1:18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0"/>
    </row>
    <row r="57" spans="1:18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14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15">10000*J57+K57*100+L57</f>
        <v>0</v>
      </c>
      <c r="O57" s="212"/>
      <c r="P57" s="212"/>
      <c r="Q57" s="212"/>
      <c r="R57" s="760"/>
    </row>
    <row r="58" spans="1:18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14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15"/>
        <v>0</v>
      </c>
      <c r="O58" s="212"/>
      <c r="P58" s="212"/>
      <c r="Q58" s="212"/>
      <c r="R58" s="760"/>
    </row>
    <row r="59" spans="1:18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14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15"/>
        <v>0</v>
      </c>
      <c r="O59" s="212"/>
      <c r="P59" s="212"/>
      <c r="Q59" s="212"/>
      <c r="R59" s="760"/>
    </row>
    <row r="60" spans="1:18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14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15"/>
        <v>0</v>
      </c>
      <c r="O60" s="212"/>
      <c r="P60" s="212"/>
      <c r="Q60" s="212"/>
      <c r="R60" s="760"/>
    </row>
    <row r="61" spans="1:18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</row>
    <row r="62" spans="1:18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</row>
    <row r="63" spans="1:18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</row>
    <row r="64" spans="1:18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</row>
    <row r="65" spans="1:18" hidden="1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60"/>
    </row>
    <row r="66" spans="1:18" hidden="1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60"/>
    </row>
    <row r="67" spans="1:18" hidden="1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60"/>
    </row>
    <row r="68" spans="1:18" hidden="1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60"/>
    </row>
    <row r="69" spans="1:18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60"/>
    </row>
    <row r="70" spans="1:18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60"/>
    </row>
    <row r="71" spans="1:18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60"/>
    </row>
    <row r="72" spans="1:18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60"/>
    </row>
    <row r="73" spans="1:18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60"/>
    </row>
    <row r="74" spans="1:18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60"/>
    </row>
    <row r="75" spans="1:18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</row>
    <row r="76" spans="1:18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</row>
    <row r="77" spans="1:18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</row>
    <row r="78" spans="1:18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</row>
    <row r="79" spans="1:18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</row>
    <row r="80" spans="1:18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</row>
    <row r="81" spans="1:18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</row>
    <row r="82" spans="1:18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</row>
    <row r="83" spans="1:18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</row>
    <row r="84" spans="1:18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</row>
    <row r="85" spans="1:18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</row>
    <row r="86" spans="1:18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</row>
    <row r="87" spans="1:18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</row>
    <row r="88" spans="1:18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</row>
    <row r="89" spans="1:18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</row>
    <row r="90" spans="1:18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</row>
    <row r="91" spans="1:18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</row>
    <row r="92" spans="1:18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</row>
    <row r="93" spans="1:18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</row>
    <row r="94" spans="1:18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</row>
    <row r="95" spans="1:18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</row>
    <row r="96" spans="1:18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</row>
    <row r="97" spans="1:18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</row>
    <row r="98" spans="1:18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</row>
    <row r="99" spans="1:18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</row>
    <row r="100" spans="1:18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</row>
    <row r="101" spans="1:18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</row>
    <row r="102" spans="1:18" x14ac:dyDescent="0.2">
      <c r="A102" s="849" t="s">
        <v>410</v>
      </c>
      <c r="B102" s="850" t="str">
        <f>IF(A102="-","-",IFERROR(INDEX(B$1:B$100,MATCH(A102,I$1:I$100,0)),""))</f>
        <v>Oleg Rõndenkov</v>
      </c>
      <c r="C102" s="851">
        <v>10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</row>
    <row r="103" spans="1:18" x14ac:dyDescent="0.2">
      <c r="A103" s="852"/>
      <c r="B103" s="853"/>
      <c r="C103" s="854" t="str">
        <f>IF(COUNT(C102,C104)=2,IF(C102&gt;C104,B102,B104),"")</f>
        <v>Tõnu Piik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</row>
    <row r="104" spans="1:18" x14ac:dyDescent="0.2">
      <c r="A104" s="852" t="s">
        <v>411</v>
      </c>
      <c r="B104" s="855" t="str">
        <f>IF(A104="-","-",IFERROR(INDEX(B$1:B$100,MATCH(A104,I$1:I$100,0)),""))</f>
        <v>Tõnu Piik</v>
      </c>
      <c r="C104" s="856">
        <v>13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</row>
    <row r="105" spans="1:18" x14ac:dyDescent="0.2">
      <c r="A105" s="852"/>
      <c r="B105" s="818"/>
      <c r="C105" s="755"/>
      <c r="D105" s="858"/>
      <c r="E105" s="854" t="str">
        <f>IF(COUNT(E103,E107)=2,IF(E103&gt;E107,C103,C107),"")</f>
        <v>Tõnu Piik</v>
      </c>
      <c r="F105" s="755"/>
      <c r="G105" s="851">
        <v>6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</row>
    <row r="106" spans="1:18" x14ac:dyDescent="0.2">
      <c r="A106" s="852" t="s">
        <v>412</v>
      </c>
      <c r="B106" s="850" t="str">
        <f>IF(A106="-","-",IFERROR(INDEX(B$1:B$100,MATCH(A106,I$1:I$100,0)),""))</f>
        <v>Jaan Saar</v>
      </c>
      <c r="C106" s="851">
        <v>13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</row>
    <row r="107" spans="1:18" x14ac:dyDescent="0.2">
      <c r="A107" s="852"/>
      <c r="B107" s="853"/>
      <c r="C107" s="854" t="str">
        <f>IF(COUNT(C106,C108)=2,IF(C106&gt;C108,B106,B108),"")</f>
        <v>Jaan Saar</v>
      </c>
      <c r="D107" s="860"/>
      <c r="E107" s="851">
        <v>11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</row>
    <row r="108" spans="1:18" x14ac:dyDescent="0.2">
      <c r="A108" s="852" t="s">
        <v>413</v>
      </c>
      <c r="B108" s="855" t="str">
        <f>IF(A108="-","-",IFERROR(INDEX(B$1:B$100,MATCH(A108,I$1:I$100,0)),""))</f>
        <v>Tarmo Bombe</v>
      </c>
      <c r="C108" s="856">
        <v>12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</row>
    <row r="109" spans="1:18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Kenneth Muusikus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</row>
    <row r="110" spans="1:18" x14ac:dyDescent="0.2">
      <c r="A110" s="849" t="s">
        <v>414</v>
      </c>
      <c r="B110" s="850" t="str">
        <f>IF(A110="-","-",IFERROR(INDEX(B$1:B$100,MATCH(A110,I$1:I$100,0)),""))</f>
        <v>Oksana Rõndenkova</v>
      </c>
      <c r="C110" s="851">
        <v>13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</row>
    <row r="111" spans="1:18" x14ac:dyDescent="0.2">
      <c r="A111" s="852"/>
      <c r="B111" s="853"/>
      <c r="C111" s="854" t="str">
        <f>IF(COUNT(C110,C112)=2,IF(C110&gt;C112,B110,B112),"")</f>
        <v>Oksana Rõndenkova</v>
      </c>
      <c r="D111" s="755"/>
      <c r="E111" s="851">
        <v>12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</row>
    <row r="112" spans="1:18" x14ac:dyDescent="0.2">
      <c r="A112" s="852" t="s">
        <v>415</v>
      </c>
      <c r="B112" s="855" t="str">
        <f>IF(A112="-","-",IFERROR(INDEX(B$1:B$100,MATCH(A112,I$1:I$100,0)),""))</f>
        <v>Andres Veski</v>
      </c>
      <c r="C112" s="856">
        <v>5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</row>
    <row r="113" spans="1:18" x14ac:dyDescent="0.2">
      <c r="A113" s="852"/>
      <c r="B113" s="818"/>
      <c r="C113" s="755"/>
      <c r="D113" s="858"/>
      <c r="E113" s="854" t="str">
        <f>IF(COUNT(E111,E115)=2,IF(E111&gt;E115,C111,C115),"")</f>
        <v>Kenneth Muusikus</v>
      </c>
      <c r="F113" s="860"/>
      <c r="G113" s="851">
        <v>13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</row>
    <row r="114" spans="1:18" ht="13.5" thickBot="1" x14ac:dyDescent="0.25">
      <c r="A114" s="852" t="s">
        <v>417</v>
      </c>
      <c r="B114" s="850" t="str">
        <f>IF(A114="-","-",IFERROR(INDEX(B$1:B$100,MATCH(A114,I$1:I$100,0)),""))</f>
        <v>Henri Mitt</v>
      </c>
      <c r="C114" s="851">
        <v>7</v>
      </c>
      <c r="D114" s="858"/>
      <c r="E114" s="859"/>
      <c r="F114" s="807"/>
      <c r="G114" s="807"/>
      <c r="H114" s="951" t="str">
        <f>IF(COUNT(G105,G113)=2,IF(G105&lt;G113,E105,E113),"")</f>
        <v>Tõnu Piik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</row>
    <row r="115" spans="1:18" x14ac:dyDescent="0.2">
      <c r="A115" s="852"/>
      <c r="B115" s="853"/>
      <c r="C115" s="854" t="str">
        <f>IF(COUNT(C114,C116)=2,IF(C114&gt;C116,B114,B116),"")</f>
        <v>Kenneth Muusikus</v>
      </c>
      <c r="D115" s="860"/>
      <c r="E115" s="962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</row>
    <row r="116" spans="1:18" x14ac:dyDescent="0.2">
      <c r="A116" s="852" t="s">
        <v>416</v>
      </c>
      <c r="B116" s="855" t="str">
        <f>IF(A116="-","-",IFERROR(INDEX(B$1:B$100,MATCH(A116,I$1:I$100,0)),""))</f>
        <v>Kenneth Muusikus</v>
      </c>
      <c r="C116" s="856">
        <v>13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</row>
    <row r="117" spans="1:18" x14ac:dyDescent="0.2">
      <c r="A117" s="754"/>
      <c r="B117" s="818"/>
      <c r="C117" s="755"/>
      <c r="D117" s="755"/>
      <c r="E117" s="804" t="str">
        <f>IF(COUNT(E103,E107)=2,IF(E103&lt;E107,C103,C107),"")</f>
        <v>Jaan Saar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</row>
    <row r="118" spans="1:18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Jaan Saar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</row>
    <row r="119" spans="1:18" x14ac:dyDescent="0.2">
      <c r="A119" s="755"/>
      <c r="B119" s="755"/>
      <c r="C119" s="755"/>
      <c r="D119" s="755"/>
      <c r="E119" s="865" t="str">
        <f>IF(COUNT(E111,E115)=2,IF(E111&lt;E115,C111,C115),"")</f>
        <v>Oksana Rõndenkova</v>
      </c>
      <c r="F119" s="860"/>
      <c r="G119" s="856">
        <v>6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</row>
    <row r="120" spans="1:18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</row>
    <row r="121" spans="1:18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Oksana Rõndenkova</v>
      </c>
      <c r="I121" s="938"/>
      <c r="J121" s="755"/>
      <c r="K121" s="755"/>
      <c r="L121" s="755"/>
      <c r="M121" s="755"/>
      <c r="N121" s="969"/>
      <c r="O121" s="755"/>
      <c r="P121" s="760"/>
      <c r="Q121" s="760"/>
      <c r="R121" s="760"/>
    </row>
    <row r="122" spans="1:18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</row>
    <row r="123" spans="1:18" x14ac:dyDescent="0.2">
      <c r="A123" s="755"/>
      <c r="B123" s="849"/>
      <c r="C123" s="865" t="str">
        <f>IF(COUNT(C102,C104)=2,IF(C102&lt;C104,B102,B104),"")</f>
        <v>Oleg Rõndenkov</v>
      </c>
      <c r="D123" s="755"/>
      <c r="E123" s="851">
        <v>13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</row>
    <row r="124" spans="1:18" x14ac:dyDescent="0.2">
      <c r="A124" s="755"/>
      <c r="B124" s="852"/>
      <c r="C124" s="866"/>
      <c r="D124" s="867"/>
      <c r="E124" s="854" t="str">
        <f>IF(COUNT(E123,E125)=2,IF(E123&gt;E125,C123,C125),"")</f>
        <v>Oleg Rõndenkov</v>
      </c>
      <c r="F124" s="755"/>
      <c r="G124" s="851"/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</row>
    <row r="125" spans="1:18" x14ac:dyDescent="0.2">
      <c r="A125" s="755"/>
      <c r="B125" s="852"/>
      <c r="C125" s="865" t="str">
        <f>IF(COUNT(C106,C108)=2,IF(C106&lt;C108,B106,B108),"")</f>
        <v>Tarmo Bombe</v>
      </c>
      <c r="D125" s="868"/>
      <c r="E125" s="856">
        <v>8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</row>
    <row r="126" spans="1:18" ht="13.5" thickBot="1" x14ac:dyDescent="0.25">
      <c r="A126" s="755"/>
      <c r="B126" s="852"/>
      <c r="C126" s="851"/>
      <c r="D126" s="851"/>
      <c r="E126" s="869"/>
      <c r="F126" s="870"/>
      <c r="G126" s="851"/>
      <c r="H126" s="951" t="str">
        <f>IF(COUNT(G124,G128)=2,IF(G124&gt;G128,E124,E128),"")</f>
        <v/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</row>
    <row r="127" spans="1:18" x14ac:dyDescent="0.2">
      <c r="A127" s="755"/>
      <c r="B127" s="852"/>
      <c r="C127" s="865" t="str">
        <f>IF(COUNT(C110,C112)=2,IF(C110&lt;C112,B110,B112),"")</f>
        <v>Andres Veski</v>
      </c>
      <c r="D127" s="851"/>
      <c r="E127" s="851"/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</row>
    <row r="128" spans="1:18" x14ac:dyDescent="0.2">
      <c r="A128" s="755"/>
      <c r="B128" s="852"/>
      <c r="C128" s="866"/>
      <c r="D128" s="867"/>
      <c r="E128" s="854" t="str">
        <f>IF(COUNT(E127,E129)=2,IF(E127&gt;E129,C127,C129),"")</f>
        <v/>
      </c>
      <c r="F128" s="860"/>
      <c r="G128" s="856"/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</row>
    <row r="129" spans="1:18" ht="13.5" thickBot="1" x14ac:dyDescent="0.25">
      <c r="A129" s="755"/>
      <c r="B129" s="852"/>
      <c r="C129" s="865" t="str">
        <f>IF(COUNT(C114,C116)=2,IF(C114&lt;C116,B114,B116),"")</f>
        <v>Henri Mitt</v>
      </c>
      <c r="D129" s="868"/>
      <c r="E129" s="856"/>
      <c r="F129" s="851"/>
      <c r="G129" s="869"/>
      <c r="H129" s="951" t="str">
        <f>IF(COUNT(G124,G128)=2,IF(G124&lt;G128,E124,E128),"")</f>
        <v/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</row>
    <row r="130" spans="1:18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</row>
    <row r="131" spans="1:18" x14ac:dyDescent="0.2">
      <c r="A131" s="755"/>
      <c r="B131" s="755"/>
      <c r="C131" s="851"/>
      <c r="D131" s="869"/>
      <c r="E131" s="804" t="str">
        <f>IF(COUNT(E123,E125)=2,IF(E123&lt;E125,C123,C125),"")</f>
        <v>Tarmo Bombe</v>
      </c>
      <c r="F131" s="755"/>
      <c r="G131" s="851"/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</row>
    <row r="132" spans="1:18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/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</row>
    <row r="133" spans="1:18" x14ac:dyDescent="0.2">
      <c r="A133" s="755"/>
      <c r="B133" s="755"/>
      <c r="C133" s="851"/>
      <c r="D133" s="869"/>
      <c r="E133" s="865" t="str">
        <f>IF(COUNT(E127,E129)=2,IF(E127&lt;E129,C127,C129),"")</f>
        <v/>
      </c>
      <c r="F133" s="860"/>
      <c r="G133" s="856"/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</row>
    <row r="134" spans="1:18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</row>
    <row r="135" spans="1:18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/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</row>
    <row r="136" spans="1:18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</row>
    <row r="137" spans="1:18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</row>
    <row r="138" spans="1:18" x14ac:dyDescent="0.2">
      <c r="A138" s="806" t="s">
        <v>529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</row>
    <row r="139" spans="1:18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</row>
    <row r="140" spans="1:18" x14ac:dyDescent="0.2">
      <c r="A140" s="849" t="s">
        <v>421</v>
      </c>
      <c r="B140" s="850" t="str">
        <f>IF(A140="-","-",IFERROR(INDEX(B$1:B$100,MATCH(A140,I$1:I$100,0)),""))</f>
        <v>Svetlana Veski</v>
      </c>
      <c r="C140" s="851">
        <v>7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</row>
    <row r="141" spans="1:18" x14ac:dyDescent="0.2">
      <c r="A141" s="852"/>
      <c r="B141" s="853"/>
      <c r="C141" s="854" t="str">
        <f>IF(COUNT(C140,C142)=2,IF(C140&gt;C142,B140,B142),"")</f>
        <v>Viktor Švarõgin</v>
      </c>
      <c r="D141" s="755"/>
      <c r="E141" s="851">
        <v>13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</row>
    <row r="142" spans="1:18" x14ac:dyDescent="0.2">
      <c r="A142" s="852" t="s">
        <v>440</v>
      </c>
      <c r="B142" s="855" t="str">
        <f>IF(A142="-","-",IFERROR(INDEX(B$1:B$100,MATCH(A142,I$1:I$100,0)),""))</f>
        <v>Viktor Švarõgin</v>
      </c>
      <c r="C142" s="856">
        <v>13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</row>
    <row r="143" spans="1:18" x14ac:dyDescent="0.2">
      <c r="A143" s="852"/>
      <c r="B143" s="818"/>
      <c r="C143" s="755"/>
      <c r="D143" s="858"/>
      <c r="E143" s="854" t="str">
        <f>IF(COUNT(E141,E145)=2,IF(E141&gt;E145,C141,C145),"")</f>
        <v>Viktor Švarõgin</v>
      </c>
      <c r="F143" s="755"/>
      <c r="G143" s="962">
        <v>10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</row>
    <row r="144" spans="1:18" x14ac:dyDescent="0.2">
      <c r="A144" s="852" t="s">
        <v>423</v>
      </c>
      <c r="B144" s="850" t="str">
        <f>IF(A144="-","-",IFERROR(INDEX(B$1:B$100,MATCH(A144,I$1:I$100,0)),""))</f>
        <v>Elmo Lageda</v>
      </c>
      <c r="C144" s="851">
        <v>12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</row>
    <row r="145" spans="1:18" x14ac:dyDescent="0.2">
      <c r="A145" s="852"/>
      <c r="B145" s="853"/>
      <c r="C145" s="854" t="str">
        <f>IF(COUNT(C144,C146)=2,IF(C144&gt;C146,B144,B146),"")</f>
        <v>Peep Peenema</v>
      </c>
      <c r="D145" s="860"/>
      <c r="E145" s="851">
        <v>5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</row>
    <row r="146" spans="1:18" x14ac:dyDescent="0.2">
      <c r="A146" s="852" t="s">
        <v>422</v>
      </c>
      <c r="B146" s="855" t="str">
        <f>IF(A146="-","-",IFERROR(INDEX(B$1:B$100,MATCH(A146,I$1:I$100,0)),""))</f>
        <v>Peep Peenema</v>
      </c>
      <c r="C146" s="856">
        <v>13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</row>
    <row r="147" spans="1:18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Fredi Müür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</row>
    <row r="148" spans="1:18" x14ac:dyDescent="0.2">
      <c r="A148" s="849" t="s">
        <v>425</v>
      </c>
      <c r="B148" s="850" t="str">
        <f>IF(A148="-","-",IFERROR(INDEX(B$1:B$100,MATCH(A148,I$1:I$100,0)),""))</f>
        <v>Kaspar Mänd</v>
      </c>
      <c r="C148" s="851">
        <v>7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</row>
    <row r="149" spans="1:18" x14ac:dyDescent="0.2">
      <c r="A149" s="852"/>
      <c r="B149" s="853"/>
      <c r="C149" s="854" t="str">
        <f>IF(COUNT(C148,C150)=2,IF(C148&gt;C150,B148,B150),"")</f>
        <v>Ljudmila Varendi</v>
      </c>
      <c r="D149" s="755"/>
      <c r="E149" s="851">
        <v>11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</row>
    <row r="150" spans="1:18" x14ac:dyDescent="0.2">
      <c r="A150" s="852" t="s">
        <v>429</v>
      </c>
      <c r="B150" s="855" t="str">
        <f>IF(A150="-","-",IFERROR(INDEX(B$1:B$100,MATCH(A150,I$1:I$100,0)),""))</f>
        <v>Ljudmila Varendi</v>
      </c>
      <c r="C150" s="856">
        <v>13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</row>
    <row r="151" spans="1:18" x14ac:dyDescent="0.2">
      <c r="A151" s="852"/>
      <c r="B151" s="818"/>
      <c r="C151" s="755"/>
      <c r="D151" s="858"/>
      <c r="E151" s="854" t="str">
        <f>IF(COUNT(E149,E153)=2,IF(E149&gt;E153,C149,C153),"")</f>
        <v>Fredi Müür</v>
      </c>
      <c r="F151" s="860"/>
      <c r="G151" s="851">
        <v>13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</row>
    <row r="152" spans="1:18" ht="13.5" thickBot="1" x14ac:dyDescent="0.25">
      <c r="A152" s="852" t="s">
        <v>427</v>
      </c>
      <c r="B152" s="850" t="str">
        <f>IF(A152="-","-",IFERROR(INDEX(B$1:B$100,MATCH(A152,I$1:I$100,0)),""))</f>
        <v>Enn Tokman</v>
      </c>
      <c r="C152" s="851">
        <v>10</v>
      </c>
      <c r="D152" s="858"/>
      <c r="E152" s="859"/>
      <c r="F152" s="807"/>
      <c r="G152" s="807"/>
      <c r="H152" s="951" t="str">
        <f>IF(COUNT(G143,G151)=2,IF(G143&lt;G151,E143,E151),"")</f>
        <v>Viktor Švarõgin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</row>
    <row r="153" spans="1:18" x14ac:dyDescent="0.2">
      <c r="A153" s="852"/>
      <c r="B153" s="853"/>
      <c r="C153" s="854" t="str">
        <f>IF(COUNT(C152,C154)=2,IF(C152&gt;C154,B152,B154),"")</f>
        <v>Fredi Müür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</row>
    <row r="154" spans="1:18" x14ac:dyDescent="0.2">
      <c r="A154" s="852" t="s">
        <v>507</v>
      </c>
      <c r="B154" s="855" t="str">
        <f>IF(A154="-","-",IFERROR(INDEX(B$1:B$100,MATCH(A154,I$1:I$100,0)),""))</f>
        <v>Fredi Müür</v>
      </c>
      <c r="C154" s="856">
        <v>13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</row>
    <row r="155" spans="1:18" x14ac:dyDescent="0.2">
      <c r="A155" s="754"/>
      <c r="B155" s="818"/>
      <c r="C155" s="755"/>
      <c r="D155" s="755"/>
      <c r="E155" s="804" t="str">
        <f>IF(COUNT(E141,E145)=2,IF(E141&lt;E145,C141,C145),"")</f>
        <v>Peep Peenema</v>
      </c>
      <c r="F155" s="755"/>
      <c r="G155" s="851">
        <v>13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</row>
    <row r="156" spans="1:18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Peep Peenema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</row>
    <row r="157" spans="1:18" x14ac:dyDescent="0.2">
      <c r="A157" s="755"/>
      <c r="B157" s="755"/>
      <c r="C157" s="755"/>
      <c r="D157" s="755"/>
      <c r="E157" s="865" t="str">
        <f>IF(COUNT(E149,E153)=2,IF(E149&lt;E153,C149,C153),"")</f>
        <v>Ljudmila Varendi</v>
      </c>
      <c r="F157" s="860"/>
      <c r="G157" s="856">
        <v>10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</row>
    <row r="158" spans="1:18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</row>
    <row r="159" spans="1:18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Ljudmila Varendi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</row>
    <row r="160" spans="1:18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</row>
    <row r="161" spans="1:18" x14ac:dyDescent="0.2">
      <c r="A161" s="755"/>
      <c r="B161" s="755"/>
      <c r="C161" s="865" t="str">
        <f>IF(COUNT(C140,C142)=2,IF(C140&lt;C142,B140,B142),"")</f>
        <v>Svetlana Veski</v>
      </c>
      <c r="D161" s="755"/>
      <c r="E161" s="851"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</row>
    <row r="162" spans="1:18" x14ac:dyDescent="0.2">
      <c r="A162" s="755"/>
      <c r="B162" s="755"/>
      <c r="C162" s="866"/>
      <c r="D162" s="867"/>
      <c r="E162" s="854" t="str">
        <f>IF(COUNT(E161,E163)=2,IF(E161&gt;E163,C161,C163),"")</f>
        <v>Svetlana Veski</v>
      </c>
      <c r="F162" s="755"/>
      <c r="G162" s="851"/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</row>
    <row r="163" spans="1:18" x14ac:dyDescent="0.2">
      <c r="A163" s="755"/>
      <c r="B163" s="755"/>
      <c r="C163" s="865" t="str">
        <f>IF(COUNT(C144,C146)=2,IF(C144&lt;C146,B144,B146),"")</f>
        <v>Elmo Lageda</v>
      </c>
      <c r="D163" s="868"/>
      <c r="E163" s="970">
        <v>1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</row>
    <row r="164" spans="1:18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/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</row>
    <row r="165" spans="1:18" x14ac:dyDescent="0.2">
      <c r="A165" s="755"/>
      <c r="B165" s="755"/>
      <c r="C165" s="865" t="str">
        <f>IF(COUNT(C148,C150)=2,IF(C148&lt;C150,B148,B150),"")</f>
        <v>Kaspar Mänd</v>
      </c>
      <c r="D165" s="851"/>
      <c r="E165" s="851">
        <v>6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</row>
    <row r="166" spans="1:18" x14ac:dyDescent="0.2">
      <c r="A166" s="755"/>
      <c r="B166" s="755"/>
      <c r="C166" s="866"/>
      <c r="D166" s="867"/>
      <c r="E166" s="854" t="str">
        <f>IF(COUNT(E165,E167)=2,IF(E165&gt;E167,C165,C167),"")</f>
        <v>Enn Tokman</v>
      </c>
      <c r="F166" s="860"/>
      <c r="G166" s="971"/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</row>
    <row r="167" spans="1:18" ht="13.5" thickBot="1" x14ac:dyDescent="0.25">
      <c r="A167" s="755"/>
      <c r="B167" s="755"/>
      <c r="C167" s="865" t="str">
        <f>IF(COUNT(C152,C154)=2,IF(C152&lt;C154,B152,B154),"")</f>
        <v>Enn Tokman</v>
      </c>
      <c r="D167" s="868"/>
      <c r="E167" s="856">
        <v>13</v>
      </c>
      <c r="F167" s="851"/>
      <c r="G167" s="869"/>
      <c r="H167" s="951" t="str">
        <f>IF(COUNT(G162,G166)=2,IF(G162&lt;G166,E162,E166),"")</f>
        <v/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</row>
    <row r="168" spans="1:18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</row>
    <row r="169" spans="1:18" x14ac:dyDescent="0.2">
      <c r="A169" s="755"/>
      <c r="B169" s="755"/>
      <c r="C169" s="851"/>
      <c r="D169" s="869"/>
      <c r="E169" s="804" t="str">
        <f>IF(COUNT(E161,E163)=2,IF(E161&lt;E163,C161,C163),"")</f>
        <v>Elmo Lageda</v>
      </c>
      <c r="F169" s="755"/>
      <c r="G169" s="851" t="str">
        <f>IF(E169="-",0,IF(E171="-",13,""))</f>
        <v/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</row>
    <row r="170" spans="1:18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/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</row>
    <row r="171" spans="1:18" x14ac:dyDescent="0.2">
      <c r="A171" s="755"/>
      <c r="B171" s="755"/>
      <c r="C171" s="851"/>
      <c r="D171" s="869"/>
      <c r="E171" s="865" t="str">
        <f>IF(COUNT(E165,E167)=2,IF(E165&lt;E167,C165,C167),"")</f>
        <v>Kaspar Mänd</v>
      </c>
      <c r="F171" s="860"/>
      <c r="G171" s="856" t="str">
        <f>IF(E171="-",0,IF(E169="-",13,""))</f>
        <v/>
      </c>
      <c r="H171" s="810" t="s">
        <v>530</v>
      </c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</row>
    <row r="172" spans="1:18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</row>
    <row r="173" spans="1:18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/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</row>
    <row r="174" spans="1:18" x14ac:dyDescent="0.2">
      <c r="A174" s="213"/>
      <c r="B174" s="552"/>
      <c r="C174" s="805"/>
      <c r="D174" s="805"/>
      <c r="E174" s="805"/>
      <c r="F174" s="805"/>
      <c r="G174" s="830"/>
      <c r="H174" s="810" t="s">
        <v>531</v>
      </c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</row>
    <row r="175" spans="1:18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</row>
    <row r="176" spans="1:18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</row>
    <row r="177" spans="1:18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</row>
    <row r="178" spans="1:18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</row>
    <row r="179" spans="1:18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</row>
    <row r="180" spans="1:18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</row>
    <row r="181" spans="1:18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</row>
    <row r="182" spans="1:18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</row>
    <row r="183" spans="1:18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</row>
    <row r="184" spans="1:18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</row>
    <row r="185" spans="1:18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</row>
    <row r="186" spans="1:18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</row>
    <row r="187" spans="1:18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</row>
    <row r="188" spans="1:18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</row>
    <row r="189" spans="1:18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</row>
    <row r="190" spans="1:18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</row>
    <row r="191" spans="1:18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</row>
    <row r="192" spans="1:18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</row>
    <row r="193" spans="1:18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</row>
    <row r="194" spans="1:18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</row>
    <row r="195" spans="1:18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</row>
    <row r="196" spans="1:18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</row>
    <row r="197" spans="1:18" x14ac:dyDescent="0.2">
      <c r="A197" s="806" t="s">
        <v>532</v>
      </c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</row>
    <row r="198" spans="1:18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</row>
    <row r="199" spans="1:18" x14ac:dyDescent="0.2">
      <c r="A199" s="765"/>
      <c r="B199" s="766"/>
      <c r="C199" s="767">
        <v>1</v>
      </c>
      <c r="D199" s="767">
        <v>2</v>
      </c>
      <c r="E199" s="767">
        <v>3</v>
      </c>
      <c r="F199" s="767">
        <v>4</v>
      </c>
      <c r="G199" s="767"/>
      <c r="H199" s="767" t="s">
        <v>363</v>
      </c>
      <c r="I199" s="766" t="s">
        <v>364</v>
      </c>
      <c r="J199" s="819" t="s">
        <v>21</v>
      </c>
      <c r="K199" s="768" t="s">
        <v>21</v>
      </c>
      <c r="L199" s="769" t="s">
        <v>365</v>
      </c>
      <c r="M199" s="212" t="b">
        <f>OR(AND(COUNTA(B200:B204)=3,COUNTA(C200:G204)=6),AND(COUNTA(B200:B204)=4,COUNTA(C200:G204)=12),AND(COUNTA(B200:B204)=5,COUNTA(C200:G204)=20))</f>
        <v>1</v>
      </c>
      <c r="N199" s="755"/>
      <c r="O199" s="755"/>
      <c r="P199" s="755"/>
      <c r="Q199" s="755"/>
      <c r="R199" s="755"/>
    </row>
    <row r="200" spans="1:18" x14ac:dyDescent="0.2">
      <c r="A200" s="765">
        <v>1</v>
      </c>
      <c r="B200" s="820" t="str">
        <f>IF(B233="-","-",IFERROR(INDEX(B$1:B$100,MATCH("A5",I$1:I$100,0)),""))</f>
        <v>Veroonika Mendes</v>
      </c>
      <c r="C200" s="776"/>
      <c r="D200" s="778">
        <v>13</v>
      </c>
      <c r="E200" s="778">
        <v>13</v>
      </c>
      <c r="F200" s="778">
        <v>13</v>
      </c>
      <c r="G200" s="778"/>
      <c r="H200" s="796" t="str">
        <f>(IF(D200-C201&gt;0,1)+IF(E200-C202&gt;0,1)+IF(F200-C203&gt;0,1)+IF(G200-C204&gt;0,1))&amp;"-"&amp;(IF(D200-C201&lt;0,1)+IF(E200-C202&lt;0,1)+IF(F200-C203&lt;0,1)+IF(G200-C204&lt;0,1))</f>
        <v>3-0</v>
      </c>
      <c r="I200" s="778">
        <f>IF(AND(B200&lt;&gt;"",M$199=TRUE),RANK(M200,M$200:M$204,0),"")</f>
        <v>1</v>
      </c>
      <c r="J200" s="821">
        <f>VALUE(LEFT(H200,1))</f>
        <v>3</v>
      </c>
      <c r="K200" s="822">
        <f>IF(AND(J200=1,J201=1,D200&gt;C201),1)+IF(AND(J200=1,J202=1,E200&gt;C202),1)+IF(AND(J200=1,J203=1,F200&gt;C203),1)+IF(AND(J200=1,J204=1,G200&gt;C204),1)+IF(AND(J200=2,J201=2,D200&gt;C201),1)+IF(AND(J200=2,J202=2,E200&gt;C202),1)+IF(AND(J200=2,J203=2,F200&gt;C203),1)+IF(AND(J200=2,J204=2,G200&gt;C204),1)+IF(AND(J200=3,J201=3,D200&gt;C201),1)+IF(AND(J200=3,J202=3,E200&gt;C202),1)+IF(AND(J200=3,J203=3,F200&gt;C203),1)+IF(AND(J200=3,J204=3,G200&gt;C204),1)</f>
        <v>0</v>
      </c>
      <c r="L200" s="823">
        <f>IF(AND(J200=1,J201=1),D200-C201)+IF(AND(J200=1,J202=1),E200-C202)+IF(AND(J200=1,J203=1),F200-C203)+IF(AND(J200=1,J204=1),G200-C204)+IF(AND(J200=2,J201=2),D200-C201)+IF(AND(J200=2,J202=2),E200-C202)+IF(AND(J200=2,J203=2),F200-C203)+IF(AND(J200=2,J204=2),G200-C204)+IF(AND(J200=3,J201=3),D200-C201)+IF(AND(J200=3,J202=3),E200-C202)+IF(AND(J200=3,J203=3),F200-C203)+IF(AND(J200=3,J204=3),G200-C204)</f>
        <v>0</v>
      </c>
      <c r="M200" s="824">
        <f>10000*J200+K200*100+L200</f>
        <v>30000</v>
      </c>
      <c r="O200" s="755"/>
      <c r="P200" s="755"/>
      <c r="Q200" s="755"/>
      <c r="R200" s="755"/>
    </row>
    <row r="201" spans="1:18" x14ac:dyDescent="0.2">
      <c r="A201" s="765">
        <v>2</v>
      </c>
      <c r="B201" s="775" t="str">
        <f>IF(B233="-","-",IFERROR(INDEX(B$1:B$100,MATCH("B5",I$1:I$100,0)),""))</f>
        <v>Ksenija Matšneva</v>
      </c>
      <c r="C201" s="778">
        <v>12</v>
      </c>
      <c r="D201" s="776"/>
      <c r="E201" s="778">
        <v>13</v>
      </c>
      <c r="F201" s="778">
        <v>13</v>
      </c>
      <c r="G201" s="778"/>
      <c r="H201" s="796" t="str">
        <f>(IF(C201-D200&gt;0,1)+IF(E201-D202&gt;0,1)+IF(F201-D203&gt;0,1)+IF(G201-D204&gt;0,1))&amp;"-"&amp;(IF(C201-D200&lt;0,1)+IF(E201-D202&lt;0,1)+IF(F201-D203&lt;0,1)+IF(G201-D204&lt;0,1))</f>
        <v>2-1</v>
      </c>
      <c r="I201" s="778">
        <f>IF(AND(B201&lt;&gt;"",M$199=TRUE),RANK(M201,M$200:M$204,0),"")</f>
        <v>2</v>
      </c>
      <c r="J201" s="821">
        <f>VALUE(LEFT(H201,1))</f>
        <v>2</v>
      </c>
      <c r="K201" s="825">
        <f>IF(AND(J201=1,J200=1,C201&gt;D200),1)+IF(AND(J201=1,J202=1,E201&gt;D202),1)+IF(AND(J201=1,J203=1,F201&gt;D203),1)+IF(AND(J201=1,J204=1,G201&gt;D204),1)+IF(AND(J201=2,J200=2,C201&gt;D200),1)+IF(AND(J201=2,J202=2,E201&gt;D202),1)+IF(AND(J201=2,J203=2,F201&gt;D203),1)+IF(AND(J201=2,J204=2,G201&gt;D204),1)+IF(AND(J201=3,J200=3,C201&gt;D200),1)+IF(AND(J201=3,J202=3,E201&gt;D202),1)+IF(AND(J201=3,J203=3,F201&gt;D203),1)+IF(AND(J201=3,J204=3,G201&gt;D204),1)</f>
        <v>0</v>
      </c>
      <c r="L201" s="823">
        <f>IF(AND(J201=1,J200=1),C201-D200)+IF(AND(J201=1,J202=1),E201-D202)+IF(AND(J201=1,J203=1),F201-D203)+IF(AND(J201=1,J204=1),G201-D204)+IF(AND(J201=2,J200=2),C201-D200)+IF(AND(J201=2,J202=2),E201-D202)+IF(AND(J201=2,J203=2),F201-D203)+IF(AND(J201=2,J204=2),G201-D204)+IF(AND(J201=3,J200=3),C201-D200)+IF(AND(J201=3,J202=3),E201-D202)+IF(AND(J201=3,J203=3),F201-D203)+IF(AND(J201=3,J204=3),G201-D204)</f>
        <v>0</v>
      </c>
      <c r="M201" s="824">
        <f>10000*J201+K201*100+L201</f>
        <v>20000</v>
      </c>
      <c r="N201" s="212"/>
      <c r="O201" s="755"/>
      <c r="P201" s="755"/>
      <c r="Q201" s="755"/>
      <c r="R201" s="755"/>
    </row>
    <row r="202" spans="1:18" x14ac:dyDescent="0.2">
      <c r="A202" s="765">
        <v>3</v>
      </c>
      <c r="B202" s="775" t="str">
        <f>IF(B233="-","-",IFERROR(INDEX(B$1:B$100,MATCH("C5",I$1:I$100,0)),""))</f>
        <v>Illar Tõnurist</v>
      </c>
      <c r="C202" s="778">
        <v>10</v>
      </c>
      <c r="D202" s="787">
        <v>6</v>
      </c>
      <c r="E202" s="776"/>
      <c r="F202" s="778">
        <v>13</v>
      </c>
      <c r="G202" s="778"/>
      <c r="H202" s="796" t="str">
        <f>(IF(C202-E200&gt;0,1)+IF(D202-E201&gt;0,1)+IF(F202-E203&gt;0,1)+IF(G202-E204&gt;0,1))&amp;"-"&amp;(IF(C202-E200&lt;0,1)+IF(D202-E201&lt;0,1)+IF(F202-E203&lt;0,1)+IF(G202-E204&lt;0,1))</f>
        <v>1-2</v>
      </c>
      <c r="I202" s="778">
        <f>IF(AND(B202&lt;&gt;"",M$199=TRUE),RANK(M202,M$200:M$204,0),"")</f>
        <v>3</v>
      </c>
      <c r="J202" s="821">
        <f>VALUE(LEFT(H202,1))</f>
        <v>1</v>
      </c>
      <c r="K202" s="825">
        <f>IF(AND(J202=1,J200=1,C202&gt;E200),1)+IF(AND(J202=1,J201=1,D202&gt;E201),1)+IF(AND(J202=1,J203=1,F202&gt;E203),1)+IF(AND(J202=1,J204=1,G202&gt;E204),1)+IF(AND(J202=2,J200=2,C202&gt;E200),1)+IF(AND(J202=2,J201=2,D202&gt;E201),1)+IF(AND(J202=2,J203=2,F202&gt;E203),1)+IF(AND(J202=2,J204=2,G202&gt;E204),1)+IF(AND(J202=3,J200=3,C202&gt;E200),1)+IF(AND(J202=3,J201=3,D202&gt;E201),1)+IF(AND(J202=3,J203=3,F202&gt;E203),1)+IF(AND(J202=3,J204=3,G202&gt;E204),1)</f>
        <v>0</v>
      </c>
      <c r="L202" s="823">
        <f>IF(AND(J202=1,J200=1),C202-E200)+IF(AND(J202=1,J201=1),D202-E201)+IF(AND(J202=1,J203=1),F202-E203)+IF(AND(J202=1,J204=1),G202-E204)+IF(AND(J202=2,J200=2),C202-E200)+IF(AND(J202=2,J201=2),D202-E201)+IF(AND(J202=2,J203=2),F202-E203)+IF(AND(J202=2,J204=2),G202-E204)+IF(AND(J202=3,J200=3),C202-E200)+IF(AND(J202=3,J201=3),D202-E201)+IF(AND(J202=3,J203=3),F202-E203)+IF(AND(J202=3,J204=3),G202-E204)</f>
        <v>0</v>
      </c>
      <c r="M202" s="824">
        <f>10000*J202+K202*100+L202</f>
        <v>10000</v>
      </c>
      <c r="N202" s="212"/>
      <c r="O202" s="755"/>
      <c r="P202" s="755"/>
      <c r="Q202" s="755"/>
      <c r="R202" s="755"/>
    </row>
    <row r="203" spans="1:18" x14ac:dyDescent="0.2">
      <c r="A203" s="765">
        <v>4</v>
      </c>
      <c r="B203" s="792" t="str">
        <f>IF(B233="-","-",IFERROR(INDEX(B$1:B$100,MATCH("D5",I$1:I$100,0)),""))</f>
        <v>Reimo Lõhmus</v>
      </c>
      <c r="C203" s="778">
        <v>11</v>
      </c>
      <c r="D203" s="787">
        <v>8</v>
      </c>
      <c r="E203" s="778">
        <v>12</v>
      </c>
      <c r="F203" s="776"/>
      <c r="G203" s="779"/>
      <c r="H203" s="796" t="str">
        <f>(IF(C203-F200&gt;0,1)+IF(D203-F201&gt;0,1)+IF(E203-F202&gt;0,1)+IF(G203-F204&gt;0,1))&amp;"-"&amp;(IF(C203-F200&lt;0,1)+IF(D203-F201&lt;0,1)+IF(E203-F202&lt;0,1)+IF(G203-F204&lt;0,1))</f>
        <v>0-3</v>
      </c>
      <c r="I203" s="778">
        <f>IF(AND(B203&lt;&gt;"",M$199=TRUE),RANK(M203,M$200:M$204,0),"")</f>
        <v>4</v>
      </c>
      <c r="J203" s="821">
        <f>VALUE(LEFT(H203,1))</f>
        <v>0</v>
      </c>
      <c r="K203" s="825">
        <f>IF(AND(J203=1,J200=1,C203&gt;F200),1)+IF(AND(J203=1,J201=1,D203&gt;F201),1)+IF(AND(J203=1,J202=1,E203&gt;F202),1)+IF(AND(J203=1,J204=1,G203&gt;F204),1)+IF(AND(J203=2,J200=2,C203&gt;F200),1)+IF(AND(J203=2,J201=2,D203&gt;F201),1)+IF(AND(J203=2,J202=2,E203&gt;F202),1)+IF(AND(J203=2,J204=2,G203&gt;F204),1)+IF(AND(J203=3,J200=3,C203&gt;F200),1)+IF(AND(J203=3,J201=3,D203&gt;F201),1)+IF(AND(J203=3,J202=3,E203&gt;F202),1)+IF(AND(J203=3,J204=3,G203&gt;F204),1)</f>
        <v>0</v>
      </c>
      <c r="L203" s="823">
        <f>IF(AND(J203=1,J200=1),C203-F200)+IF(AND(J203=1,J201=1),D203-F201)+IF(AND(J203=1,J202=1),E203-F202)+IF(AND(J203=1,J204=1),G203-F204)+IF(AND(J203=2,J200=2),C203-F200)+IF(AND(J203=2,J201=2),D203-F201)+IF(AND(J203=2,J202=2),E203-F202)+IF(AND(J203=2,J204=2),G203-F204)+IF(AND(J203=3,J200=3),C203-F200)+IF(AND(J203=3,J201=3),D203-F201)+IF(AND(J203=3,J202=3),E203-F202)+IF(AND(J203=3,J204=3),G203-F204)</f>
        <v>0</v>
      </c>
      <c r="M203" s="824">
        <f>10000*J203+K203*100+L203</f>
        <v>0</v>
      </c>
      <c r="N203" s="212"/>
      <c r="O203" s="755"/>
      <c r="P203" s="755"/>
      <c r="Q203" s="755"/>
      <c r="R203" s="755"/>
    </row>
    <row r="204" spans="1:18" hidden="1" x14ac:dyDescent="0.2">
      <c r="A204" s="765">
        <v>5</v>
      </c>
      <c r="B204" s="792"/>
      <c r="C204" s="778"/>
      <c r="D204" s="778"/>
      <c r="E204" s="778"/>
      <c r="F204" s="778"/>
      <c r="G204" s="776"/>
      <c r="H204" s="796" t="str">
        <f>(IF(C204-G200&gt;0,1)+IF(D204-G201&gt;0,1)+IF(E204-G202&gt;0,1)+IF(F204-G203&gt;0,1))&amp;"-"&amp;(IF(C204-G200&lt;0,1)+IF(D204-G201&lt;0,1)+IF(E204-G202&lt;0,1)+IF(F204-G203&lt;0,1))</f>
        <v>0-0</v>
      </c>
      <c r="I204" s="778" t="str">
        <f>IF(AND(B204&lt;&gt;"",M$199=TRUE),RANK(M204,M$200:M$204,0),"")</f>
        <v/>
      </c>
      <c r="J204" s="821">
        <f>VALUE(LEFT(H204,1))</f>
        <v>0</v>
      </c>
      <c r="K204" s="825">
        <f>IF(AND(J204=1,J200=1,C204&gt;G200),1)+IF(AND(J204=1,J201=1,D204&gt;G201),1)+IF(AND(J204=1,J202=1,E204&gt;G202),1)+IF(AND(J204=1,J203=1,F204&gt;G203),1)+IF(AND(J204=2,J200=2,C204&gt;G200),1)+IF(AND(J204=2,J201=2,D204&gt;G201),1)+IF(AND(J204=2,J202=2,E204&gt;G202),1)+IF(AND(J204=2,J203=2,F204&gt;G203),1)+IF(AND(J204=3,J200=3,C204&gt;G200),1)+IF(AND(J204=3,J201=3,D204&gt;G201),1)+IF(AND(J204=3,J202=3,E204&gt;G202),1)+IF(AND(J204=3,J203=3,F204&gt;G203),1)</f>
        <v>0</v>
      </c>
      <c r="L204" s="823">
        <f>IF(AND(J204=1,J200=1),C204-G200)+IF(AND(J204=1,J201=1),D204-G201)+IF(AND(J204=1,J202=1),E204-G202)+IF(AND(J204=1,J203=1),F204-G203)+IF(AND(J204=2,J200=2),C204-G200)+IF(AND(J204=2,J201=2),D204-G201)+IF(AND(J204=2,J202=2),E204-G202)+IF(AND(J204=2,J203=2),F204-G203)+IF(AND(J204=3,J200=3),C204-G200)+IF(AND(J204=3,J201=3),D204-G201)+IF(AND(J204=3,J202=3),E204-G202)+IF(AND(J204=3,J203=3),F204-G203)</f>
        <v>0</v>
      </c>
      <c r="M204" s="824">
        <f t="shared" ref="M204" si="16">10000*J204+K204*100+L204</f>
        <v>0</v>
      </c>
      <c r="N204" s="212"/>
      <c r="O204" s="755"/>
      <c r="P204" s="755"/>
      <c r="Q204" s="755"/>
      <c r="R204" s="755"/>
    </row>
    <row r="205" spans="1:18" x14ac:dyDescent="0.2">
      <c r="A205" s="827"/>
      <c r="B205" s="828"/>
      <c r="C205" s="808"/>
      <c r="D205" s="829"/>
      <c r="E205" s="808"/>
      <c r="F205" s="805"/>
      <c r="G205" s="212"/>
      <c r="H205" s="830"/>
      <c r="I205" s="831"/>
      <c r="J205" s="755"/>
      <c r="K205" s="755"/>
      <c r="L205" s="755"/>
      <c r="M205" s="755"/>
      <c r="O205" s="755"/>
      <c r="P205" s="755"/>
      <c r="Q205" s="755"/>
      <c r="R205" s="755"/>
    </row>
    <row r="206" spans="1:18" x14ac:dyDescent="0.2">
      <c r="A206" s="755"/>
      <c r="B206" s="799" t="s">
        <v>373</v>
      </c>
      <c r="C206" s="800" t="s">
        <v>387</v>
      </c>
      <c r="D206" s="800" t="s">
        <v>386</v>
      </c>
      <c r="E206" s="755"/>
      <c r="F206" s="755"/>
      <c r="G206" s="755"/>
      <c r="H206" s="755"/>
      <c r="I206" s="755"/>
      <c r="J206" s="817"/>
      <c r="K206" s="832"/>
      <c r="L206" s="833"/>
      <c r="M206" s="817"/>
      <c r="O206" s="755"/>
      <c r="P206" s="755"/>
      <c r="Q206" s="755"/>
      <c r="R206" s="755"/>
    </row>
    <row r="207" spans="1:18" x14ac:dyDescent="0.2">
      <c r="A207" s="755"/>
      <c r="B207" s="799" t="s">
        <v>376</v>
      </c>
      <c r="C207" s="800" t="s">
        <v>377</v>
      </c>
      <c r="D207" s="800" t="s">
        <v>375</v>
      </c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</row>
    <row r="208" spans="1:18" x14ac:dyDescent="0.2">
      <c r="A208" s="755"/>
      <c r="B208" s="799" t="s">
        <v>379</v>
      </c>
      <c r="C208" s="800" t="s">
        <v>408</v>
      </c>
      <c r="D208" s="800" t="s">
        <v>381</v>
      </c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</row>
    <row r="209" spans="1:18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</row>
    <row r="210" spans="1:18" ht="13.5" thickBot="1" x14ac:dyDescent="0.25">
      <c r="A210" s="755"/>
      <c r="B210" s="754"/>
      <c r="C210" s="755"/>
      <c r="D210" s="755"/>
      <c r="E210" s="755"/>
      <c r="F210" s="755"/>
      <c r="G210" s="755"/>
      <c r="H210" s="951" t="str">
        <f>IFERROR(INDEX(B$200:B$204,MATCH(1,I$200:I$204,0)),"")</f>
        <v>Veroonika Mendes</v>
      </c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</row>
    <row r="211" spans="1:18" x14ac:dyDescent="0.2">
      <c r="A211" s="755"/>
      <c r="B211" s="754"/>
      <c r="C211" s="755"/>
      <c r="D211" s="755"/>
      <c r="E211" s="755"/>
      <c r="F211" s="755"/>
      <c r="G211" s="755"/>
      <c r="H211" s="810" t="s">
        <v>533</v>
      </c>
      <c r="I211" s="811"/>
      <c r="J211" s="755"/>
      <c r="K211" s="755"/>
      <c r="L211" s="755"/>
      <c r="M211" s="755"/>
      <c r="N211" s="755"/>
      <c r="O211" s="755"/>
      <c r="P211" s="755"/>
      <c r="Q211" s="755"/>
      <c r="R211" s="755"/>
    </row>
    <row r="212" spans="1:18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</row>
    <row r="213" spans="1:18" ht="13.5" thickBot="1" x14ac:dyDescent="0.25">
      <c r="A213" s="755"/>
      <c r="B213" s="754"/>
      <c r="C213" s="755"/>
      <c r="D213" s="755"/>
      <c r="E213" s="755"/>
      <c r="F213" s="755"/>
      <c r="G213" s="755"/>
      <c r="H213" s="951" t="str">
        <f>IFERROR(INDEX(B$200:B$204,MATCH(2,I$200:I$204,0)),"")</f>
        <v>Ksenija Matšneva</v>
      </c>
      <c r="I213" s="938"/>
      <c r="J213" s="755"/>
      <c r="K213" s="755"/>
      <c r="L213" s="755"/>
      <c r="M213" s="755"/>
      <c r="N213" s="755"/>
      <c r="O213" s="755"/>
      <c r="P213" s="755"/>
      <c r="Q213" s="755"/>
      <c r="R213" s="755"/>
    </row>
    <row r="214" spans="1:18" x14ac:dyDescent="0.2">
      <c r="A214" s="755"/>
      <c r="B214" s="754"/>
      <c r="C214" s="755"/>
      <c r="D214" s="755"/>
      <c r="E214" s="755"/>
      <c r="F214" s="755"/>
      <c r="G214" s="755"/>
      <c r="H214" s="810" t="s">
        <v>534</v>
      </c>
      <c r="I214" s="807"/>
      <c r="J214" s="755"/>
      <c r="K214" s="755"/>
      <c r="L214" s="755"/>
      <c r="M214" s="755"/>
      <c r="N214" s="755"/>
      <c r="O214" s="755"/>
      <c r="P214" s="755"/>
      <c r="Q214" s="755"/>
      <c r="R214" s="755"/>
    </row>
    <row r="215" spans="1:18" x14ac:dyDescent="0.2">
      <c r="A215" s="755"/>
      <c r="B215" s="754"/>
      <c r="C215" s="755"/>
      <c r="D215" s="755"/>
      <c r="E215" s="755"/>
      <c r="F215" s="755"/>
      <c r="G215" s="755"/>
      <c r="H215" s="807"/>
      <c r="I215" s="807"/>
      <c r="J215" s="755"/>
      <c r="K215" s="755"/>
      <c r="L215" s="755"/>
      <c r="M215" s="755"/>
      <c r="N215" s="755"/>
      <c r="O215" s="755"/>
      <c r="P215" s="755"/>
      <c r="Q215" s="755"/>
      <c r="R215" s="755"/>
    </row>
    <row r="216" spans="1:18" ht="13.5" thickBot="1" x14ac:dyDescent="0.25">
      <c r="A216" s="755"/>
      <c r="B216" s="754"/>
      <c r="C216" s="755"/>
      <c r="D216" s="755"/>
      <c r="E216" s="755"/>
      <c r="F216" s="755"/>
      <c r="G216" s="755"/>
      <c r="H216" s="951" t="str">
        <f>IFERROR(INDEX(B$200:B$204,MATCH(3,I$200:I$204,0)),"")</f>
        <v>Illar Tõnurist</v>
      </c>
      <c r="I216" s="938"/>
      <c r="J216" s="755"/>
      <c r="K216" s="755"/>
      <c r="L216" s="755"/>
      <c r="M216" s="755"/>
      <c r="N216" s="755"/>
      <c r="O216" s="755"/>
      <c r="P216" s="755"/>
      <c r="Q216" s="755"/>
      <c r="R216" s="755"/>
    </row>
    <row r="217" spans="1:18" x14ac:dyDescent="0.2">
      <c r="A217" s="755"/>
      <c r="B217" s="754"/>
      <c r="C217" s="755"/>
      <c r="D217" s="755"/>
      <c r="E217" s="755"/>
      <c r="F217" s="755"/>
      <c r="G217" s="755"/>
      <c r="H217" s="810" t="s">
        <v>535</v>
      </c>
      <c r="I217" s="807"/>
      <c r="J217" s="755"/>
      <c r="K217" s="755"/>
      <c r="L217" s="755"/>
      <c r="M217" s="755"/>
      <c r="N217" s="755"/>
      <c r="O217" s="755"/>
      <c r="P217" s="755"/>
      <c r="Q217" s="755"/>
      <c r="R217" s="755"/>
    </row>
    <row r="218" spans="1:18" x14ac:dyDescent="0.2">
      <c r="A218" s="755"/>
      <c r="B218" s="754"/>
      <c r="C218" s="755"/>
      <c r="D218" s="755"/>
      <c r="E218" s="755"/>
      <c r="F218" s="755"/>
      <c r="G218" s="755"/>
      <c r="H218" s="807"/>
      <c r="I218" s="807"/>
      <c r="J218" s="755"/>
      <c r="K218" s="755"/>
      <c r="L218" s="755"/>
      <c r="M218" s="755"/>
      <c r="N218" s="755"/>
      <c r="O218" s="755"/>
      <c r="P218" s="755"/>
      <c r="Q218" s="755"/>
      <c r="R218" s="755"/>
    </row>
    <row r="219" spans="1:18" ht="13.5" thickBot="1" x14ac:dyDescent="0.25">
      <c r="A219" s="755"/>
      <c r="B219" s="754"/>
      <c r="C219" s="755"/>
      <c r="D219" s="755"/>
      <c r="E219" s="755"/>
      <c r="F219" s="755"/>
      <c r="G219" s="755"/>
      <c r="H219" s="951" t="str">
        <f>IFERROR(INDEX(B$200:B$204,MATCH(4,I$200:I$204,0)),"")</f>
        <v>Reimo Lõhmus</v>
      </c>
      <c r="I219" s="938"/>
      <c r="J219" s="755"/>
      <c r="K219" s="755"/>
      <c r="L219" s="755"/>
      <c r="M219" s="755"/>
      <c r="N219" s="755"/>
      <c r="O219" s="755"/>
      <c r="P219" s="755"/>
      <c r="Q219" s="755"/>
      <c r="R219" s="755"/>
    </row>
    <row r="220" spans="1:18" x14ac:dyDescent="0.2">
      <c r="A220" s="755"/>
      <c r="B220" s="754"/>
      <c r="C220" s="755"/>
      <c r="D220" s="755"/>
      <c r="E220" s="755"/>
      <c r="F220" s="755"/>
      <c r="G220" s="755"/>
      <c r="H220" s="810" t="s">
        <v>536</v>
      </c>
      <c r="I220" s="212"/>
      <c r="J220" s="755"/>
      <c r="K220" s="755"/>
      <c r="L220" s="755"/>
      <c r="M220" s="755"/>
      <c r="N220" s="755"/>
      <c r="O220" s="755"/>
      <c r="P220" s="755"/>
      <c r="Q220" s="755"/>
      <c r="R220" s="755"/>
    </row>
    <row r="221" spans="1:18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</row>
    <row r="222" spans="1:18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</row>
    <row r="223" spans="1:18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</row>
    <row r="224" spans="1:18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</row>
    <row r="225" spans="1:18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</row>
    <row r="226" spans="1:18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</row>
    <row r="227" spans="1:18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</row>
    <row r="228" spans="1:18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</row>
    <row r="229" spans="1:18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</row>
    <row r="230" spans="1:18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</row>
    <row r="231" spans="1:18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</row>
    <row r="232" spans="1:18" hidden="1" x14ac:dyDescent="0.2">
      <c r="A232" s="755"/>
      <c r="B232" s="755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</row>
    <row r="233" spans="1:18" hidden="1" x14ac:dyDescent="0.2">
      <c r="A233" s="755"/>
      <c r="B233" s="755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</row>
    <row r="234" spans="1:18" hidden="1" x14ac:dyDescent="0.2">
      <c r="A234" s="755"/>
      <c r="B234" s="755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</row>
    <row r="235" spans="1:18" hidden="1" x14ac:dyDescent="0.2">
      <c r="A235" s="755"/>
      <c r="B235" s="755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</row>
    <row r="236" spans="1:18" hidden="1" x14ac:dyDescent="0.2">
      <c r="A236" s="755"/>
      <c r="B236" s="755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</row>
    <row r="237" spans="1:18" hidden="1" x14ac:dyDescent="0.2">
      <c r="A237" s="755"/>
      <c r="B237" s="755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</row>
    <row r="238" spans="1:18" hidden="1" x14ac:dyDescent="0.2">
      <c r="A238" s="755"/>
      <c r="B238" s="755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</row>
    <row r="239" spans="1:18" hidden="1" x14ac:dyDescent="0.2">
      <c r="A239" s="755"/>
      <c r="B239" s="755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</row>
    <row r="240" spans="1:18" hidden="1" x14ac:dyDescent="0.2">
      <c r="A240" s="755"/>
      <c r="B240" s="755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</row>
    <row r="241" spans="1:18" hidden="1" x14ac:dyDescent="0.2">
      <c r="A241" s="755"/>
      <c r="B241" s="755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</row>
    <row r="242" spans="1:18" hidden="1" x14ac:dyDescent="0.2">
      <c r="A242" s="755"/>
      <c r="B242" s="755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</row>
    <row r="243" spans="1:18" hidden="1" x14ac:dyDescent="0.2">
      <c r="A243" s="755"/>
      <c r="B243" s="755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</row>
    <row r="244" spans="1:18" hidden="1" x14ac:dyDescent="0.2">
      <c r="A244" s="755"/>
      <c r="B244" s="755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</row>
    <row r="245" spans="1:18" hidden="1" x14ac:dyDescent="0.2">
      <c r="A245" s="755"/>
      <c r="B245" s="755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</row>
    <row r="246" spans="1:18" hidden="1" x14ac:dyDescent="0.2">
      <c r="A246" s="755"/>
      <c r="B246" s="755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</row>
    <row r="247" spans="1:18" hidden="1" x14ac:dyDescent="0.2">
      <c r="A247" s="755"/>
      <c r="B247" s="755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</row>
    <row r="248" spans="1:18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</row>
    <row r="249" spans="1:18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</row>
    <row r="250" spans="1:18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</row>
    <row r="251" spans="1:18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</row>
    <row r="252" spans="1:18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</row>
    <row r="253" spans="1:18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</row>
    <row r="254" spans="1:18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</row>
    <row r="255" spans="1:18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</row>
    <row r="256" spans="1:18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</row>
    <row r="257" spans="1:18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</row>
    <row r="258" spans="1:18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</row>
    <row r="259" spans="1:18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</row>
    <row r="260" spans="1:18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</row>
    <row r="261" spans="1:18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</row>
    <row r="262" spans="1:18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</row>
    <row r="263" spans="1:18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</row>
    <row r="264" spans="1:18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</row>
    <row r="265" spans="1:18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</row>
    <row r="266" spans="1:18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</row>
    <row r="267" spans="1:18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</row>
    <row r="268" spans="1:18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</row>
    <row r="269" spans="1:18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</row>
    <row r="270" spans="1:18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</row>
    <row r="271" spans="1:18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</row>
    <row r="272" spans="1:18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</row>
    <row r="273" spans="1:18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</row>
    <row r="274" spans="1:18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</row>
    <row r="275" spans="1:18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</row>
    <row r="276" spans="1:18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</row>
    <row r="277" spans="1:18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</row>
    <row r="278" spans="1:18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</row>
    <row r="279" spans="1:18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</row>
    <row r="280" spans="1:18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</row>
    <row r="281" spans="1:18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</row>
    <row r="282" spans="1:18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</row>
    <row r="283" spans="1:18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</row>
    <row r="284" spans="1:18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</row>
    <row r="285" spans="1:18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</row>
    <row r="286" spans="1:18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</row>
    <row r="287" spans="1:18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</row>
    <row r="288" spans="1:18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</row>
    <row r="289" spans="1:18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</row>
    <row r="290" spans="1:18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</row>
    <row r="291" spans="1:18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</row>
    <row r="292" spans="1:18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</row>
    <row r="293" spans="1:18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</row>
    <row r="294" spans="1:18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</row>
    <row r="295" spans="1:18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</row>
    <row r="296" spans="1:18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</row>
    <row r="297" spans="1:18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</row>
    <row r="298" spans="1:18" hidden="1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</row>
    <row r="299" spans="1:18" x14ac:dyDescent="0.2">
      <c r="A299" s="873"/>
      <c r="B299" s="873"/>
      <c r="C299" s="874"/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</row>
    <row r="300" spans="1:18" x14ac:dyDescent="0.2">
      <c r="A300" s="815">
        <v>1</v>
      </c>
      <c r="B300" s="816" t="str">
        <f t="shared" ref="B300:B309" si="17">IFERROR(INDEX(H$100:H$300,MATCH(A300&amp;". koht",H$101:H$301,0)),"")</f>
        <v>Kenneth Muusikus</v>
      </c>
      <c r="C300" s="755"/>
      <c r="D300" s="875">
        <v>11</v>
      </c>
      <c r="E300" s="972" t="str">
        <f t="shared" ref="E300:E309" si="18">IFERROR(INDEX(H$100:H$300,MATCH(D300&amp;". koht",H$101:H$301,0)),"")</f>
        <v>Peep Peenema</v>
      </c>
      <c r="F300" s="973"/>
      <c r="G300" s="974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</row>
    <row r="301" spans="1:18" x14ac:dyDescent="0.2">
      <c r="A301" s="875">
        <v>2</v>
      </c>
      <c r="B301" s="816" t="str">
        <f t="shared" si="17"/>
        <v>Tõnu Piik</v>
      </c>
      <c r="C301" s="755"/>
      <c r="D301" s="875">
        <v>12</v>
      </c>
      <c r="E301" s="972" t="str">
        <f t="shared" si="18"/>
        <v>Ljudmila Varendi</v>
      </c>
      <c r="F301" s="973"/>
      <c r="G301" s="974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</row>
    <row r="302" spans="1:18" x14ac:dyDescent="0.2">
      <c r="A302" s="875">
        <v>3</v>
      </c>
      <c r="B302" s="816" t="str">
        <f t="shared" si="17"/>
        <v>Jaan Saar</v>
      </c>
      <c r="C302" s="755"/>
      <c r="D302" s="975" t="s">
        <v>537</v>
      </c>
      <c r="E302" s="972" t="s">
        <v>293</v>
      </c>
      <c r="F302" s="973"/>
      <c r="G302" s="974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</row>
    <row r="303" spans="1:18" x14ac:dyDescent="0.2">
      <c r="A303" s="875">
        <v>4</v>
      </c>
      <c r="B303" s="816" t="str">
        <f t="shared" si="17"/>
        <v>Oksana Rõndenkova</v>
      </c>
      <c r="C303" s="755"/>
      <c r="D303" s="975" t="s">
        <v>537</v>
      </c>
      <c r="E303" s="972" t="s">
        <v>282</v>
      </c>
      <c r="F303" s="973"/>
      <c r="G303" s="974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</row>
    <row r="304" spans="1:18" x14ac:dyDescent="0.2">
      <c r="A304" s="976" t="s">
        <v>501</v>
      </c>
      <c r="B304" s="816" t="s">
        <v>285</v>
      </c>
      <c r="C304" s="755"/>
      <c r="D304" s="975" t="s">
        <v>538</v>
      </c>
      <c r="E304" s="972" t="s">
        <v>274</v>
      </c>
      <c r="F304" s="973"/>
      <c r="G304" s="974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</row>
    <row r="305" spans="1:18" x14ac:dyDescent="0.2">
      <c r="A305" s="976" t="s">
        <v>539</v>
      </c>
      <c r="B305" s="816" t="s">
        <v>290</v>
      </c>
      <c r="C305" s="755"/>
      <c r="D305" s="975" t="s">
        <v>538</v>
      </c>
      <c r="E305" s="972" t="s">
        <v>300</v>
      </c>
      <c r="F305" s="973"/>
      <c r="G305" s="974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</row>
    <row r="306" spans="1:18" x14ac:dyDescent="0.2">
      <c r="A306" s="976" t="s">
        <v>539</v>
      </c>
      <c r="B306" s="816" t="s">
        <v>286</v>
      </c>
      <c r="C306" s="755"/>
      <c r="D306" s="875">
        <v>17</v>
      </c>
      <c r="E306" s="972" t="str">
        <f t="shared" si="18"/>
        <v>Veroonika Mendes</v>
      </c>
      <c r="F306" s="973"/>
      <c r="G306" s="974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</row>
    <row r="307" spans="1:18" x14ac:dyDescent="0.2">
      <c r="A307" s="976" t="s">
        <v>540</v>
      </c>
      <c r="B307" s="816" t="s">
        <v>284</v>
      </c>
      <c r="C307" s="755"/>
      <c r="D307" s="875">
        <v>18</v>
      </c>
      <c r="E307" s="972" t="str">
        <f t="shared" si="18"/>
        <v>Ksenija Matšneva</v>
      </c>
      <c r="F307" s="973"/>
      <c r="G307" s="974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</row>
    <row r="308" spans="1:18" x14ac:dyDescent="0.2">
      <c r="A308" s="875">
        <v>9</v>
      </c>
      <c r="B308" s="816" t="str">
        <f t="shared" si="17"/>
        <v>Fredi Müür</v>
      </c>
      <c r="C308" s="755"/>
      <c r="D308" s="875">
        <v>19</v>
      </c>
      <c r="E308" s="972" t="str">
        <f t="shared" si="18"/>
        <v>Illar Tõnurist</v>
      </c>
      <c r="F308" s="973"/>
      <c r="G308" s="974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</row>
    <row r="309" spans="1:18" x14ac:dyDescent="0.2">
      <c r="A309" s="875">
        <v>10</v>
      </c>
      <c r="B309" s="816" t="str">
        <f t="shared" si="17"/>
        <v>Viktor Švarõgin</v>
      </c>
      <c r="C309" s="755"/>
      <c r="D309" s="875">
        <v>20</v>
      </c>
      <c r="E309" s="972" t="str">
        <f t="shared" si="18"/>
        <v>Reimo Lõhmus</v>
      </c>
      <c r="F309" s="973"/>
      <c r="G309" s="974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</row>
    <row r="310" spans="1:18" x14ac:dyDescent="0.2">
      <c r="A310" s="755"/>
      <c r="B310" s="754"/>
      <c r="C310" s="755"/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</row>
    <row r="311" spans="1:18" x14ac:dyDescent="0.2">
      <c r="A311" s="755"/>
      <c r="B311" s="754"/>
      <c r="C311" s="755"/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</row>
    <row r="312" spans="1:18" x14ac:dyDescent="0.2">
      <c r="A312" s="755"/>
      <c r="B312" s="754"/>
      <c r="C312" s="755"/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</row>
    <row r="313" spans="1:18" x14ac:dyDescent="0.2">
      <c r="A313" s="755"/>
      <c r="B313" s="754"/>
      <c r="C313" s="755"/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</row>
  </sheetData>
  <conditionalFormatting sqref="E303">
    <cfRule type="containsBlanks" dxfId="1888" priority="257">
      <formula>LEN(TRIM(E303))=0</formula>
    </cfRule>
    <cfRule type="duplicateValues" dxfId="1887" priority="258"/>
  </conditionalFormatting>
  <conditionalFormatting sqref="I56:I60">
    <cfRule type="expression" dxfId="1886" priority="110">
      <formula>FIND(2,I56,1)</formula>
    </cfRule>
    <cfRule type="expression" dxfId="1885" priority="111">
      <formula>FIND(1,I56,1)</formula>
    </cfRule>
  </conditionalFormatting>
  <conditionalFormatting sqref="A102:A116">
    <cfRule type="cellIs" dxfId="1884" priority="252" operator="equal">
      <formula>"-"</formula>
    </cfRule>
    <cfRule type="duplicateValues" dxfId="1883" priority="253"/>
  </conditionalFormatting>
  <conditionalFormatting sqref="A140:A154">
    <cfRule type="cellIs" dxfId="1882" priority="250" operator="equal">
      <formula>"-"</formula>
    </cfRule>
    <cfRule type="duplicateValues" dxfId="1881" priority="251"/>
  </conditionalFormatting>
  <conditionalFormatting sqref="D7 C8">
    <cfRule type="aboveAverage" dxfId="1880" priority="249"/>
  </conditionalFormatting>
  <conditionalFormatting sqref="E7 C9">
    <cfRule type="aboveAverage" dxfId="1879" priority="248"/>
  </conditionalFormatting>
  <conditionalFormatting sqref="F7 C10">
    <cfRule type="aboveAverage" dxfId="1878" priority="247"/>
  </conditionalFormatting>
  <conditionalFormatting sqref="E8 D9">
    <cfRule type="aboveAverage" dxfId="1877" priority="246"/>
  </conditionalFormatting>
  <conditionalFormatting sqref="G7 C11">
    <cfRule type="aboveAverage" dxfId="1876" priority="245"/>
  </conditionalFormatting>
  <conditionalFormatting sqref="F8 D10">
    <cfRule type="aboveAverage" dxfId="1875" priority="244"/>
  </conditionalFormatting>
  <conditionalFormatting sqref="G8 D11">
    <cfRule type="aboveAverage" dxfId="1874" priority="243"/>
  </conditionalFormatting>
  <conditionalFormatting sqref="F9 E10">
    <cfRule type="aboveAverage" dxfId="1873" priority="242"/>
  </conditionalFormatting>
  <conditionalFormatting sqref="G9 E11">
    <cfRule type="aboveAverage" dxfId="1872" priority="241"/>
  </conditionalFormatting>
  <conditionalFormatting sqref="F11 G10">
    <cfRule type="aboveAverage" dxfId="1871" priority="240"/>
  </conditionalFormatting>
  <conditionalFormatting sqref="K21:K25">
    <cfRule type="expression" dxfId="1870" priority="234">
      <formula>AND(J21=3,IF(COUNTIF(J$21:J$25,"=3")&gt;=2,TRUE))</formula>
    </cfRule>
    <cfRule type="expression" dxfId="1869" priority="238">
      <formula>AND(J21=1,IF(COUNTIF(J$21:J$25,"=1")&gt;=2,TRUE))</formula>
    </cfRule>
    <cfRule type="expression" dxfId="1868" priority="239">
      <formula>AND(J21=2,IF(COUNTIF(J$21:J$25,"=2")&gt;=2,TRUE))</formula>
    </cfRule>
  </conditionalFormatting>
  <conditionalFormatting sqref="K7:K11 K200:K204">
    <cfRule type="expression" dxfId="1867" priority="235">
      <formula>AND(J7=3,IF(COUNTIF(J$7:J$11,"=3")&gt;=2,TRUE))</formula>
    </cfRule>
    <cfRule type="expression" dxfId="1866" priority="236">
      <formula>AND(J7=1,IF(COUNTIF(J$7:J$11,"=1")&gt;=2,TRUE))</formula>
    </cfRule>
    <cfRule type="expression" dxfId="1865" priority="237">
      <formula>AND(J7=2,IF(COUNTIF(J$7:J$11,"=2")&gt;=2,TRUE))</formula>
    </cfRule>
  </conditionalFormatting>
  <conditionalFormatting sqref="H7:H11 H200:H204">
    <cfRule type="expression" dxfId="1864" priority="228">
      <formula>AND(J7=1,IF(COUNTIF(J$7:J$11,"=1")&gt;=2,TRUE))</formula>
    </cfRule>
    <cfRule type="expression" dxfId="1863" priority="232">
      <formula>AND(J7=3,IF(COUNTIF(J$7:J$11,"=3")&gt;=2,TRUE))</formula>
    </cfRule>
    <cfRule type="expression" dxfId="1862" priority="233">
      <formula>AND(J7=2,IF(COUNTIF(J$7:J$11,"=2")&gt;=2,TRUE))</formula>
    </cfRule>
  </conditionalFormatting>
  <conditionalFormatting sqref="H21:H25">
    <cfRule type="expression" dxfId="1861" priority="229">
      <formula>AND(J21=1,IF(COUNTIF(J$21:J$25,"=1")&gt;=2,TRUE))</formula>
    </cfRule>
    <cfRule type="expression" dxfId="1860" priority="230">
      <formula>AND(J21=3,IF(COUNTIF(J$21:J$25,"=3")&gt;=2,TRUE))</formula>
    </cfRule>
    <cfRule type="expression" dxfId="1859" priority="231">
      <formula>AND(J21=2,IF(COUNTIF(J$21:J$25,"=2")&gt;=2,TRUE))</formula>
    </cfRule>
  </conditionalFormatting>
  <conditionalFormatting sqref="C69 C73:C74">
    <cfRule type="aboveAverage" dxfId="1858" priority="227"/>
  </conditionalFormatting>
  <conditionalFormatting sqref="D69 D73:D74">
    <cfRule type="aboveAverage" dxfId="1857" priority="226"/>
  </conditionalFormatting>
  <conditionalFormatting sqref="D14 C15">
    <cfRule type="aboveAverage" dxfId="1856" priority="225"/>
  </conditionalFormatting>
  <conditionalFormatting sqref="E14 C16">
    <cfRule type="aboveAverage" dxfId="1855" priority="224"/>
  </conditionalFormatting>
  <conditionalFormatting sqref="F14 C17">
    <cfRule type="aboveAverage" dxfId="1854" priority="223"/>
  </conditionalFormatting>
  <conditionalFormatting sqref="E15 D16">
    <cfRule type="aboveAverage" dxfId="1853" priority="222"/>
  </conditionalFormatting>
  <conditionalFormatting sqref="G14 C18">
    <cfRule type="aboveAverage" dxfId="1852" priority="221"/>
  </conditionalFormatting>
  <conditionalFormatting sqref="F15 D17">
    <cfRule type="aboveAverage" dxfId="1851" priority="220"/>
  </conditionalFormatting>
  <conditionalFormatting sqref="G15 D18">
    <cfRule type="aboveAverage" dxfId="1850" priority="219"/>
  </conditionalFormatting>
  <conditionalFormatting sqref="F16 E17">
    <cfRule type="aboveAverage" dxfId="1849" priority="218"/>
  </conditionalFormatting>
  <conditionalFormatting sqref="G16 E18">
    <cfRule type="aboveAverage" dxfId="1848" priority="217"/>
  </conditionalFormatting>
  <conditionalFormatting sqref="F18 G17">
    <cfRule type="aboveAverage" dxfId="1847" priority="216"/>
  </conditionalFormatting>
  <conditionalFormatting sqref="D21 C22">
    <cfRule type="aboveAverage" dxfId="1846" priority="215"/>
  </conditionalFormatting>
  <conditionalFormatting sqref="E21 C23">
    <cfRule type="aboveAverage" dxfId="1845" priority="214"/>
  </conditionalFormatting>
  <conditionalFormatting sqref="F21 C24">
    <cfRule type="aboveAverage" dxfId="1844" priority="213"/>
  </conditionalFormatting>
  <conditionalFormatting sqref="E22 D23">
    <cfRule type="aboveAverage" dxfId="1843" priority="212"/>
  </conditionalFormatting>
  <conditionalFormatting sqref="G21 C25">
    <cfRule type="aboveAverage" dxfId="1842" priority="211"/>
  </conditionalFormatting>
  <conditionalFormatting sqref="F22 D24">
    <cfRule type="aboveAverage" dxfId="1841" priority="210"/>
  </conditionalFormatting>
  <conditionalFormatting sqref="G22 D25">
    <cfRule type="aboveAverage" dxfId="1840" priority="209"/>
  </conditionalFormatting>
  <conditionalFormatting sqref="F23 E24">
    <cfRule type="aboveAverage" dxfId="1839" priority="208"/>
  </conditionalFormatting>
  <conditionalFormatting sqref="G23 E25">
    <cfRule type="aboveAverage" dxfId="1838" priority="207"/>
  </conditionalFormatting>
  <conditionalFormatting sqref="F25 G24">
    <cfRule type="aboveAverage" dxfId="1837" priority="206"/>
  </conditionalFormatting>
  <conditionalFormatting sqref="D28 C29">
    <cfRule type="aboveAverage" dxfId="1836" priority="205"/>
  </conditionalFormatting>
  <conditionalFormatting sqref="E28 C30">
    <cfRule type="aboveAverage" dxfId="1835" priority="204"/>
  </conditionalFormatting>
  <conditionalFormatting sqref="F28 C31">
    <cfRule type="aboveAverage" dxfId="1834" priority="203"/>
  </conditionalFormatting>
  <conditionalFormatting sqref="E29 D30">
    <cfRule type="aboveAverage" dxfId="1833" priority="202"/>
  </conditionalFormatting>
  <conditionalFormatting sqref="G28 C32">
    <cfRule type="aboveAverage" dxfId="1832" priority="201"/>
  </conditionalFormatting>
  <conditionalFormatting sqref="F29 D31">
    <cfRule type="aboveAverage" dxfId="1831" priority="200"/>
  </conditionalFormatting>
  <conditionalFormatting sqref="G29 D32">
    <cfRule type="aboveAverage" dxfId="1830" priority="199"/>
  </conditionalFormatting>
  <conditionalFormatting sqref="F30 E31">
    <cfRule type="aboveAverage" dxfId="1829" priority="198"/>
  </conditionalFormatting>
  <conditionalFormatting sqref="G30 E32">
    <cfRule type="aboveAverage" dxfId="1828" priority="197"/>
  </conditionalFormatting>
  <conditionalFormatting sqref="F32 G31">
    <cfRule type="aboveAverage" dxfId="1827" priority="196"/>
  </conditionalFormatting>
  <conditionalFormatting sqref="D35 C36">
    <cfRule type="aboveAverage" dxfId="1826" priority="194"/>
  </conditionalFormatting>
  <conditionalFormatting sqref="E35 C37">
    <cfRule type="aboveAverage" dxfId="1825" priority="193"/>
  </conditionalFormatting>
  <conditionalFormatting sqref="F35 C38">
    <cfRule type="aboveAverage" dxfId="1824" priority="192"/>
  </conditionalFormatting>
  <conditionalFormatting sqref="E36 D37">
    <cfRule type="aboveAverage" dxfId="1823" priority="191"/>
  </conditionalFormatting>
  <conditionalFormatting sqref="G35 C39">
    <cfRule type="aboveAverage" dxfId="1822" priority="190"/>
  </conditionalFormatting>
  <conditionalFormatting sqref="F36 D38">
    <cfRule type="aboveAverage" dxfId="1821" priority="189"/>
  </conditionalFormatting>
  <conditionalFormatting sqref="G36 D39">
    <cfRule type="aboveAverage" dxfId="1820" priority="188"/>
  </conditionalFormatting>
  <conditionalFormatting sqref="F37 E38">
    <cfRule type="aboveAverage" dxfId="1819" priority="187"/>
  </conditionalFormatting>
  <conditionalFormatting sqref="G37 E39">
    <cfRule type="aboveAverage" dxfId="1818" priority="186"/>
  </conditionalFormatting>
  <conditionalFormatting sqref="F39 G38">
    <cfRule type="aboveAverage" dxfId="1817" priority="185"/>
  </conditionalFormatting>
  <conditionalFormatting sqref="K42:K46">
    <cfRule type="expression" dxfId="1816" priority="177">
      <formula>AND(J42=3,IF(COUNTIF(J$14:J$18,"=3")&gt;=2,TRUE))</formula>
    </cfRule>
    <cfRule type="expression" dxfId="1815" priority="183">
      <formula>AND(J42=1,IF(COUNTIF(J$14:J$18,"=1")&gt;=2,TRUE))</formula>
    </cfRule>
    <cfRule type="expression" dxfId="1814" priority="184">
      <formula>AND(J42=2,IF(COUNTIF(J$14:J$18,"=2")&gt;=2,TRUE))</formula>
    </cfRule>
  </conditionalFormatting>
  <conditionalFormatting sqref="K49:K53">
    <cfRule type="expression" dxfId="1813" priority="176">
      <formula>AND(J49=3,IF(COUNTIF(J$21:J$25,"=3")&gt;=2,TRUE))</formula>
    </cfRule>
    <cfRule type="expression" dxfId="1812" priority="181">
      <formula>AND(J49=1,IF(COUNTIF(J$21:J$25,"=1")&gt;=2,TRUE))</formula>
    </cfRule>
    <cfRule type="expression" dxfId="1811" priority="182">
      <formula>AND(J49=2,IF(COUNTIF(J$21:J$25,"=2")&gt;=2,TRUE))</formula>
    </cfRule>
  </conditionalFormatting>
  <conditionalFormatting sqref="K35:K39">
    <cfRule type="expression" dxfId="1810" priority="178">
      <formula>AND(J35=3,IF(COUNTIF(J$7:J$11,"=3")&gt;=2,TRUE))</formula>
    </cfRule>
    <cfRule type="expression" dxfId="1809" priority="179">
      <formula>AND(J35=1,IF(COUNTIF(J$7:J$11,"=1")&gt;=2,TRUE))</formula>
    </cfRule>
    <cfRule type="expression" dxfId="1808" priority="180">
      <formula>AND(J35=2,IF(COUNTIF(J$7:J$11,"=2")&gt;=2,TRUE))</formula>
    </cfRule>
  </conditionalFormatting>
  <conditionalFormatting sqref="H35:H39">
    <cfRule type="expression" dxfId="1807" priority="167">
      <formula>AND(J35=1,IF(COUNTIF(J$7:J$11,"=1")&gt;=2,TRUE))</formula>
    </cfRule>
    <cfRule type="expression" dxfId="1806" priority="174">
      <formula>AND(J35=3,IF(COUNTIF(J$7:J$11,"=3")&gt;=2,TRUE))</formula>
    </cfRule>
    <cfRule type="expression" dxfId="1805" priority="175">
      <formula>AND(J35=2,IF(COUNTIF(J$7:J$11,"=2")&gt;=2,TRUE))</formula>
    </cfRule>
  </conditionalFormatting>
  <conditionalFormatting sqref="H42:H46">
    <cfRule type="expression" dxfId="1804" priority="168">
      <formula>AND(J42=1,IF(COUNTIF(J$14:J$18,"=1")&gt;=2,TRUE))</formula>
    </cfRule>
    <cfRule type="expression" dxfId="1803" priority="172">
      <formula>AND(J42=3,IF(COUNTIF(J$14:J$18,"=3")&gt;=2,TRUE))</formula>
    </cfRule>
    <cfRule type="expression" dxfId="1802" priority="173">
      <formula>AND(J42=2,IF(COUNTIF(J$14:J$18,"=2")&gt;=2,TRUE))</formula>
    </cfRule>
  </conditionalFormatting>
  <conditionalFormatting sqref="H49:H53">
    <cfRule type="expression" dxfId="1801" priority="169">
      <formula>AND(J49=1,IF(COUNTIF(J$21:J$25,"=1")&gt;=2,TRUE))</formula>
    </cfRule>
    <cfRule type="expression" dxfId="1800" priority="170">
      <formula>AND(J49=3,IF(COUNTIF(J$21:J$25,"=3")&gt;=2,TRUE))</formula>
    </cfRule>
    <cfRule type="expression" dxfId="1799" priority="171">
      <formula>AND(J49=2,IF(COUNTIF(J$21:J$25,"=2")&gt;=2,TRUE))</formula>
    </cfRule>
  </conditionalFormatting>
  <conditionalFormatting sqref="K56:K60">
    <cfRule type="expression" dxfId="1798" priority="164">
      <formula>AND(J56=3,IF(COUNTIF(J$28:J$32,"=3")&gt;=2,TRUE))</formula>
    </cfRule>
    <cfRule type="expression" dxfId="1797" priority="165">
      <formula>AND(J56=1,IF(COUNTIF(J$28:J$32,"=1")&gt;=2,TRUE))</formula>
    </cfRule>
    <cfRule type="expression" dxfId="1796" priority="166">
      <formula>AND(J56=2,IF(COUNTIF(J$28:J$32,"=2")&gt;=2,TRUE))</formula>
    </cfRule>
  </conditionalFormatting>
  <conditionalFormatting sqref="H56:H60">
    <cfRule type="expression" dxfId="1795" priority="161">
      <formula>AND(J56=1,IF(COUNTIF(J$28:J$32,"=1")&gt;=2,TRUE))</formula>
    </cfRule>
    <cfRule type="expression" dxfId="1794" priority="162">
      <formula>AND(J56=3,IF(COUNTIF(J$28:J$32,"=3")&gt;=2,TRUE))</formula>
    </cfRule>
    <cfRule type="expression" dxfId="1793" priority="163">
      <formula>AND(J56=2,IF(COUNTIF(J$28:J$32,"=2")&gt;=2,TRUE))</formula>
    </cfRule>
  </conditionalFormatting>
  <conditionalFormatting sqref="B37">
    <cfRule type="duplicateValues" dxfId="1792" priority="195"/>
  </conditionalFormatting>
  <conditionalFormatting sqref="D42 C43">
    <cfRule type="aboveAverage" dxfId="1791" priority="159"/>
  </conditionalFormatting>
  <conditionalFormatting sqref="E42 C44">
    <cfRule type="aboveAverage" dxfId="1790" priority="158"/>
  </conditionalFormatting>
  <conditionalFormatting sqref="F42 C45">
    <cfRule type="aboveAverage" dxfId="1789" priority="157"/>
  </conditionalFormatting>
  <conditionalFormatting sqref="E43 D44">
    <cfRule type="aboveAverage" dxfId="1788" priority="156"/>
  </conditionalFormatting>
  <conditionalFormatting sqref="G42 C46">
    <cfRule type="aboveAverage" dxfId="1787" priority="155"/>
  </conditionalFormatting>
  <conditionalFormatting sqref="F43 D45">
    <cfRule type="aboveAverage" dxfId="1786" priority="154"/>
  </conditionalFormatting>
  <conditionalFormatting sqref="G43 D46">
    <cfRule type="aboveAverage" dxfId="1785" priority="153"/>
  </conditionalFormatting>
  <conditionalFormatting sqref="F44 E45">
    <cfRule type="aboveAverage" dxfId="1784" priority="152"/>
  </conditionalFormatting>
  <conditionalFormatting sqref="G44 E46">
    <cfRule type="aboveAverage" dxfId="1783" priority="151"/>
  </conditionalFormatting>
  <conditionalFormatting sqref="F46 G45">
    <cfRule type="aboveAverage" dxfId="1782" priority="150"/>
  </conditionalFormatting>
  <conditionalFormatting sqref="B44">
    <cfRule type="duplicateValues" dxfId="1781" priority="160"/>
  </conditionalFormatting>
  <conditionalFormatting sqref="D49 C50">
    <cfRule type="aboveAverage" dxfId="1780" priority="148"/>
  </conditionalFormatting>
  <conditionalFormatting sqref="E49 C51">
    <cfRule type="aboveAverage" dxfId="1779" priority="147"/>
  </conditionalFormatting>
  <conditionalFormatting sqref="F49 C52">
    <cfRule type="aboveAverage" dxfId="1778" priority="146"/>
  </conditionalFormatting>
  <conditionalFormatting sqref="E50 D51">
    <cfRule type="aboveAverage" dxfId="1777" priority="145"/>
  </conditionalFormatting>
  <conditionalFormatting sqref="G49 C53">
    <cfRule type="aboveAverage" dxfId="1776" priority="144"/>
  </conditionalFormatting>
  <conditionalFormatting sqref="F50 D52">
    <cfRule type="aboveAverage" dxfId="1775" priority="143"/>
  </conditionalFormatting>
  <conditionalFormatting sqref="G50 D53">
    <cfRule type="aboveAverage" dxfId="1774" priority="142"/>
  </conditionalFormatting>
  <conditionalFormatting sqref="F51 E52">
    <cfRule type="aboveAverage" dxfId="1773" priority="141"/>
  </conditionalFormatting>
  <conditionalFormatting sqref="G51 E53">
    <cfRule type="aboveAverage" dxfId="1772" priority="140"/>
  </conditionalFormatting>
  <conditionalFormatting sqref="F53 G52">
    <cfRule type="aboveAverage" dxfId="1771" priority="139"/>
  </conditionalFormatting>
  <conditionalFormatting sqref="B51">
    <cfRule type="duplicateValues" dxfId="1770" priority="149"/>
  </conditionalFormatting>
  <conditionalFormatting sqref="D56 C57">
    <cfRule type="aboveAverage" dxfId="1769" priority="137"/>
  </conditionalFormatting>
  <conditionalFormatting sqref="E56 C58">
    <cfRule type="aboveAverage" dxfId="1768" priority="136"/>
  </conditionalFormatting>
  <conditionalFormatting sqref="F56 C59">
    <cfRule type="aboveAverage" dxfId="1767" priority="135"/>
  </conditionalFormatting>
  <conditionalFormatting sqref="E57 D58">
    <cfRule type="aboveAverage" dxfId="1766" priority="134"/>
  </conditionalFormatting>
  <conditionalFormatting sqref="G56 C60">
    <cfRule type="aboveAverage" dxfId="1765" priority="133"/>
  </conditionalFormatting>
  <conditionalFormatting sqref="F57 D59">
    <cfRule type="aboveAverage" dxfId="1764" priority="132"/>
  </conditionalFormatting>
  <conditionalFormatting sqref="G57 D60">
    <cfRule type="aboveAverage" dxfId="1763" priority="131"/>
  </conditionalFormatting>
  <conditionalFormatting sqref="F58 E59">
    <cfRule type="aboveAverage" dxfId="1762" priority="130"/>
  </conditionalFormatting>
  <conditionalFormatting sqref="G58 E60">
    <cfRule type="aboveAverage" dxfId="1761" priority="129"/>
  </conditionalFormatting>
  <conditionalFormatting sqref="F60 G59">
    <cfRule type="aboveAverage" dxfId="1760" priority="128"/>
  </conditionalFormatting>
  <conditionalFormatting sqref="B58">
    <cfRule type="duplicateValues" dxfId="1759" priority="138"/>
  </conditionalFormatting>
  <conditionalFormatting sqref="I10:I11">
    <cfRule type="expression" dxfId="1758" priority="126">
      <formula>FIND(2,I10,1)</formula>
    </cfRule>
    <cfRule type="expression" dxfId="1757" priority="127">
      <formula>FIND(1,I10,1)</formula>
    </cfRule>
  </conditionalFormatting>
  <conditionalFormatting sqref="I7:I9">
    <cfRule type="expression" dxfId="1756" priority="124">
      <formula>FIND(2,I7,1)</formula>
    </cfRule>
    <cfRule type="expression" dxfId="1755" priority="125">
      <formula>FIND(1,I7,1)</formula>
    </cfRule>
  </conditionalFormatting>
  <conditionalFormatting sqref="I28:I32">
    <cfRule type="expression" dxfId="1754" priority="120">
      <formula>FIND(2,I28,1)</formula>
    </cfRule>
    <cfRule type="expression" dxfId="1753" priority="121">
      <formula>FIND(1,I28,1)</formula>
    </cfRule>
  </conditionalFormatting>
  <conditionalFormatting sqref="I21:I25">
    <cfRule type="expression" dxfId="1752" priority="122">
      <formula>FIND(2,I21,1)</formula>
    </cfRule>
    <cfRule type="expression" dxfId="1751" priority="123">
      <formula>FIND(1,I21,1)</formula>
    </cfRule>
  </conditionalFormatting>
  <conditionalFormatting sqref="I38:I39">
    <cfRule type="expression" dxfId="1750" priority="118">
      <formula>FIND(2,I38,1)</formula>
    </cfRule>
    <cfRule type="expression" dxfId="1749" priority="119">
      <formula>FIND(1,I38,1)</formula>
    </cfRule>
  </conditionalFormatting>
  <conditionalFormatting sqref="I35:I37">
    <cfRule type="expression" dxfId="1748" priority="116">
      <formula>FIND(2,I35,1)</formula>
    </cfRule>
    <cfRule type="expression" dxfId="1747" priority="117">
      <formula>FIND(1,I35,1)</formula>
    </cfRule>
  </conditionalFormatting>
  <conditionalFormatting sqref="I42:I46">
    <cfRule type="expression" dxfId="1746" priority="114">
      <formula>FIND(2,I42,1)</formula>
    </cfRule>
    <cfRule type="expression" dxfId="1745" priority="115">
      <formula>FIND(1,I42,1)</formula>
    </cfRule>
  </conditionalFormatting>
  <conditionalFormatting sqref="I49:I53">
    <cfRule type="expression" dxfId="1744" priority="112">
      <formula>FIND(2,I49,1)</formula>
    </cfRule>
    <cfRule type="expression" dxfId="1743" priority="113">
      <formula>FIND(1,I49,1)</formula>
    </cfRule>
  </conditionalFormatting>
  <conditionalFormatting sqref="L15:L18">
    <cfRule type="expression" dxfId="1742" priority="104">
      <formula>OR(J15=0,J15=4)</formula>
    </cfRule>
    <cfRule type="expression" dxfId="1741" priority="108">
      <formula>AND(J15=1,IF(COUNTIF(J$14:J$18,"=1")=1,TRUE))</formula>
    </cfRule>
    <cfRule type="expression" dxfId="1740" priority="109">
      <formula>AND(J15=3,IF(COUNTIF(J$14:J$18,"=3")=1,TRUE))</formula>
    </cfRule>
  </conditionalFormatting>
  <conditionalFormatting sqref="L21:L25">
    <cfRule type="expression" dxfId="1739" priority="105">
      <formula>OR(J21=0,J21=4)</formula>
    </cfRule>
    <cfRule type="expression" dxfId="1738" priority="106">
      <formula>AND(J21=1,IF(COUNTIF(J$21:J$25,"=1")=1,TRUE))</formula>
    </cfRule>
    <cfRule type="expression" dxfId="1737" priority="107">
      <formula>AND(J21=3,IF(COUNTIF(J$21:J$25,"=3")=1,TRUE))</formula>
    </cfRule>
  </conditionalFormatting>
  <conditionalFormatting sqref="L7:L11 L200:L204">
    <cfRule type="expression" dxfId="1736" priority="101">
      <formula>OR(J7=0,J7=4)</formula>
    </cfRule>
    <cfRule type="expression" dxfId="1735" priority="102">
      <formula>AND(J7=1,IF(COUNTIF(J$7:J$11,"=1")=1,TRUE))</formula>
    </cfRule>
    <cfRule type="expression" dxfId="1734" priority="103">
      <formula>AND(J7=3,IF(COUNTIF(J$7:J$11,"=3")=1,TRUE))</formula>
    </cfRule>
  </conditionalFormatting>
  <conditionalFormatting sqref="L28:L32">
    <cfRule type="expression" dxfId="1733" priority="98">
      <formula>OR(J28=0,J28=4)</formula>
    </cfRule>
    <cfRule type="expression" dxfId="1732" priority="99">
      <formula>AND(J28=1,IF(COUNTIF(J$28:J$32,"=1")=1,TRUE))</formula>
    </cfRule>
    <cfRule type="expression" dxfId="1731" priority="100">
      <formula>AND(J28=3,IF(COUNTIF(J$28:J$32,"=3")=1,TRUE))</formula>
    </cfRule>
  </conditionalFormatting>
  <conditionalFormatting sqref="L43:L46">
    <cfRule type="expression" dxfId="1730" priority="92">
      <formula>OR(J43=0,J43=4)</formula>
    </cfRule>
    <cfRule type="expression" dxfId="1729" priority="96">
      <formula>AND(J43=1,IF(COUNTIF(J$14:J$18,"=1")=1,TRUE))</formula>
    </cfRule>
    <cfRule type="expression" dxfId="1728" priority="97">
      <formula>AND(J43=3,IF(COUNTIF(J$14:J$18,"=3")=1,TRUE))</formula>
    </cfRule>
  </conditionalFormatting>
  <conditionalFormatting sqref="L49:L53">
    <cfRule type="expression" dxfId="1727" priority="93">
      <formula>OR(J49=0,J49=4)</formula>
    </cfRule>
    <cfRule type="expression" dxfId="1726" priority="94">
      <formula>AND(J49=1,IF(COUNTIF(J$21:J$25,"=1")=1,TRUE))</formula>
    </cfRule>
    <cfRule type="expression" dxfId="1725" priority="95">
      <formula>AND(J49=3,IF(COUNTIF(J$21:J$25,"=3")=1,TRUE))</formula>
    </cfRule>
  </conditionalFormatting>
  <conditionalFormatting sqref="L35:L39">
    <cfRule type="expression" dxfId="1724" priority="89">
      <formula>OR(J35=0,J35=4)</formula>
    </cfRule>
    <cfRule type="expression" dxfId="1723" priority="90">
      <formula>AND(J35=1,IF(COUNTIF(J$7:J$11,"=1")=1,TRUE))</formula>
    </cfRule>
    <cfRule type="expression" dxfId="1722" priority="91">
      <formula>AND(J35=3,IF(COUNTIF(J$7:J$11,"=3")=1,TRUE))</formula>
    </cfRule>
  </conditionalFormatting>
  <conditionalFormatting sqref="L56:L60">
    <cfRule type="expression" dxfId="1721" priority="86">
      <formula>OR(J56=0,J56=4)</formula>
    </cfRule>
    <cfRule type="expression" dxfId="1720" priority="87">
      <formula>AND(J56=1,IF(COUNTIF(J$28:J$32,"=1")=1,TRUE))</formula>
    </cfRule>
    <cfRule type="expression" dxfId="1719" priority="88">
      <formula>AND(J56=3,IF(COUNTIF(J$28:J$32,"=3")=1,TRUE))</formula>
    </cfRule>
  </conditionalFormatting>
  <conditionalFormatting sqref="L42">
    <cfRule type="expression" dxfId="1718" priority="83">
      <formula>OR(J42=0,J42=4)</formula>
    </cfRule>
    <cfRule type="expression" dxfId="1717" priority="84">
      <formula>AND(J42=1,IF(COUNTIF(J$7:J$11,"=1")=1,TRUE))</formula>
    </cfRule>
    <cfRule type="expression" dxfId="1716" priority="85">
      <formula>AND(J42=3,IF(COUNTIF(J$7:J$11,"=3")=1,TRUE))</formula>
    </cfRule>
  </conditionalFormatting>
  <conditionalFormatting sqref="E123 E125">
    <cfRule type="aboveAverage" dxfId="1715" priority="82"/>
  </conditionalFormatting>
  <conditionalFormatting sqref="E127 E129">
    <cfRule type="aboveAverage" dxfId="1714" priority="81"/>
  </conditionalFormatting>
  <conditionalFormatting sqref="G124 G128">
    <cfRule type="aboveAverage" dxfId="1713" priority="80"/>
  </conditionalFormatting>
  <conditionalFormatting sqref="G131 G133">
    <cfRule type="aboveAverage" dxfId="1712" priority="79"/>
  </conditionalFormatting>
  <conditionalFormatting sqref="E123 E125 E127 E129 G124 G128 G131 G133">
    <cfRule type="containsBlanks" dxfId="1711" priority="78">
      <formula>LEN(TRIM(E123))=0</formula>
    </cfRule>
  </conditionalFormatting>
  <conditionalFormatting sqref="C102 C104">
    <cfRule type="aboveAverage" dxfId="1710" priority="77"/>
  </conditionalFormatting>
  <conditionalFormatting sqref="E103 E107">
    <cfRule type="aboveAverage" dxfId="1709" priority="76"/>
  </conditionalFormatting>
  <conditionalFormatting sqref="C110 C112">
    <cfRule type="aboveAverage" dxfId="1708" priority="75"/>
  </conditionalFormatting>
  <conditionalFormatting sqref="G105 G113">
    <cfRule type="aboveAverage" dxfId="1707" priority="74"/>
  </conditionalFormatting>
  <conditionalFormatting sqref="C102 C104 C110 C112 E103 G105 E107 G113">
    <cfRule type="containsBlanks" dxfId="1706" priority="73">
      <formula>LEN(TRIM(C102))=0</formula>
    </cfRule>
  </conditionalFormatting>
  <conditionalFormatting sqref="C106 C108">
    <cfRule type="aboveAverage" dxfId="1705" priority="72"/>
  </conditionalFormatting>
  <conditionalFormatting sqref="C106 C108">
    <cfRule type="containsBlanks" dxfId="1704" priority="71">
      <formula>LEN(TRIM(C106))=0</formula>
    </cfRule>
  </conditionalFormatting>
  <conditionalFormatting sqref="C114 C116">
    <cfRule type="aboveAverage" dxfId="1703" priority="70"/>
  </conditionalFormatting>
  <conditionalFormatting sqref="C114 C116">
    <cfRule type="containsBlanks" dxfId="1702" priority="69">
      <formula>LEN(TRIM(C114))=0</formula>
    </cfRule>
  </conditionalFormatting>
  <conditionalFormatting sqref="E103">
    <cfRule type="aboveAverage" dxfId="1701" priority="68"/>
  </conditionalFormatting>
  <conditionalFormatting sqref="E107">
    <cfRule type="aboveAverage" dxfId="1700" priority="67"/>
  </conditionalFormatting>
  <conditionalFormatting sqref="G105">
    <cfRule type="aboveAverage" dxfId="1699" priority="66"/>
  </conditionalFormatting>
  <conditionalFormatting sqref="G105">
    <cfRule type="aboveAverage" dxfId="1698" priority="65"/>
  </conditionalFormatting>
  <conditionalFormatting sqref="G113">
    <cfRule type="aboveAverage" dxfId="1697" priority="64"/>
  </conditionalFormatting>
  <conditionalFormatting sqref="G113">
    <cfRule type="aboveAverage" dxfId="1696" priority="63"/>
  </conditionalFormatting>
  <conditionalFormatting sqref="G117 G119">
    <cfRule type="aboveAverage" dxfId="1695" priority="62"/>
  </conditionalFormatting>
  <conditionalFormatting sqref="G117 G119">
    <cfRule type="containsBlanks" dxfId="1694" priority="61">
      <formula>LEN(TRIM(G117))=0</formula>
    </cfRule>
  </conditionalFormatting>
  <conditionalFormatting sqref="E107">
    <cfRule type="aboveAverage" dxfId="1693" priority="60"/>
  </conditionalFormatting>
  <conditionalFormatting sqref="E111 E115">
    <cfRule type="aboveAverage" dxfId="1692" priority="59"/>
  </conditionalFormatting>
  <conditionalFormatting sqref="E111 E115">
    <cfRule type="containsBlanks" dxfId="1691" priority="58">
      <formula>LEN(TRIM(E111))=0</formula>
    </cfRule>
  </conditionalFormatting>
  <conditionalFormatting sqref="E111">
    <cfRule type="aboveAverage" dxfId="1690" priority="57"/>
  </conditionalFormatting>
  <conditionalFormatting sqref="E115">
    <cfRule type="aboveAverage" dxfId="1689" priority="56"/>
  </conditionalFormatting>
  <conditionalFormatting sqref="E115">
    <cfRule type="aboveAverage" dxfId="1688" priority="55"/>
  </conditionalFormatting>
  <conditionalFormatting sqref="G113">
    <cfRule type="aboveAverage" dxfId="1687" priority="54"/>
  </conditionalFormatting>
  <conditionalFormatting sqref="G113">
    <cfRule type="aboveAverage" dxfId="1686" priority="53"/>
  </conditionalFormatting>
  <conditionalFormatting sqref="E161 E163">
    <cfRule type="aboveAverage" dxfId="1685" priority="52"/>
  </conditionalFormatting>
  <conditionalFormatting sqref="E165 E167">
    <cfRule type="aboveAverage" dxfId="1684" priority="51"/>
  </conditionalFormatting>
  <conditionalFormatting sqref="G162 G166">
    <cfRule type="aboveAverage" dxfId="1683" priority="50"/>
  </conditionalFormatting>
  <conditionalFormatting sqref="G169 G171">
    <cfRule type="aboveAverage" dxfId="1682" priority="49"/>
  </conditionalFormatting>
  <conditionalFormatting sqref="E161 E163 E165 E167 G162 G166 G169 G171">
    <cfRule type="containsBlanks" dxfId="1681" priority="48">
      <formula>LEN(TRIM(E161))=0</formula>
    </cfRule>
  </conditionalFormatting>
  <conditionalFormatting sqref="C140 C142">
    <cfRule type="aboveAverage" dxfId="1680" priority="47"/>
  </conditionalFormatting>
  <conditionalFormatting sqref="E141 E145">
    <cfRule type="aboveAverage" dxfId="1679" priority="46"/>
  </conditionalFormatting>
  <conditionalFormatting sqref="C148 C150">
    <cfRule type="aboveAverage" dxfId="1678" priority="45"/>
  </conditionalFormatting>
  <conditionalFormatting sqref="G143 G151">
    <cfRule type="aboveAverage" dxfId="1677" priority="44"/>
  </conditionalFormatting>
  <conditionalFormatting sqref="C140 C142 C148 C150 E141 G143 E145 G151">
    <cfRule type="containsBlanks" dxfId="1676" priority="43">
      <formula>LEN(TRIM(C140))=0</formula>
    </cfRule>
  </conditionalFormatting>
  <conditionalFormatting sqref="C144 C146">
    <cfRule type="aboveAverage" dxfId="1675" priority="42"/>
  </conditionalFormatting>
  <conditionalFormatting sqref="C144 C146">
    <cfRule type="containsBlanks" dxfId="1674" priority="41">
      <formula>LEN(TRIM(C144))=0</formula>
    </cfRule>
  </conditionalFormatting>
  <conditionalFormatting sqref="C152 C154">
    <cfRule type="aboveAverage" dxfId="1673" priority="40"/>
  </conditionalFormatting>
  <conditionalFormatting sqref="C152 C154">
    <cfRule type="containsBlanks" dxfId="1672" priority="39">
      <formula>LEN(TRIM(C152))=0</formula>
    </cfRule>
  </conditionalFormatting>
  <conditionalFormatting sqref="E141">
    <cfRule type="aboveAverage" dxfId="1671" priority="38"/>
  </conditionalFormatting>
  <conditionalFormatting sqref="E145">
    <cfRule type="aboveAverage" dxfId="1670" priority="37"/>
  </conditionalFormatting>
  <conditionalFormatting sqref="G143">
    <cfRule type="aboveAverage" dxfId="1669" priority="36"/>
  </conditionalFormatting>
  <conditionalFormatting sqref="G143">
    <cfRule type="aboveAverage" dxfId="1668" priority="35"/>
  </conditionalFormatting>
  <conditionalFormatting sqref="G151">
    <cfRule type="aboveAverage" dxfId="1667" priority="34"/>
  </conditionalFormatting>
  <conditionalFormatting sqref="G151">
    <cfRule type="aboveAverage" dxfId="1666" priority="33"/>
  </conditionalFormatting>
  <conditionalFormatting sqref="G155 G157">
    <cfRule type="aboveAverage" dxfId="1665" priority="32"/>
  </conditionalFormatting>
  <conditionalFormatting sqref="G155 G157">
    <cfRule type="containsBlanks" dxfId="1664" priority="31">
      <formula>LEN(TRIM(G155))=0</formula>
    </cfRule>
  </conditionalFormatting>
  <conditionalFormatting sqref="E145">
    <cfRule type="aboveAverage" dxfId="1663" priority="30"/>
  </conditionalFormatting>
  <conditionalFormatting sqref="E149 E153">
    <cfRule type="aboveAverage" dxfId="1662" priority="29"/>
  </conditionalFormatting>
  <conditionalFormatting sqref="E149 E153">
    <cfRule type="containsBlanks" dxfId="1661" priority="28">
      <formula>LEN(TRIM(E149))=0</formula>
    </cfRule>
  </conditionalFormatting>
  <conditionalFormatting sqref="E149">
    <cfRule type="aboveAverage" dxfId="1660" priority="27"/>
  </conditionalFormatting>
  <conditionalFormatting sqref="E153">
    <cfRule type="aboveAverage" dxfId="1659" priority="26"/>
  </conditionalFormatting>
  <conditionalFormatting sqref="E153">
    <cfRule type="aboveAverage" dxfId="1658" priority="25"/>
  </conditionalFormatting>
  <conditionalFormatting sqref="G151">
    <cfRule type="aboveAverage" dxfId="1657" priority="24"/>
  </conditionalFormatting>
  <conditionalFormatting sqref="G151">
    <cfRule type="aboveAverage" dxfId="1656" priority="23"/>
  </conditionalFormatting>
  <conditionalFormatting sqref="L14">
    <cfRule type="expression" dxfId="1655" priority="21">
      <formula>OR(J14=0,J14=4)</formula>
    </cfRule>
    <cfRule type="expression" dxfId="1654" priority="22">
      <formula>AND(J14=3,IF(COUNTIF(J$7:J$11,"=3")=1,TRUE))</formula>
    </cfRule>
  </conditionalFormatting>
  <conditionalFormatting sqref="I17:I18">
    <cfRule type="expression" dxfId="1653" priority="19">
      <formula>FIND(2,I17,1)</formula>
    </cfRule>
    <cfRule type="expression" dxfId="1652" priority="20">
      <formula>FIND(1,I17,1)</formula>
    </cfRule>
  </conditionalFormatting>
  <conditionalFormatting sqref="I14:I16">
    <cfRule type="expression" dxfId="1651" priority="17">
      <formula>FIND(2,I14,1)</formula>
    </cfRule>
    <cfRule type="expression" dxfId="1650" priority="18">
      <formula>FIND(1,I14,1)</formula>
    </cfRule>
  </conditionalFormatting>
  <conditionalFormatting sqref="B123:B129">
    <cfRule type="cellIs" dxfId="1649" priority="15" operator="equal">
      <formula>"-"</formula>
    </cfRule>
    <cfRule type="duplicateValues" dxfId="1648" priority="16"/>
  </conditionalFormatting>
  <conditionalFormatting sqref="D200 C201">
    <cfRule type="aboveAverage" dxfId="1647" priority="14"/>
  </conditionalFormatting>
  <conditionalFormatting sqref="E200 C202">
    <cfRule type="aboveAverage" dxfId="1646" priority="13"/>
  </conditionalFormatting>
  <conditionalFormatting sqref="F200 C203">
    <cfRule type="aboveAverage" dxfId="1645" priority="12"/>
  </conditionalFormatting>
  <conditionalFormatting sqref="E201 D202">
    <cfRule type="aboveAverage" dxfId="1644" priority="11"/>
  </conditionalFormatting>
  <conditionalFormatting sqref="G200 C204">
    <cfRule type="aboveAverage" dxfId="1643" priority="10"/>
  </conditionalFormatting>
  <conditionalFormatting sqref="F201 D203">
    <cfRule type="aboveAverage" dxfId="1642" priority="9"/>
  </conditionalFormatting>
  <conditionalFormatting sqref="G201 D204">
    <cfRule type="aboveAverage" dxfId="1641" priority="8"/>
  </conditionalFormatting>
  <conditionalFormatting sqref="F202 E203">
    <cfRule type="aboveAverage" dxfId="1640" priority="7"/>
  </conditionalFormatting>
  <conditionalFormatting sqref="G202 E204">
    <cfRule type="aboveAverage" dxfId="1639" priority="6"/>
  </conditionalFormatting>
  <conditionalFormatting sqref="F204 G203">
    <cfRule type="aboveAverage" dxfId="1638" priority="5"/>
  </conditionalFormatting>
  <conditionalFormatting sqref="I203:I204">
    <cfRule type="expression" dxfId="1637" priority="3">
      <formula>FIND(2,I203,1)</formula>
    </cfRule>
    <cfRule type="expression" dxfId="1636" priority="4">
      <formula>FIND(1,I203,1)</formula>
    </cfRule>
  </conditionalFormatting>
  <conditionalFormatting sqref="I200:I202">
    <cfRule type="expression" dxfId="1635" priority="1">
      <formula>FIND(2,I200,1)</formula>
    </cfRule>
    <cfRule type="expression" dxfId="1634" priority="2">
      <formula>FIND(1,I200,1)</formula>
    </cfRule>
  </conditionalFormatting>
  <conditionalFormatting sqref="B307">
    <cfRule type="expression" dxfId="1633" priority="259">
      <formula>A305=3</formula>
    </cfRule>
    <cfRule type="expression" dxfId="1632" priority="260">
      <formula>A305=2</formula>
    </cfRule>
    <cfRule type="expression" dxfId="1631" priority="261">
      <formula>A305=1</formula>
    </cfRule>
    <cfRule type="containsBlanks" dxfId="1630" priority="262">
      <formula>LEN(TRIM(B307))=0</formula>
    </cfRule>
    <cfRule type="duplicateValues" dxfId="1629" priority="263"/>
  </conditionalFormatting>
  <conditionalFormatting sqref="B301:B309 E300:E309">
    <cfRule type="containsBlanks" dxfId="1628" priority="264">
      <formula>LEN(TRIM(B300))=0</formula>
    </cfRule>
    <cfRule type="duplicateValues" dxfId="1627" priority="265"/>
  </conditionalFormatting>
  <conditionalFormatting sqref="B300:B304 B308:B309 E300:E309">
    <cfRule type="expression" dxfId="1626" priority="266">
      <formula>A300=3</formula>
    </cfRule>
    <cfRule type="expression" dxfId="1625" priority="267">
      <formula>A300=2</formula>
    </cfRule>
    <cfRule type="expression" dxfId="1624" priority="268">
      <formula>A300=1</formula>
    </cfRule>
    <cfRule type="containsBlanks" dxfId="1623" priority="269">
      <formula>LEN(TRIM(B300))=0</formula>
    </cfRule>
    <cfRule type="duplicateValues" dxfId="1622" priority="270"/>
  </conditionalFormatting>
  <conditionalFormatting sqref="B305:B306">
    <cfRule type="expression" dxfId="1621" priority="271">
      <formula>A306=3</formula>
    </cfRule>
    <cfRule type="expression" dxfId="1620" priority="272">
      <formula>A306=2</formula>
    </cfRule>
    <cfRule type="expression" dxfId="1619" priority="273">
      <formula>A306=1</formula>
    </cfRule>
    <cfRule type="containsBlanks" dxfId="1618" priority="274">
      <formula>LEN(TRIM(B305))=0</formula>
    </cfRule>
    <cfRule type="duplicateValues" dxfId="1617" priority="275"/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3" manualBreakCount="3">
    <brk id="98" max="16383" man="1"/>
    <brk id="136" max="16383" man="1"/>
    <brk id="195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315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1.2851562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6384" width="9.140625" style="1"/>
  </cols>
  <sheetData>
    <row r="1" spans="1:18" x14ac:dyDescent="0.2">
      <c r="A1" s="753" t="str">
        <f>UPPER((Kalend!E38)&amp;" - "&amp;(Kalend!C38)&amp;" - "&amp;(Kalend!D38))</f>
        <v>EV101 - EESTI 101, TOILA VALLA SISE-MV - DUO</v>
      </c>
      <c r="B1" s="754"/>
      <c r="C1" s="755"/>
      <c r="D1" s="755"/>
      <c r="E1" s="756" t="str">
        <f>HYPERLINK("#'Kalend'!I1","Kalender")</f>
        <v>Kalender</v>
      </c>
      <c r="F1" s="755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Q1" s="755"/>
      <c r="R1" s="755"/>
    </row>
    <row r="2" spans="1:18" x14ac:dyDescent="0.2">
      <c r="A2" s="757" t="str">
        <f>"Toimumisaeg: "&amp;(Kalend!A38)&amp;" kell "&amp;(Kalend!B38)</f>
        <v>Toimumisaeg: L, 23.02.2019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</row>
    <row r="3" spans="1:18" x14ac:dyDescent="0.2">
      <c r="A3" s="757" t="str">
        <f>"Toimumiskoht: "&amp;(Kalend!F38)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Q3" s="757"/>
      <c r="R3" s="757"/>
    </row>
    <row r="4" spans="1:18" x14ac:dyDescent="0.2">
      <c r="A4" s="757" t="str">
        <f>"Korraldaja: "&amp;(Kalend!G38)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</row>
    <row r="5" spans="1:18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0"/>
    </row>
    <row r="6" spans="1:18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755"/>
      <c r="P6" s="212"/>
      <c r="Q6" s="212"/>
      <c r="R6" s="212"/>
    </row>
    <row r="7" spans="1:18" x14ac:dyDescent="0.2">
      <c r="A7" s="765">
        <v>1</v>
      </c>
      <c r="B7" s="940" t="s">
        <v>368</v>
      </c>
      <c r="C7" s="776"/>
      <c r="D7" s="778">
        <v>6</v>
      </c>
      <c r="E7" s="778">
        <v>13</v>
      </c>
      <c r="F7" s="778"/>
      <c r="G7" s="778"/>
      <c r="H7" s="796" t="str">
        <f>(IF(D7-C8&gt;0,1)+IF(E7-C9&gt;0,1)+IF(F7-C10&gt;0,1)+IF(G7-C11&gt;0,1))&amp;"-"&amp;(IF(D7-C8&lt;0,1)+IF(E7-C9&lt;0,1)+IF(F7-C10&lt;0,1)+IF(G7-C11&lt;0,1))</f>
        <v>1-1</v>
      </c>
      <c r="I7" s="778" t="str">
        <f>IF(AND(B7&lt;&gt;"",M$6=TRUE),A$6&amp;RANK(M7,M$7:M$11,0),"")</f>
        <v>A2</v>
      </c>
      <c r="J7" s="821">
        <f>VALUE(LEFT(H7,1))</f>
        <v>1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10000</v>
      </c>
      <c r="N7" s="212"/>
      <c r="O7" s="755"/>
      <c r="P7" s="212"/>
      <c r="Q7" s="212"/>
      <c r="R7" s="212"/>
    </row>
    <row r="8" spans="1:18" x14ac:dyDescent="0.2">
      <c r="A8" s="765">
        <v>2</v>
      </c>
      <c r="B8" s="775" t="s">
        <v>541</v>
      </c>
      <c r="C8" s="778">
        <v>13</v>
      </c>
      <c r="D8" s="776"/>
      <c r="E8" s="778">
        <v>13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2-0</v>
      </c>
      <c r="I8" s="778" t="str">
        <f>IF(AND(B8&lt;&gt;"",M$6=TRUE),A$6&amp;RANK(M8,M$7:M$11,0),"")</f>
        <v>A1</v>
      </c>
      <c r="J8" s="821">
        <f t="shared" ref="J8:J11" si="0">VALUE(LEFT(H8,1))</f>
        <v>2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1">10000*J8+K8*100+L8</f>
        <v>20000</v>
      </c>
      <c r="N8" s="212"/>
      <c r="O8" s="755"/>
      <c r="P8" s="212"/>
      <c r="Q8" s="212"/>
      <c r="R8" s="212"/>
    </row>
    <row r="9" spans="1:18" x14ac:dyDescent="0.2">
      <c r="A9" s="765">
        <v>3</v>
      </c>
      <c r="B9" s="775" t="s">
        <v>542</v>
      </c>
      <c r="C9" s="778">
        <v>7</v>
      </c>
      <c r="D9" s="787">
        <v>3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0-2</v>
      </c>
      <c r="I9" s="778" t="str">
        <f>IF(AND(B9&lt;&gt;"",M$6=TRUE),A$6&amp;RANK(M9,M$7:M$11,0),"")</f>
        <v>A3</v>
      </c>
      <c r="J9" s="821">
        <f t="shared" si="0"/>
        <v>0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1"/>
        <v>0</v>
      </c>
      <c r="N9" s="212"/>
      <c r="O9" s="755"/>
      <c r="P9" s="803"/>
      <c r="Q9" s="212"/>
      <c r="R9" s="212"/>
    </row>
    <row r="10" spans="1:18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0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1"/>
        <v>0</v>
      </c>
      <c r="N10" s="212"/>
      <c r="O10" s="755"/>
      <c r="P10" s="212"/>
      <c r="Q10" s="212"/>
      <c r="R10" s="212"/>
    </row>
    <row r="11" spans="1:18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0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1"/>
        <v>0</v>
      </c>
      <c r="O11" s="755"/>
      <c r="P11" s="212"/>
      <c r="Q11" s="212"/>
      <c r="R11" s="212"/>
    </row>
    <row r="12" spans="1:18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755"/>
      <c r="P12" s="212"/>
      <c r="Q12" s="212"/>
      <c r="R12" s="755"/>
    </row>
    <row r="13" spans="1:18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/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55"/>
      <c r="P13" s="770"/>
      <c r="Q13" s="770"/>
      <c r="R13" s="755"/>
    </row>
    <row r="14" spans="1:18" x14ac:dyDescent="0.2">
      <c r="A14" s="765">
        <v>1</v>
      </c>
      <c r="B14" s="948" t="s">
        <v>370</v>
      </c>
      <c r="C14" s="776"/>
      <c r="D14" s="778">
        <v>13</v>
      </c>
      <c r="E14" s="778">
        <v>13</v>
      </c>
      <c r="F14" s="778"/>
      <c r="G14" s="778"/>
      <c r="H14" s="796" t="str">
        <f>(IF(D14-C15&gt;0,1)+IF(E14-C16&gt;0,1)+IF(F14-C17&gt;0,1)+IF(G14-C18&gt;0,1))&amp;"-"&amp;(IF(D14-C15&lt;0,1)+IF(E14-C16&lt;0,1)+IF(F14-C17&lt;0,1)+IF(G14-C18&lt;0,1))</f>
        <v>2-0</v>
      </c>
      <c r="I14" s="778" t="str">
        <f>IF(AND(B14&lt;&gt;"",M$6=TRUE),A$13&amp;RANK(M14,M$14:M$18,0),"")</f>
        <v>B1</v>
      </c>
      <c r="J14" s="821">
        <f>VALUE(LEFT(H14,1))</f>
        <v>2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0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0</v>
      </c>
      <c r="M14" s="824">
        <f>10000*J14+K14*100+L14</f>
        <v>20000</v>
      </c>
      <c r="N14" s="950"/>
      <c r="O14" s="755"/>
      <c r="P14" s="770"/>
      <c r="Q14" s="770"/>
      <c r="R14" s="757"/>
    </row>
    <row r="15" spans="1:18" x14ac:dyDescent="0.2">
      <c r="A15" s="765">
        <v>2</v>
      </c>
      <c r="B15" s="940" t="s">
        <v>458</v>
      </c>
      <c r="C15" s="778">
        <v>11</v>
      </c>
      <c r="D15" s="776"/>
      <c r="E15" s="778">
        <v>13</v>
      </c>
      <c r="F15" s="778"/>
      <c r="G15" s="778"/>
      <c r="H15" s="796" t="str">
        <f>(IF(C15-D14&gt;0,1)+IF(E15-D16&gt;0,1)+IF(F15-D17&gt;0,1)+IF(G15-D18&gt;0,1))&amp;"-"&amp;(IF(C15-D14&lt;0,1)+IF(E15-D16&lt;0,1)+IF(F15-D17&lt;0,1)+IF(G15-D18&lt;0,1))</f>
        <v>1-1</v>
      </c>
      <c r="I15" s="778" t="str">
        <f>IF(AND(B15&lt;&gt;"",M$6=TRUE),A$13&amp;RANK(M15,M$14:M$18,0),"")</f>
        <v>B2</v>
      </c>
      <c r="J15" s="821">
        <f t="shared" ref="J15:J18" si="2">VALUE(LEFT(H15,1))</f>
        <v>1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0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0</v>
      </c>
      <c r="M15" s="824">
        <f t="shared" ref="M15:M18" si="3">10000*J15+K15*100+L15</f>
        <v>10000</v>
      </c>
      <c r="O15" s="755"/>
      <c r="P15" s="770"/>
      <c r="Q15" s="770"/>
      <c r="R15" s="757"/>
    </row>
    <row r="16" spans="1:18" x14ac:dyDescent="0.2">
      <c r="A16" s="765">
        <v>3</v>
      </c>
      <c r="B16" s="775" t="s">
        <v>402</v>
      </c>
      <c r="C16" s="778">
        <v>12</v>
      </c>
      <c r="D16" s="787">
        <v>6</v>
      </c>
      <c r="E16" s="776"/>
      <c r="F16" s="778"/>
      <c r="G16" s="778"/>
      <c r="H16" s="796" t="str">
        <f>(IF(C16-E14&gt;0,1)+IF(D16-E15&gt;0,1)+IF(F16-E17&gt;0,1)+IF(G16-E18&gt;0,1))&amp;"-"&amp;(IF(C16-E14&lt;0,1)+IF(D16-E15&lt;0,1)+IF(F16-E17&lt;0,1)+IF(G16-E18&lt;0,1))</f>
        <v>0-2</v>
      </c>
      <c r="I16" s="778" t="str">
        <f>IF(AND(B16&lt;&gt;"",M$6=TRUE),A$13&amp;RANK(M16,M$14:M$18,0),"")</f>
        <v>B3</v>
      </c>
      <c r="J16" s="821">
        <f t="shared" si="2"/>
        <v>0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3"/>
        <v>0</v>
      </c>
      <c r="O16" s="755"/>
      <c r="P16" s="770"/>
      <c r="Q16" s="770"/>
      <c r="R16" s="757"/>
    </row>
    <row r="17" spans="1:18" hidden="1" x14ac:dyDescent="0.2">
      <c r="A17" s="765">
        <v>4</v>
      </c>
      <c r="B17" s="792"/>
      <c r="C17" s="778"/>
      <c r="D17" s="787"/>
      <c r="E17" s="778"/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0-0</v>
      </c>
      <c r="I17" s="778" t="str">
        <f>IF(AND(B17&lt;&gt;"",M$6=TRUE),A$13&amp;RANK(M17,M$14:M$18,0),"")</f>
        <v/>
      </c>
      <c r="J17" s="821">
        <f t="shared" si="2"/>
        <v>0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3"/>
        <v>0</v>
      </c>
      <c r="O17" s="755"/>
      <c r="P17" s="757"/>
      <c r="Q17" s="770"/>
      <c r="R17" s="757"/>
    </row>
    <row r="18" spans="1:18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IF(AND(B18&lt;&gt;"",M$6=TRUE),A$13&amp;RANK(M18,M$14:M$18,0),"")</f>
        <v/>
      </c>
      <c r="J18" s="821">
        <f t="shared" si="2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3"/>
        <v>0</v>
      </c>
      <c r="O18" s="755"/>
      <c r="P18" s="770"/>
      <c r="Q18" s="770"/>
      <c r="R18" s="757"/>
    </row>
    <row r="19" spans="1:18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755"/>
      <c r="P19" s="212"/>
      <c r="Q19" s="212"/>
      <c r="R19" s="755"/>
    </row>
    <row r="20" spans="1:18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55"/>
      <c r="P20" s="770"/>
      <c r="Q20" s="770"/>
      <c r="R20" s="755"/>
    </row>
    <row r="21" spans="1:18" x14ac:dyDescent="0.2">
      <c r="A21" s="765">
        <v>1</v>
      </c>
      <c r="B21" s="940" t="s">
        <v>399</v>
      </c>
      <c r="C21" s="776"/>
      <c r="D21" s="788">
        <v>7</v>
      </c>
      <c r="E21" s="778">
        <v>7</v>
      </c>
      <c r="F21" s="788">
        <v>13</v>
      </c>
      <c r="G21" s="778"/>
      <c r="H21" s="796" t="str">
        <f>(IF(D21-C22&gt;0,1)+IF(E21-C23&gt;0,1)+IF(F21-C24&gt;0,1)+IF(G21-C25&gt;0,1))&amp;"-"&amp;(IF(D21-C22&lt;0,1)+IF(E21-C23&lt;0,1)+IF(F21-C24&lt;0,1)+IF(G21-C25&lt;0,1))</f>
        <v>1-2</v>
      </c>
      <c r="I21" s="778" t="str">
        <f>IF(AND(B21&lt;&gt;"",M$20=TRUE),A$20&amp;RANK(M21,M$21:M$25,0),"")</f>
        <v>C4</v>
      </c>
      <c r="J21" s="821">
        <f>VALUE(LEFT(H21,1))</f>
        <v>1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1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-5</v>
      </c>
      <c r="M21" s="824">
        <f>10000*J21+K21*100+L21</f>
        <v>10095</v>
      </c>
      <c r="O21" s="755"/>
      <c r="P21" s="770"/>
      <c r="Q21" s="770"/>
      <c r="R21" s="757"/>
    </row>
    <row r="22" spans="1:18" x14ac:dyDescent="0.2">
      <c r="A22" s="765">
        <v>2</v>
      </c>
      <c r="B22" s="775" t="s">
        <v>543</v>
      </c>
      <c r="C22" s="788">
        <v>13</v>
      </c>
      <c r="D22" s="776"/>
      <c r="E22" s="778">
        <v>7</v>
      </c>
      <c r="F22" s="778">
        <v>12</v>
      </c>
      <c r="G22" s="778"/>
      <c r="H22" s="796" t="str">
        <f>(IF(C22-D21&gt;0,1)+IF(E22-D23&gt;0,1)+IF(F22-D24&gt;0,1)+IF(G22-D25&gt;0,1))&amp;"-"&amp;(IF(C22-D21&lt;0,1)+IF(E22-D23&lt;0,1)+IF(F22-D24&lt;0,1)+IF(G22-D25&lt;0,1))</f>
        <v>1-2</v>
      </c>
      <c r="I22" s="778" t="str">
        <f>IF(AND(B22&lt;&gt;"",M$20=TRUE),A$20&amp;RANK(M22,M$21:M$25,0),"")</f>
        <v>C2</v>
      </c>
      <c r="J22" s="821">
        <f t="shared" ref="J22:J25" si="4">VALUE(LEFT(H22,1))</f>
        <v>1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1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5</v>
      </c>
      <c r="M22" s="824">
        <f t="shared" ref="M22:M25" si="5">10000*J22+K22*100+L22</f>
        <v>10105</v>
      </c>
      <c r="O22" s="755"/>
      <c r="P22" s="770"/>
      <c r="Q22" s="770"/>
      <c r="R22" s="757"/>
    </row>
    <row r="23" spans="1:18" x14ac:dyDescent="0.2">
      <c r="A23" s="765">
        <v>3</v>
      </c>
      <c r="B23" s="775" t="s">
        <v>436</v>
      </c>
      <c r="C23" s="778">
        <v>13</v>
      </c>
      <c r="D23" s="787">
        <v>13</v>
      </c>
      <c r="E23" s="776"/>
      <c r="F23" s="778">
        <v>13</v>
      </c>
      <c r="G23" s="778"/>
      <c r="H23" s="796" t="str">
        <f>(IF(C23-E21&gt;0,1)+IF(D23-E22&gt;0,1)+IF(F23-E24&gt;0,1)+IF(G23-E25&gt;0,1))&amp;"-"&amp;(IF(C23-E21&lt;0,1)+IF(D23-E22&lt;0,1)+IF(F23-E24&lt;0,1)+IF(G23-E25&lt;0,1))</f>
        <v>3-0</v>
      </c>
      <c r="I23" s="778" t="str">
        <f>IF(AND(B23&lt;&gt;"",M$20=TRUE),A$20&amp;RANK(M23,M$21:M$25,0),"")</f>
        <v>C1</v>
      </c>
      <c r="J23" s="821">
        <f t="shared" si="4"/>
        <v>3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0</v>
      </c>
      <c r="M23" s="824">
        <f t="shared" si="5"/>
        <v>30000</v>
      </c>
      <c r="O23" s="755"/>
      <c r="P23" s="770"/>
      <c r="Q23" s="770"/>
      <c r="R23" s="757"/>
    </row>
    <row r="24" spans="1:18" x14ac:dyDescent="0.2">
      <c r="A24" s="765">
        <v>4</v>
      </c>
      <c r="B24" s="775" t="s">
        <v>544</v>
      </c>
      <c r="C24" s="788">
        <v>12</v>
      </c>
      <c r="D24" s="826">
        <v>13</v>
      </c>
      <c r="E24" s="778">
        <v>10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1-2</v>
      </c>
      <c r="I24" s="778" t="str">
        <f>IF(AND(B24&lt;&gt;"",M$20=TRUE),A$20&amp;RANK(M24,M$21:M$25,0),"")</f>
        <v>C3</v>
      </c>
      <c r="J24" s="821">
        <f t="shared" si="4"/>
        <v>1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1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5"/>
        <v>10100</v>
      </c>
      <c r="O24" s="755"/>
      <c r="P24" s="770"/>
      <c r="Q24" s="770"/>
      <c r="R24" s="757"/>
    </row>
    <row r="25" spans="1:18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4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5"/>
        <v>0</v>
      </c>
      <c r="O25" s="755"/>
      <c r="P25" s="770"/>
      <c r="Q25" s="770"/>
      <c r="R25" s="757"/>
    </row>
    <row r="26" spans="1:18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55"/>
      <c r="P26" s="770"/>
      <c r="Q26" s="770"/>
      <c r="R26" s="755"/>
    </row>
    <row r="27" spans="1:18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755"/>
      <c r="P27" s="212"/>
      <c r="Q27" s="212"/>
      <c r="R27" s="760"/>
    </row>
    <row r="28" spans="1:18" x14ac:dyDescent="0.2">
      <c r="A28" s="765">
        <v>1</v>
      </c>
      <c r="B28" s="820" t="s">
        <v>396</v>
      </c>
      <c r="C28" s="776"/>
      <c r="D28" s="788">
        <v>11</v>
      </c>
      <c r="E28" s="788">
        <v>13</v>
      </c>
      <c r="F28" s="778">
        <v>6</v>
      </c>
      <c r="G28" s="778"/>
      <c r="H28" s="796" t="str">
        <f>(IF(D28-C29&gt;0,1)+IF(E28-C30&gt;0,1)+IF(F28-C31&gt;0,1)+IF(G28-C32&gt;0,1))&amp;"-"&amp;(IF(D28-C29&lt;0,1)+IF(E28-C30&lt;0,1)+IF(F28-C31&lt;0,1)+IF(G28-C32&lt;0,1))</f>
        <v>1-2</v>
      </c>
      <c r="I28" s="778" t="str">
        <f>IF(AND(B28&lt;&gt;"",M$27=TRUE),A$27&amp;RANK(M28,M$28:M$32,0),"")</f>
        <v>D3</v>
      </c>
      <c r="J28" s="821">
        <f>VALUE(LEFT(H28,1))</f>
        <v>1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1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10100</v>
      </c>
      <c r="O28" s="755"/>
      <c r="P28" s="212"/>
      <c r="Q28" s="212"/>
      <c r="R28" s="760"/>
    </row>
    <row r="29" spans="1:18" x14ac:dyDescent="0.2">
      <c r="A29" s="765">
        <v>2</v>
      </c>
      <c r="B29" s="775" t="s">
        <v>404</v>
      </c>
      <c r="C29" s="788">
        <v>13</v>
      </c>
      <c r="D29" s="776"/>
      <c r="E29" s="788">
        <v>10</v>
      </c>
      <c r="F29" s="778">
        <v>9</v>
      </c>
      <c r="G29" s="778"/>
      <c r="H29" s="796" t="str">
        <f>(IF(C29-D28&gt;0,1)+IF(E29-D30&gt;0,1)+IF(F29-D31&gt;0,1)+IF(G29-D32&gt;0,1))&amp;"-"&amp;(IF(C29-D28&lt;0,1)+IF(E29-D30&lt;0,1)+IF(F29-D31&lt;0,1)+IF(G29-D32&lt;0,1))</f>
        <v>1-2</v>
      </c>
      <c r="I29" s="778" t="str">
        <f>IF(AND(B29&lt;&gt;"",M$27=TRUE),A$27&amp;RANK(M29,M$28:M$32,0),"")</f>
        <v>D4</v>
      </c>
      <c r="J29" s="821">
        <f t="shared" ref="J29:J32" si="6">VALUE(LEFT(H29,1))</f>
        <v>1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1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-1</v>
      </c>
      <c r="M29" s="824">
        <f t="shared" ref="M29:M32" si="7">10000*J29+K29*100+L29</f>
        <v>10099</v>
      </c>
      <c r="O29" s="755"/>
      <c r="P29" s="212"/>
      <c r="Q29" s="212"/>
      <c r="R29" s="760"/>
    </row>
    <row r="30" spans="1:18" x14ac:dyDescent="0.2">
      <c r="A30" s="765">
        <v>3</v>
      </c>
      <c r="B30" s="775" t="s">
        <v>545</v>
      </c>
      <c r="C30" s="788">
        <v>11</v>
      </c>
      <c r="D30" s="826">
        <v>13</v>
      </c>
      <c r="E30" s="776"/>
      <c r="F30" s="778">
        <v>7</v>
      </c>
      <c r="G30" s="778"/>
      <c r="H30" s="796" t="str">
        <f>(IF(C30-E28&gt;0,1)+IF(D30-E29&gt;0,1)+IF(F30-E31&gt;0,1)+IF(G30-E32&gt;0,1))&amp;"-"&amp;(IF(C30-E28&lt;0,1)+IF(D30-E29&lt;0,1)+IF(F30-E31&lt;0,1)+IF(G30-E32&lt;0,1))</f>
        <v>1-2</v>
      </c>
      <c r="I30" s="778" t="str">
        <f>IF(AND(B30&lt;&gt;"",M$27=TRUE),A$27&amp;RANK(M30,M$28:M$32,0),"")</f>
        <v>D2</v>
      </c>
      <c r="J30" s="821">
        <f t="shared" si="6"/>
        <v>1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1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1</v>
      </c>
      <c r="M30" s="824">
        <f t="shared" si="7"/>
        <v>10101</v>
      </c>
      <c r="O30" s="755"/>
      <c r="P30" s="212"/>
      <c r="Q30" s="212"/>
      <c r="R30" s="760"/>
    </row>
    <row r="31" spans="1:18" x14ac:dyDescent="0.2">
      <c r="A31" s="765">
        <v>4</v>
      </c>
      <c r="B31" s="792" t="s">
        <v>546</v>
      </c>
      <c r="C31" s="778">
        <v>13</v>
      </c>
      <c r="D31" s="787">
        <v>13</v>
      </c>
      <c r="E31" s="778">
        <v>13</v>
      </c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3-0</v>
      </c>
      <c r="I31" s="778" t="str">
        <f>IF(AND(B31&lt;&gt;"",M$27=TRUE),A$27&amp;RANK(M31,M$28:M$32,0),"")</f>
        <v>D1</v>
      </c>
      <c r="J31" s="821">
        <f t="shared" si="6"/>
        <v>3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7"/>
        <v>30000</v>
      </c>
      <c r="O31" s="755"/>
      <c r="P31" s="212"/>
      <c r="Q31" s="212"/>
      <c r="R31" s="760"/>
    </row>
    <row r="32" spans="1:18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6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7"/>
        <v>0</v>
      </c>
      <c r="O32" s="755"/>
      <c r="P32" s="212"/>
      <c r="Q32" s="212"/>
      <c r="R32" s="760"/>
    </row>
    <row r="33" spans="1:18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755"/>
      <c r="P33" s="212"/>
      <c r="Q33" s="212"/>
      <c r="R33" s="760"/>
    </row>
    <row r="34" spans="1:18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755"/>
      <c r="P34" s="212"/>
      <c r="Q34" s="212"/>
      <c r="R34" s="760"/>
    </row>
    <row r="35" spans="1:18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755"/>
      <c r="P35" s="212"/>
      <c r="Q35" s="212"/>
      <c r="R35" s="760"/>
    </row>
    <row r="36" spans="1:18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8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9">10000*J36+K36*100+L36</f>
        <v>0</v>
      </c>
      <c r="O36" s="755"/>
      <c r="P36" s="212"/>
      <c r="Q36" s="212"/>
      <c r="R36" s="760"/>
    </row>
    <row r="37" spans="1:18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8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9"/>
        <v>0</v>
      </c>
      <c r="O37" s="755"/>
      <c r="P37" s="212"/>
      <c r="Q37" s="212"/>
      <c r="R37" s="760"/>
    </row>
    <row r="38" spans="1:18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8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9"/>
        <v>0</v>
      </c>
      <c r="O38" s="755"/>
      <c r="P38" s="212"/>
      <c r="Q38" s="212"/>
      <c r="R38" s="760"/>
    </row>
    <row r="39" spans="1:18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8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9"/>
        <v>0</v>
      </c>
      <c r="O39" s="755"/>
      <c r="P39" s="212"/>
      <c r="Q39" s="212"/>
      <c r="R39" s="760"/>
    </row>
    <row r="40" spans="1:18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755"/>
      <c r="P40" s="212"/>
      <c r="Q40" s="212"/>
      <c r="R40" s="760"/>
    </row>
    <row r="41" spans="1:18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55"/>
      <c r="P41" s="770"/>
      <c r="Q41" s="770"/>
      <c r="R41" s="760"/>
    </row>
    <row r="42" spans="1:18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IF(AND(B42&lt;&gt;"",M$42=TRUE),A$42&amp;RANK(M42,M$43:VD$47,0),"")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55"/>
      <c r="P42" s="770"/>
      <c r="Q42" s="770"/>
      <c r="R42" s="760"/>
    </row>
    <row r="43" spans="1:18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IF(AND(B43&lt;&gt;"",M$42=TRUE),A$42&amp;RANK(M43,M$43:VD$47,0),"")</f>
        <v/>
      </c>
      <c r="J43" s="821">
        <f t="shared" ref="J43:J46" si="10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1">10000*J43+K43*100+L43</f>
        <v>0</v>
      </c>
      <c r="O43" s="755"/>
      <c r="P43" s="770"/>
      <c r="Q43" s="770"/>
      <c r="R43" s="760"/>
    </row>
    <row r="44" spans="1:18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IF(AND(B44&lt;&gt;"",M$42=TRUE),A$42&amp;RANK(M44,M$43:VD$47,0),"")</f>
        <v/>
      </c>
      <c r="J44" s="821">
        <f t="shared" si="10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1"/>
        <v>0</v>
      </c>
      <c r="O44" s="755"/>
      <c r="P44" s="770"/>
      <c r="Q44" s="770"/>
      <c r="R44" s="760"/>
    </row>
    <row r="45" spans="1:18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IF(AND(B45&lt;&gt;"",M$42=TRUE),A$42&amp;RANK(M45,M$43:VD$47,0),"")</f>
        <v/>
      </c>
      <c r="J45" s="821">
        <f t="shared" si="10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1"/>
        <v>0</v>
      </c>
      <c r="O45" s="755"/>
      <c r="P45" s="770"/>
      <c r="Q45" s="770"/>
      <c r="R45" s="760"/>
    </row>
    <row r="46" spans="1:18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IF(AND(B46&lt;&gt;"",M$42=TRUE),A$42&amp;RANK(M46,M$43:VD$47,0),"")</f>
        <v/>
      </c>
      <c r="J46" s="821">
        <f t="shared" si="10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1"/>
        <v>0</v>
      </c>
      <c r="O46" s="755"/>
      <c r="P46" s="770"/>
      <c r="Q46" s="770"/>
      <c r="R46" s="760"/>
    </row>
    <row r="47" spans="1:18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755"/>
      <c r="P47" s="212"/>
      <c r="Q47" s="212"/>
      <c r="R47" s="760"/>
    </row>
    <row r="48" spans="1:18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55"/>
      <c r="P48" s="770"/>
      <c r="Q48" s="770"/>
      <c r="R48" s="760"/>
    </row>
    <row r="49" spans="1:18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55"/>
      <c r="P49" s="770"/>
      <c r="Q49" s="770"/>
      <c r="R49" s="760"/>
    </row>
    <row r="50" spans="1:18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2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3">10000*J50+K50*100+L50</f>
        <v>0</v>
      </c>
      <c r="O50" s="755"/>
      <c r="P50" s="770"/>
      <c r="Q50" s="770"/>
      <c r="R50" s="760"/>
    </row>
    <row r="51" spans="1:18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2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3"/>
        <v>0</v>
      </c>
      <c r="O51" s="755"/>
      <c r="P51" s="770"/>
      <c r="Q51" s="770"/>
      <c r="R51" s="760"/>
    </row>
    <row r="52" spans="1:18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2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3"/>
        <v>0</v>
      </c>
      <c r="O52" s="755"/>
      <c r="P52" s="770"/>
      <c r="Q52" s="770"/>
      <c r="R52" s="760"/>
    </row>
    <row r="53" spans="1:18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2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3"/>
        <v>0</v>
      </c>
      <c r="O53" s="755"/>
      <c r="P53" s="770"/>
      <c r="Q53" s="770"/>
      <c r="R53" s="760"/>
    </row>
    <row r="54" spans="1:18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55"/>
      <c r="P54" s="770"/>
      <c r="Q54" s="770"/>
      <c r="R54" s="760"/>
    </row>
    <row r="55" spans="1:18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755"/>
      <c r="P55" s="212"/>
      <c r="Q55" s="212"/>
      <c r="R55" s="760"/>
    </row>
    <row r="56" spans="1:18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755"/>
      <c r="P56" s="212"/>
      <c r="Q56" s="212"/>
      <c r="R56" s="760"/>
    </row>
    <row r="57" spans="1:18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14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15">10000*J57+K57*100+L57</f>
        <v>0</v>
      </c>
      <c r="O57" s="755"/>
      <c r="P57" s="212"/>
      <c r="Q57" s="212"/>
      <c r="R57" s="760"/>
    </row>
    <row r="58" spans="1:18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14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15"/>
        <v>0</v>
      </c>
      <c r="O58" s="755"/>
      <c r="P58" s="212"/>
      <c r="Q58" s="212"/>
      <c r="R58" s="760"/>
    </row>
    <row r="59" spans="1:18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14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15"/>
        <v>0</v>
      </c>
      <c r="O59" s="755"/>
      <c r="P59" s="212"/>
      <c r="Q59" s="212"/>
      <c r="R59" s="760"/>
    </row>
    <row r="60" spans="1:18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14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15"/>
        <v>0</v>
      </c>
      <c r="O60" s="755"/>
      <c r="P60" s="212"/>
      <c r="Q60" s="212"/>
      <c r="R60" s="760"/>
    </row>
    <row r="61" spans="1:18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</row>
    <row r="62" spans="1:18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</row>
    <row r="63" spans="1:18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</row>
    <row r="64" spans="1:18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</row>
    <row r="65" spans="1:18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60"/>
    </row>
    <row r="66" spans="1:18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60"/>
    </row>
    <row r="67" spans="1:18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60"/>
    </row>
    <row r="68" spans="1:18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60"/>
    </row>
    <row r="69" spans="1:18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60"/>
    </row>
    <row r="70" spans="1:18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60"/>
    </row>
    <row r="71" spans="1:18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60"/>
    </row>
    <row r="72" spans="1:18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60"/>
    </row>
    <row r="73" spans="1:18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60"/>
    </row>
    <row r="74" spans="1:18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60"/>
    </row>
    <row r="75" spans="1:18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</row>
    <row r="76" spans="1:18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</row>
    <row r="77" spans="1:18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</row>
    <row r="78" spans="1:18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</row>
    <row r="79" spans="1:18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</row>
    <row r="80" spans="1:18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</row>
    <row r="81" spans="1:18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</row>
    <row r="82" spans="1:18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</row>
    <row r="83" spans="1:18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</row>
    <row r="84" spans="1:18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</row>
    <row r="85" spans="1:18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</row>
    <row r="86" spans="1:18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</row>
    <row r="87" spans="1:18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</row>
    <row r="88" spans="1:18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</row>
    <row r="89" spans="1:18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</row>
    <row r="90" spans="1:18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</row>
    <row r="91" spans="1:18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</row>
    <row r="92" spans="1:18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</row>
    <row r="93" spans="1:18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</row>
    <row r="94" spans="1:18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</row>
    <row r="95" spans="1:18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</row>
    <row r="96" spans="1:18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</row>
    <row r="97" spans="1:18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</row>
    <row r="98" spans="1:18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</row>
    <row r="99" spans="1:18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</row>
    <row r="100" spans="1:18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</row>
    <row r="101" spans="1:18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</row>
    <row r="102" spans="1:18" x14ac:dyDescent="0.2">
      <c r="A102" s="849" t="s">
        <v>410</v>
      </c>
      <c r="B102" s="850" t="str">
        <f>IF(A102="-","-",IFERROR(INDEX(B$1:B$100,MATCH(A102,I$1:I$100,0)),""))</f>
        <v>Aigi Orro, Ülo Piik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</row>
    <row r="103" spans="1:18" x14ac:dyDescent="0.2">
      <c r="A103" s="852"/>
      <c r="B103" s="853"/>
      <c r="C103" s="854" t="str">
        <f>IF(COUNT(C102,C104)=2,IF(C102&gt;C104,B102,B104),"")</f>
        <v>Aigi Orro, Ülo Piik</v>
      </c>
      <c r="D103" s="755"/>
      <c r="E103" s="851">
        <v>11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</row>
    <row r="104" spans="1:18" x14ac:dyDescent="0.2">
      <c r="A104" s="852" t="s">
        <v>411</v>
      </c>
      <c r="B104" s="855" t="str">
        <f>IF(A104="-","-",IFERROR(INDEX(B$1:B$100,MATCH(A104,I$1:I$100,0)),""))</f>
        <v>Enn Tokman, Veroonika Mendes</v>
      </c>
      <c r="C104" s="856">
        <v>2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</row>
    <row r="105" spans="1:18" x14ac:dyDescent="0.2">
      <c r="A105" s="852"/>
      <c r="B105" s="818"/>
      <c r="C105" s="755"/>
      <c r="D105" s="858"/>
      <c r="E105" s="854" t="str">
        <f>IF(COUNT(E103,E107)=2,IF(E103&gt;E107,C103,C107),"")</f>
        <v>Elmo Lageda, Tõnu Piik</v>
      </c>
      <c r="F105" s="755"/>
      <c r="G105" s="851">
        <v>13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</row>
    <row r="106" spans="1:18" x14ac:dyDescent="0.2">
      <c r="A106" s="852" t="s">
        <v>412</v>
      </c>
      <c r="B106" s="850" t="str">
        <f>IF(A106="-","-",IFERROR(INDEX(B$1:B$100,MATCH(A106,I$1:I$100,0)),""))</f>
        <v>Elmo Lageda, Tõnu Piik</v>
      </c>
      <c r="C106" s="851">
        <v>13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</row>
    <row r="107" spans="1:18" x14ac:dyDescent="0.2">
      <c r="A107" s="852"/>
      <c r="B107" s="853"/>
      <c r="C107" s="854" t="str">
        <f>IF(COUNT(C106,C108)=2,IF(C106&gt;C108,B106,B108),"")</f>
        <v>Elmo Lageda, Tõnu Piik</v>
      </c>
      <c r="D107" s="860"/>
      <c r="E107" s="851">
        <v>13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</row>
    <row r="108" spans="1:18" x14ac:dyDescent="0.2">
      <c r="A108" s="852" t="s">
        <v>413</v>
      </c>
      <c r="B108" s="855" t="str">
        <f>IF(A108="-","-",IFERROR(INDEX(B$1:B$100,MATCH(A108,I$1:I$100,0)),""))</f>
        <v>Kenneth Muusikus, Peep Peenema</v>
      </c>
      <c r="C108" s="856">
        <v>10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</row>
    <row r="109" spans="1:18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Elmo Lageda, Tõnu Piik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</row>
    <row r="110" spans="1:18" x14ac:dyDescent="0.2">
      <c r="A110" s="849" t="s">
        <v>414</v>
      </c>
      <c r="B110" s="850" t="str">
        <f>IF(A110="-","-",IFERROR(INDEX(B$1:B$100,MATCH(A110,I$1:I$100,0)),""))</f>
        <v>Oleg Rõndenkov, Toomas Tedrekull</v>
      </c>
      <c r="C110" s="851">
        <v>10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</row>
    <row r="111" spans="1:18" x14ac:dyDescent="0.2">
      <c r="A111" s="852"/>
      <c r="B111" s="853"/>
      <c r="C111" s="854" t="str">
        <f>IF(COUNT(C110,C112)=2,IF(C110&gt;C112,B110,B112),"")</f>
        <v>Meelis Luud, Urmas Randlaine</v>
      </c>
      <c r="D111" s="755"/>
      <c r="E111" s="851">
        <v>3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</row>
    <row r="112" spans="1:18" x14ac:dyDescent="0.2">
      <c r="A112" s="852" t="s">
        <v>415</v>
      </c>
      <c r="B112" s="855" t="str">
        <f>IF(A112="-","-",IFERROR(INDEX(B$1:B$100,MATCH(A112,I$1:I$100,0)),""))</f>
        <v>Meelis Luud, Urmas Randlaine</v>
      </c>
      <c r="C112" s="856">
        <v>13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</row>
    <row r="113" spans="1:18" x14ac:dyDescent="0.2">
      <c r="A113" s="852"/>
      <c r="B113" s="818"/>
      <c r="C113" s="755"/>
      <c r="D113" s="858"/>
      <c r="E113" s="854" t="str">
        <f>IF(COUNT(E111,E115)=2,IF(E111&gt;E115,C111,C115),"")</f>
        <v>Jaan Sepp, Oskar Sepp</v>
      </c>
      <c r="F113" s="860"/>
      <c r="G113" s="851">
        <v>5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</row>
    <row r="114" spans="1:18" ht="13.5" thickBot="1" x14ac:dyDescent="0.25">
      <c r="A114" s="852" t="s">
        <v>417</v>
      </c>
      <c r="B114" s="850" t="str">
        <f>IF(A114="-","-",IFERROR(INDEX(B$1:B$100,MATCH(A114,I$1:I$100,0)),""))</f>
        <v>Boriss Klubov, Andrei Grintšak</v>
      </c>
      <c r="C114" s="851">
        <v>7</v>
      </c>
      <c r="D114" s="858"/>
      <c r="E114" s="859"/>
      <c r="F114" s="807"/>
      <c r="G114" s="807"/>
      <c r="H114" s="951" t="str">
        <f>IF(COUNT(G105,G113)=2,IF(G105&lt;G113,E105,E113),"")</f>
        <v>Jaan Sepp, Oskar Sepp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</row>
    <row r="115" spans="1:18" x14ac:dyDescent="0.2">
      <c r="A115" s="852"/>
      <c r="B115" s="853"/>
      <c r="C115" s="854" t="str">
        <f>IF(COUNT(C114,C116)=2,IF(C114&gt;C116,B114,B116),"")</f>
        <v>Jaan Sepp, Oskar Sepp</v>
      </c>
      <c r="D115" s="860"/>
      <c r="E115" s="962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</row>
    <row r="116" spans="1:18" x14ac:dyDescent="0.2">
      <c r="A116" s="852" t="s">
        <v>416</v>
      </c>
      <c r="B116" s="855" t="str">
        <f>IF(A116="-","-",IFERROR(INDEX(B$1:B$100,MATCH(A116,I$1:I$100,0)),""))</f>
        <v>Jaan Sepp, Oskar Sepp</v>
      </c>
      <c r="C116" s="856">
        <v>13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</row>
    <row r="117" spans="1:18" x14ac:dyDescent="0.2">
      <c r="A117" s="754"/>
      <c r="B117" s="818"/>
      <c r="C117" s="755"/>
      <c r="D117" s="755"/>
      <c r="E117" s="804" t="str">
        <f>IF(COUNT(E103,E107)=2,IF(E103&lt;E107,C103,C107),"")</f>
        <v>Aigi Orro, Ülo Piik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</row>
    <row r="118" spans="1:18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Aigi Orro, Ülo Piik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</row>
    <row r="119" spans="1:18" x14ac:dyDescent="0.2">
      <c r="A119" s="755"/>
      <c r="B119" s="755"/>
      <c r="C119" s="755"/>
      <c r="D119" s="755"/>
      <c r="E119" s="865" t="str">
        <f>IF(COUNT(E111,E115)=2,IF(E111&lt;E115,C111,C115),"")</f>
        <v>Meelis Luud, Urmas Randlaine</v>
      </c>
      <c r="F119" s="860"/>
      <c r="G119" s="856">
        <v>11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</row>
    <row r="120" spans="1:18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</row>
    <row r="121" spans="1:18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Meelis Luud, Urmas Randlaine</v>
      </c>
      <c r="I121" s="938"/>
      <c r="J121" s="755"/>
      <c r="K121" s="755"/>
      <c r="L121" s="755"/>
      <c r="M121" s="755"/>
      <c r="N121" s="755"/>
      <c r="O121" s="755"/>
      <c r="P121" s="760"/>
      <c r="Q121" s="760"/>
      <c r="R121" s="760"/>
    </row>
    <row r="122" spans="1:18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</row>
    <row r="123" spans="1:18" x14ac:dyDescent="0.2">
      <c r="A123" s="755"/>
      <c r="B123" s="755"/>
      <c r="C123" s="865" t="str">
        <f>IF(COUNT(C102,C104)=2,IF(C102&lt;C104,B102,B104),"")</f>
        <v>Enn Tokman, Veroonika Mendes</v>
      </c>
      <c r="D123" s="755"/>
      <c r="E123" s="851">
        <v>13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</row>
    <row r="124" spans="1:18" x14ac:dyDescent="0.2">
      <c r="A124" s="755"/>
      <c r="B124" s="755"/>
      <c r="C124" s="866"/>
      <c r="D124" s="867"/>
      <c r="E124" s="854" t="str">
        <f>IF(COUNT(E123,E125)=2,IF(E123&gt;E125,C123,C125),"")</f>
        <v>Enn Tokman, Veroonika Mendes</v>
      </c>
      <c r="F124" s="755"/>
      <c r="G124" s="851">
        <v>13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</row>
    <row r="125" spans="1:18" x14ac:dyDescent="0.2">
      <c r="A125" s="755"/>
      <c r="B125" s="755"/>
      <c r="C125" s="865" t="str">
        <f>IF(COUNT(C106,C108)=2,IF(C106&lt;C108,B106,B108),"")</f>
        <v>Kenneth Muusikus, Peep Peenema</v>
      </c>
      <c r="D125" s="868"/>
      <c r="E125" s="856">
        <v>7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</row>
    <row r="126" spans="1:18" ht="13.5" thickBot="1" x14ac:dyDescent="0.25">
      <c r="A126" s="755"/>
      <c r="B126" s="755"/>
      <c r="C126" s="851"/>
      <c r="D126" s="851"/>
      <c r="E126" s="869"/>
      <c r="F126" s="870"/>
      <c r="G126" s="851"/>
      <c r="H126" s="951" t="str">
        <f>IF(COUNT(G124,G128)=2,IF(G124&gt;G128,E124,E128),"")</f>
        <v>Enn Tokman, Veroonika Mendes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</row>
    <row r="127" spans="1:18" x14ac:dyDescent="0.2">
      <c r="A127" s="755"/>
      <c r="B127" s="755"/>
      <c r="C127" s="865" t="str">
        <f>IF(COUNT(C110,C112)=2,IF(C110&lt;C112,B110,B112),"")</f>
        <v>Oleg Rõndenkov, Toomas Tedrekull</v>
      </c>
      <c r="D127" s="851"/>
      <c r="E127" s="851">
        <v>13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</row>
    <row r="128" spans="1:18" x14ac:dyDescent="0.2">
      <c r="A128" s="755"/>
      <c r="B128" s="755"/>
      <c r="C128" s="866"/>
      <c r="D128" s="867"/>
      <c r="E128" s="854" t="str">
        <f>IF(COUNT(E127,E129)=2,IF(E127&gt;E129,C127,C129),"")</f>
        <v>Oleg Rõndenkov, Toomas Tedrekull</v>
      </c>
      <c r="F128" s="860"/>
      <c r="G128" s="856">
        <v>6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</row>
    <row r="129" spans="1:18" ht="13.5" thickBot="1" x14ac:dyDescent="0.25">
      <c r="A129" s="755"/>
      <c r="B129" s="755"/>
      <c r="C129" s="865" t="str">
        <f>IF(COUNT(C114,C116)=2,IF(C114&lt;C116,B114,B116),"")</f>
        <v>Boriss Klubov, Andrei Grintšak</v>
      </c>
      <c r="D129" s="868"/>
      <c r="E129" s="970">
        <v>0</v>
      </c>
      <c r="F129" s="851"/>
      <c r="G129" s="869"/>
      <c r="H129" s="951" t="str">
        <f>IF(COUNT(G124,G128)=2,IF(G124&lt;G128,E124,E128),"")</f>
        <v>Oleg Rõndenkov, Toomas Tedrekull</v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</row>
    <row r="130" spans="1:18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</row>
    <row r="131" spans="1:18" x14ac:dyDescent="0.2">
      <c r="A131" s="755"/>
      <c r="B131" s="755"/>
      <c r="C131" s="851"/>
      <c r="D131" s="869"/>
      <c r="E131" s="804" t="str">
        <f>IF(COUNT(E123,E125)=2,IF(E123&lt;E125,C123,C125),"")</f>
        <v>Kenneth Muusikus, Peep Peenema</v>
      </c>
      <c r="F131" s="755"/>
      <c r="G131" s="851">
        <v>13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</row>
    <row r="132" spans="1:18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>Kenneth Muusikus, Peep Peenema</v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</row>
    <row r="133" spans="1:18" x14ac:dyDescent="0.2">
      <c r="A133" s="755"/>
      <c r="B133" s="755"/>
      <c r="C133" s="851"/>
      <c r="D133" s="869"/>
      <c r="E133" s="865" t="str">
        <f>IF(COUNT(E127,E129)=2,IF(E127&lt;E129,C127,C129),"")</f>
        <v>Boriss Klubov, Andrei Grintšak</v>
      </c>
      <c r="F133" s="860"/>
      <c r="G133" s="856">
        <v>12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</row>
    <row r="134" spans="1:18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</row>
    <row r="135" spans="1:18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>Boriss Klubov, Andrei Grintšak</v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</row>
    <row r="136" spans="1:18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</row>
    <row r="137" spans="1:18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</row>
    <row r="138" spans="1:18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</row>
    <row r="139" spans="1:18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</row>
    <row r="140" spans="1:18" x14ac:dyDescent="0.2">
      <c r="A140" s="849" t="s">
        <v>421</v>
      </c>
      <c r="B140" s="850" t="str">
        <f>IF(A140="-","-",IFERROR(INDEX(B$1:B$100,MATCH(A140,I$1:I$100,0)),""))</f>
        <v>Janek Tarto, Tarmo Bombe</v>
      </c>
      <c r="C140" s="851">
        <v>12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</row>
    <row r="141" spans="1:18" x14ac:dyDescent="0.2">
      <c r="A141" s="852"/>
      <c r="B141" s="853"/>
      <c r="C141" s="854" t="str">
        <f>IF(COUNT(C140,C142)=2,IF(C140&gt;C142,B140,B142),"")</f>
        <v>Illar Tõnurist, Jaan Saar</v>
      </c>
      <c r="D141" s="755"/>
      <c r="E141" s="952">
        <v>0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</row>
    <row r="142" spans="1:18" x14ac:dyDescent="0.2">
      <c r="A142" s="852" t="s">
        <v>440</v>
      </c>
      <c r="B142" s="855" t="str">
        <f>IF(A142="-","-",IFERROR(INDEX(B$1:B$100,MATCH(A142,I$1:I$100,0)),""))</f>
        <v>Illar Tõnurist, Jaan Saar</v>
      </c>
      <c r="C142" s="856">
        <v>13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</row>
    <row r="143" spans="1:18" x14ac:dyDescent="0.2">
      <c r="A143" s="852"/>
      <c r="B143" s="818"/>
      <c r="C143" s="755"/>
      <c r="D143" s="858"/>
      <c r="E143" s="854" t="str">
        <f>IF(COUNT(E141,E145)=2,IF(E141&gt;E145,C141,C145),"")</f>
        <v>Fredi Müür, Kristiin-Marleen Neiland</v>
      </c>
      <c r="F143" s="755"/>
      <c r="G143" s="962">
        <v>13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</row>
    <row r="144" spans="1:18" x14ac:dyDescent="0.2">
      <c r="A144" s="852" t="s">
        <v>425</v>
      </c>
      <c r="B144" s="850" t="str">
        <f>IF(A144="-","-",IFERROR(INDEX(B$1:B$100,MATCH(A144,I$1:I$100,0)),""))</f>
        <v>Fredi Müür, Kristiin-Marleen Neiland</v>
      </c>
      <c r="C144" s="851">
        <f>IF(B144="-",0,IF(B146="-",13,""))</f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</row>
    <row r="145" spans="1:18" x14ac:dyDescent="0.2">
      <c r="A145" s="852"/>
      <c r="B145" s="853"/>
      <c r="C145" s="854" t="str">
        <f>IF(COUNT(C144,C146)=2,IF(C144&gt;C146,B144,B146),"")</f>
        <v>Fredi Müür, Kristiin-Marleen Neiland</v>
      </c>
      <c r="D145" s="860"/>
      <c r="E145" s="851">
        <v>13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</row>
    <row r="146" spans="1:18" x14ac:dyDescent="0.2">
      <c r="A146" s="852" t="s">
        <v>429</v>
      </c>
      <c r="B146" s="855" t="s">
        <v>424</v>
      </c>
      <c r="C146" s="856">
        <f>IF(B146="-",0,IF(B144="-",13,""))</f>
        <v>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</row>
    <row r="147" spans="1:18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Fredi Müür, Kristiin-Marleen Neiland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</row>
    <row r="148" spans="1:18" x14ac:dyDescent="0.2">
      <c r="A148" s="849" t="s">
        <v>427</v>
      </c>
      <c r="B148" s="850" t="str">
        <f>IF(A148="-","-",IFERROR(INDEX(B$1:B$100,MATCH(A148,I$1:I$100,0)),""))</f>
        <v>Tõnu Kapper, Vladimir Ogneštšikov</v>
      </c>
      <c r="C148" s="851">
        <f>IF(B148="-",0,IF(B150="-",13,""))</f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</row>
    <row r="149" spans="1:18" x14ac:dyDescent="0.2">
      <c r="A149" s="852"/>
      <c r="B149" s="853"/>
      <c r="C149" s="854" t="str">
        <f>IF(COUNT(C148,C150)=2,IF(C148&gt;C150,B148,B150),"")</f>
        <v>Tõnu Kapper, Vladimir Ogneštšikov</v>
      </c>
      <c r="D149" s="755"/>
      <c r="E149" s="952">
        <v>0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</row>
    <row r="150" spans="1:18" x14ac:dyDescent="0.2">
      <c r="A150" s="852" t="s">
        <v>507</v>
      </c>
      <c r="B150" s="855" t="s">
        <v>424</v>
      </c>
      <c r="C150" s="856">
        <f>IF(B150="-",0,IF(B148="-",13,""))</f>
        <v>0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</row>
    <row r="151" spans="1:18" x14ac:dyDescent="0.2">
      <c r="A151" s="852"/>
      <c r="B151" s="818"/>
      <c r="C151" s="755"/>
      <c r="D151" s="858"/>
      <c r="E151" s="854" t="str">
        <f>IF(COUNT(E149,E153)=2,IF(E149&gt;E153,C149,C153),"")</f>
        <v>Andres Veski, Svetlana Veski</v>
      </c>
      <c r="F151" s="860"/>
      <c r="G151" s="851">
        <v>2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</row>
    <row r="152" spans="1:18" ht="13.5" thickBot="1" x14ac:dyDescent="0.25">
      <c r="A152" s="852" t="s">
        <v>423</v>
      </c>
      <c r="B152" s="850" t="str">
        <f>IF(A152="-","-",IFERROR(INDEX(B$1:B$100,MATCH(A152,I$1:I$100,0)),""))</f>
        <v>Andres Veski, Svetlana Veski</v>
      </c>
      <c r="C152" s="851">
        <v>13</v>
      </c>
      <c r="D152" s="858"/>
      <c r="E152" s="859"/>
      <c r="F152" s="807"/>
      <c r="G152" s="807"/>
      <c r="H152" s="951" t="str">
        <f>IF(COUNT(G143,G151)=2,IF(G143&lt;G151,E143,E151),"")</f>
        <v>Andres Veski, Svetlana Veski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</row>
    <row r="153" spans="1:18" x14ac:dyDescent="0.2">
      <c r="A153" s="852"/>
      <c r="B153" s="853"/>
      <c r="C153" s="854" t="str">
        <f>IF(COUNT(C152,C154)=2,IF(C152&gt;C154,B152,B154),"")</f>
        <v>Andres Veski, Svetlana Veski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</row>
    <row r="154" spans="1:18" x14ac:dyDescent="0.2">
      <c r="A154" s="852" t="s">
        <v>422</v>
      </c>
      <c r="B154" s="855" t="str">
        <f>IF(A154="-","-",IFERROR(INDEX(B$1:B$100,MATCH(A154,I$1:I$100,0)),""))</f>
        <v>Karla Purgats, Lemmit Toomra</v>
      </c>
      <c r="C154" s="856">
        <v>8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</row>
    <row r="155" spans="1:18" x14ac:dyDescent="0.2">
      <c r="A155" s="754"/>
      <c r="B155" s="818"/>
      <c r="C155" s="755"/>
      <c r="D155" s="755"/>
      <c r="E155" s="804" t="str">
        <f>IF(COUNT(E141,E145)=2,IF(E141&lt;E145,C141,C145),"")</f>
        <v>Illar Tõnurist, Jaan Saar</v>
      </c>
      <c r="F155" s="755"/>
      <c r="G155" s="851">
        <v>9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</row>
    <row r="156" spans="1:18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Tõnu Kapper, Vladimir Ogneštšikov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</row>
    <row r="157" spans="1:18" x14ac:dyDescent="0.2">
      <c r="A157" s="755"/>
      <c r="B157" s="755"/>
      <c r="C157" s="755"/>
      <c r="D157" s="755"/>
      <c r="E157" s="865" t="str">
        <f>IF(COUNT(E149,E153)=2,IF(E149&lt;E153,C149,C153),"")</f>
        <v>Tõnu Kapper, Vladimir Ogneštšikov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</row>
    <row r="158" spans="1:18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</row>
    <row r="159" spans="1:18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Illar Tõnurist, Jaan Saar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</row>
    <row r="160" spans="1:18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</row>
    <row r="161" spans="1:18" x14ac:dyDescent="0.2">
      <c r="A161" s="755"/>
      <c r="B161" s="755"/>
      <c r="C161" s="865" t="str">
        <f>IF(COUNT(C140,C142)=2,IF(C140&lt;C142,B140,B142),"")</f>
        <v>Janek Tarto, Tarmo Bombe</v>
      </c>
      <c r="D161" s="755"/>
      <c r="E161" s="851">
        <f>IF(C161="-",0,IF(C163="-",13,""))</f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</row>
    <row r="162" spans="1:18" x14ac:dyDescent="0.2">
      <c r="A162" s="755"/>
      <c r="B162" s="755"/>
      <c r="C162" s="866"/>
      <c r="D162" s="867"/>
      <c r="E162" s="854" t="str">
        <f>IF(COUNT(E161,E163)=2,IF(E161&gt;E163,C161,C163),"")</f>
        <v>Janek Tarto, Tarmo Bombe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</row>
    <row r="163" spans="1:18" x14ac:dyDescent="0.2">
      <c r="A163" s="755"/>
      <c r="B163" s="755"/>
      <c r="C163" s="865" t="str">
        <f>IF(COUNT(C144,C146)=2,IF(C144&lt;C146,B144,B146),"")</f>
        <v>-</v>
      </c>
      <c r="D163" s="868"/>
      <c r="E163" s="856">
        <f>IF(C163="-",0,IF(C161="-",13,""))</f>
        <v>0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</row>
    <row r="164" spans="1:18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>Janek Tarto, Tarmo Bombe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</row>
    <row r="165" spans="1:18" x14ac:dyDescent="0.2">
      <c r="A165" s="755"/>
      <c r="B165" s="755"/>
      <c r="C165" s="865" t="str">
        <f>IF(COUNT(C148,C150)=2,IF(C148&lt;C150,B148,B150),"")</f>
        <v>-</v>
      </c>
      <c r="D165" s="851"/>
      <c r="E165" s="851">
        <f>IF(C165="-",0,IF(C167="-",13,""))</f>
        <v>0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</row>
    <row r="166" spans="1:18" x14ac:dyDescent="0.2">
      <c r="A166" s="755"/>
      <c r="B166" s="755"/>
      <c r="C166" s="866"/>
      <c r="D166" s="867"/>
      <c r="E166" s="854" t="str">
        <f>IF(COUNT(E165,E167)=2,IF(E165&gt;E167,C165,C167),"")</f>
        <v>Karla Purgats, Lemmit Toomra</v>
      </c>
      <c r="F166" s="860"/>
      <c r="G166" s="971">
        <v>5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</row>
    <row r="167" spans="1:18" ht="13.5" thickBot="1" x14ac:dyDescent="0.25">
      <c r="A167" s="755"/>
      <c r="B167" s="755"/>
      <c r="C167" s="865" t="str">
        <f>IF(COUNT(C152,C154)=2,IF(C152&lt;C154,B152,B154),"")</f>
        <v>Karla Purgats, Lemmit Toomra</v>
      </c>
      <c r="D167" s="868"/>
      <c r="E167" s="856">
        <f>IF(C167="-",0,IF(C165="-",13,""))</f>
        <v>13</v>
      </c>
      <c r="F167" s="851"/>
      <c r="G167" s="869"/>
      <c r="H167" s="951" t="str">
        <f>IF(COUNT(G162,G166)=2,IF(G162&lt;G166,E162,E166),"")</f>
        <v>Karla Purgats, Lemmit Toomra</v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</row>
    <row r="168" spans="1:18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</row>
    <row r="169" spans="1:18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</row>
    <row r="170" spans="1:18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>-</v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</row>
    <row r="171" spans="1:18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810"/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</row>
    <row r="172" spans="1:18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</row>
    <row r="173" spans="1:18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>-</v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</row>
    <row r="174" spans="1:18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</row>
    <row r="175" spans="1:18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</row>
    <row r="176" spans="1:18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</row>
    <row r="177" spans="1:18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</row>
    <row r="178" spans="1:18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</row>
    <row r="179" spans="1:18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</row>
    <row r="180" spans="1:18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</row>
    <row r="181" spans="1:18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</row>
    <row r="182" spans="1:18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</row>
    <row r="183" spans="1:18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</row>
    <row r="184" spans="1:18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</row>
    <row r="185" spans="1:18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</row>
    <row r="186" spans="1:18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</row>
    <row r="187" spans="1:18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</row>
    <row r="188" spans="1:18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</row>
    <row r="189" spans="1:18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</row>
    <row r="190" spans="1:18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</row>
    <row r="191" spans="1:18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</row>
    <row r="192" spans="1:18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</row>
    <row r="193" spans="1:18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</row>
    <row r="194" spans="1:18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</row>
    <row r="195" spans="1:18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</row>
    <row r="196" spans="1:18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</row>
    <row r="197" spans="1:18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</row>
    <row r="198" spans="1:18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</row>
    <row r="199" spans="1:18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</row>
    <row r="200" spans="1:18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</row>
    <row r="201" spans="1:18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</row>
    <row r="202" spans="1:18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</row>
    <row r="203" spans="1:18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</row>
    <row r="204" spans="1:18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</row>
    <row r="205" spans="1:18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</row>
    <row r="206" spans="1:18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</row>
    <row r="207" spans="1:18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</row>
    <row r="208" spans="1:18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</row>
    <row r="209" spans="1:18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</row>
    <row r="210" spans="1:18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</row>
    <row r="211" spans="1:18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</row>
    <row r="212" spans="1:18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</row>
    <row r="213" spans="1:18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</row>
    <row r="214" spans="1:18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</row>
    <row r="215" spans="1:18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</row>
    <row r="216" spans="1:18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</row>
    <row r="217" spans="1:18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</row>
    <row r="218" spans="1:18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</row>
    <row r="219" spans="1:18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</row>
    <row r="220" spans="1:18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</row>
    <row r="221" spans="1:18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</row>
    <row r="222" spans="1:18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</row>
    <row r="223" spans="1:18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</row>
    <row r="224" spans="1:18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</row>
    <row r="225" spans="1:18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</row>
    <row r="226" spans="1:18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</row>
    <row r="227" spans="1:18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</row>
    <row r="228" spans="1:18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</row>
    <row r="229" spans="1:18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</row>
    <row r="230" spans="1:18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</row>
    <row r="231" spans="1:18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</row>
    <row r="232" spans="1:18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</row>
    <row r="233" spans="1:18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</row>
    <row r="234" spans="1:18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</row>
    <row r="235" spans="1:18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</row>
    <row r="236" spans="1:18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</row>
    <row r="237" spans="1:18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</row>
    <row r="238" spans="1:18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</row>
    <row r="239" spans="1:18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</row>
    <row r="240" spans="1:18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</row>
    <row r="241" spans="1:18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</row>
    <row r="242" spans="1:18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</row>
    <row r="243" spans="1:18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</row>
    <row r="244" spans="1:18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</row>
    <row r="245" spans="1:18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</row>
    <row r="246" spans="1:18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</row>
    <row r="247" spans="1:18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</row>
    <row r="248" spans="1:18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</row>
    <row r="249" spans="1:18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</row>
    <row r="250" spans="1:18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</row>
    <row r="251" spans="1:18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</row>
    <row r="252" spans="1:18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</row>
    <row r="253" spans="1:18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</row>
    <row r="254" spans="1:18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</row>
    <row r="255" spans="1:18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</row>
    <row r="256" spans="1:18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</row>
    <row r="257" spans="1:18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</row>
    <row r="258" spans="1:18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</row>
    <row r="259" spans="1:18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</row>
    <row r="260" spans="1:18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</row>
    <row r="261" spans="1:18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</row>
    <row r="262" spans="1:18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</row>
    <row r="263" spans="1:18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</row>
    <row r="264" spans="1:18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</row>
    <row r="265" spans="1:18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</row>
    <row r="266" spans="1:18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</row>
    <row r="267" spans="1:18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</row>
    <row r="268" spans="1:18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</row>
    <row r="269" spans="1:18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</row>
    <row r="270" spans="1:18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</row>
    <row r="271" spans="1:18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</row>
    <row r="272" spans="1:18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</row>
    <row r="273" spans="1:18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</row>
    <row r="274" spans="1:18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</row>
    <row r="275" spans="1:18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</row>
    <row r="276" spans="1:18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</row>
    <row r="277" spans="1:18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</row>
    <row r="278" spans="1:18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</row>
    <row r="279" spans="1:18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</row>
    <row r="280" spans="1:18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</row>
    <row r="281" spans="1:18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</row>
    <row r="282" spans="1:18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</row>
    <row r="283" spans="1:18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</row>
    <row r="284" spans="1:18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</row>
    <row r="285" spans="1:18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</row>
    <row r="286" spans="1:18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</row>
    <row r="287" spans="1:18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</row>
    <row r="288" spans="1:18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</row>
    <row r="289" spans="1:18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</row>
    <row r="290" spans="1:18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</row>
    <row r="291" spans="1:18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</row>
    <row r="292" spans="1:18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</row>
    <row r="293" spans="1:18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</row>
    <row r="294" spans="1:18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</row>
    <row r="295" spans="1:18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</row>
    <row r="296" spans="1:18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</row>
    <row r="297" spans="1:18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</row>
    <row r="298" spans="1:18" hidden="1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</row>
    <row r="299" spans="1:18" x14ac:dyDescent="0.2">
      <c r="A299" s="873"/>
      <c r="B299" s="873"/>
      <c r="C299" s="874"/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</row>
    <row r="300" spans="1:18" x14ac:dyDescent="0.2">
      <c r="A300" s="815">
        <v>1</v>
      </c>
      <c r="B300" s="816" t="str">
        <f t="shared" ref="B300:B313" si="16">IFERROR(INDEX(H$100:H$300,MATCH(A300&amp;". koht",H$101:H$301,0)),"")</f>
        <v>Elmo Lageda, Tõnu Piik</v>
      </c>
      <c r="C300" s="755"/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</row>
    <row r="301" spans="1:18" x14ac:dyDescent="0.2">
      <c r="A301" s="875">
        <v>2</v>
      </c>
      <c r="B301" s="816" t="str">
        <f t="shared" si="16"/>
        <v>Jaan Sepp, Oskar Sepp</v>
      </c>
      <c r="C301" s="755"/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</row>
    <row r="302" spans="1:18" x14ac:dyDescent="0.2">
      <c r="A302" s="875">
        <v>3</v>
      </c>
      <c r="B302" s="816" t="str">
        <f t="shared" si="16"/>
        <v>Aigi Orro, Ülo Piik</v>
      </c>
      <c r="C302" s="755"/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</row>
    <row r="303" spans="1:18" x14ac:dyDescent="0.2">
      <c r="A303" s="875">
        <v>4</v>
      </c>
      <c r="B303" s="816" t="str">
        <f t="shared" si="16"/>
        <v>Meelis Luud, Urmas Randlaine</v>
      </c>
      <c r="C303" s="755"/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</row>
    <row r="304" spans="1:18" x14ac:dyDescent="0.2">
      <c r="A304" s="875">
        <v>5</v>
      </c>
      <c r="B304" s="816" t="str">
        <f t="shared" si="16"/>
        <v>Enn Tokman, Veroonika Mendes</v>
      </c>
      <c r="C304" s="755"/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</row>
    <row r="305" spans="1:18" x14ac:dyDescent="0.2">
      <c r="A305" s="875">
        <v>6</v>
      </c>
      <c r="B305" s="816" t="str">
        <f t="shared" si="16"/>
        <v>Oleg Rõndenkov, Toomas Tedrekull</v>
      </c>
      <c r="C305" s="755"/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</row>
    <row r="306" spans="1:18" x14ac:dyDescent="0.2">
      <c r="A306" s="875">
        <v>7</v>
      </c>
      <c r="B306" s="816" t="str">
        <f t="shared" si="16"/>
        <v>Kenneth Muusikus, Peep Peenema</v>
      </c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</row>
    <row r="307" spans="1:18" x14ac:dyDescent="0.2">
      <c r="A307" s="875">
        <v>8</v>
      </c>
      <c r="B307" s="816" t="str">
        <f t="shared" si="16"/>
        <v>Boriss Klubov, Andrei Grintšak</v>
      </c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</row>
    <row r="308" spans="1:18" x14ac:dyDescent="0.2">
      <c r="A308" s="875">
        <v>9</v>
      </c>
      <c r="B308" s="816" t="str">
        <f t="shared" si="16"/>
        <v>Fredi Müür, Kristiin-Marleen Neiland</v>
      </c>
      <c r="C308" s="755"/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</row>
    <row r="309" spans="1:18" x14ac:dyDescent="0.2">
      <c r="A309" s="875">
        <v>10</v>
      </c>
      <c r="B309" s="816" t="str">
        <f t="shared" si="16"/>
        <v>Andres Veski, Svetlana Veski</v>
      </c>
      <c r="C309" s="755"/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</row>
    <row r="310" spans="1:18" x14ac:dyDescent="0.2">
      <c r="A310" s="875">
        <v>11</v>
      </c>
      <c r="B310" s="816" t="str">
        <f t="shared" si="16"/>
        <v>Tõnu Kapper, Vladimir Ogneštšikov</v>
      </c>
      <c r="C310" s="755"/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</row>
    <row r="311" spans="1:18" x14ac:dyDescent="0.2">
      <c r="A311" s="875">
        <v>12</v>
      </c>
      <c r="B311" s="816" t="str">
        <f t="shared" si="16"/>
        <v>Illar Tõnurist, Jaan Saar</v>
      </c>
      <c r="C311" s="755"/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</row>
    <row r="312" spans="1:18" x14ac:dyDescent="0.2">
      <c r="A312" s="875">
        <v>13</v>
      </c>
      <c r="B312" s="816" t="str">
        <f t="shared" si="16"/>
        <v>Janek Tarto, Tarmo Bombe</v>
      </c>
      <c r="C312" s="755"/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</row>
    <row r="313" spans="1:18" x14ac:dyDescent="0.2">
      <c r="A313" s="875">
        <v>14</v>
      </c>
      <c r="B313" s="816" t="str">
        <f t="shared" si="16"/>
        <v>Karla Purgats, Lemmit Toomra</v>
      </c>
      <c r="C313" s="755"/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</row>
    <row r="314" spans="1:18" x14ac:dyDescent="0.2">
      <c r="A314" s="755"/>
      <c r="B314" s="754"/>
      <c r="C314" s="755"/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</row>
    <row r="315" spans="1:18" x14ac:dyDescent="0.2">
      <c r="A315" s="755"/>
      <c r="B315" s="754"/>
      <c r="C315" s="755"/>
      <c r="D315" s="755"/>
      <c r="E315" s="755"/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</row>
  </sheetData>
  <conditionalFormatting sqref="B313">
    <cfRule type="containsBlanks" dxfId="1616" priority="263">
      <formula>LEN(TRIM(B313))=0</formula>
    </cfRule>
    <cfRule type="duplicateValues" dxfId="1615" priority="264"/>
  </conditionalFormatting>
  <conditionalFormatting sqref="I56:I60">
    <cfRule type="expression" dxfId="1614" priority="102">
      <formula>FIND(2,I56,1)</formula>
    </cfRule>
    <cfRule type="expression" dxfId="1613" priority="103">
      <formula>FIND(1,I56,1)</formula>
    </cfRule>
  </conditionalFormatting>
  <conditionalFormatting sqref="A102:A116">
    <cfRule type="cellIs" dxfId="1612" priority="256" operator="equal">
      <formula>"-"</formula>
    </cfRule>
    <cfRule type="duplicateValues" dxfId="1611" priority="257"/>
  </conditionalFormatting>
  <conditionalFormatting sqref="A140:A154">
    <cfRule type="cellIs" dxfId="1610" priority="254" operator="equal">
      <formula>"-"</formula>
    </cfRule>
    <cfRule type="duplicateValues" dxfId="1609" priority="255"/>
  </conditionalFormatting>
  <conditionalFormatting sqref="D7 C8">
    <cfRule type="aboveAverage" dxfId="1608" priority="253"/>
  </conditionalFormatting>
  <conditionalFormatting sqref="E7 C9">
    <cfRule type="aboveAverage" dxfId="1607" priority="252"/>
  </conditionalFormatting>
  <conditionalFormatting sqref="F7 C10">
    <cfRule type="aboveAverage" dxfId="1606" priority="251"/>
  </conditionalFormatting>
  <conditionalFormatting sqref="E8 D9">
    <cfRule type="aboveAverage" dxfId="1605" priority="250"/>
  </conditionalFormatting>
  <conditionalFormatting sqref="G7 C11">
    <cfRule type="aboveAverage" dxfId="1604" priority="249"/>
  </conditionalFormatting>
  <conditionalFormatting sqref="F8 D10">
    <cfRule type="aboveAverage" dxfId="1603" priority="248"/>
  </conditionalFormatting>
  <conditionalFormatting sqref="G8 D11">
    <cfRule type="aboveAverage" dxfId="1602" priority="247"/>
  </conditionalFormatting>
  <conditionalFormatting sqref="F9 E10">
    <cfRule type="aboveAverage" dxfId="1601" priority="246"/>
  </conditionalFormatting>
  <conditionalFormatting sqref="G9 E11">
    <cfRule type="aboveAverage" dxfId="1600" priority="245"/>
  </conditionalFormatting>
  <conditionalFormatting sqref="F11 G10">
    <cfRule type="aboveAverage" dxfId="1599" priority="244"/>
  </conditionalFormatting>
  <conditionalFormatting sqref="K14:K18">
    <cfRule type="expression" dxfId="1598" priority="236">
      <formula>AND(J14=3,IF(COUNTIF(J$14:J$18,"=3")&gt;=2,TRUE))</formula>
    </cfRule>
    <cfRule type="expression" dxfId="1597" priority="242">
      <formula>AND(J14=1,IF(COUNTIF(J$14:J$18,"=1")&gt;=2,TRUE))</formula>
    </cfRule>
    <cfRule type="expression" dxfId="1596" priority="243">
      <formula>AND(J14=2,IF(COUNTIF(J$14:J$18,"=2")&gt;=2,TRUE))</formula>
    </cfRule>
  </conditionalFormatting>
  <conditionalFormatting sqref="K21:K25">
    <cfRule type="expression" dxfId="1595" priority="235">
      <formula>AND(J21=3,IF(COUNTIF(J$21:J$25,"=3")&gt;=2,TRUE))</formula>
    </cfRule>
    <cfRule type="expression" dxfId="1594" priority="240">
      <formula>AND(J21=1,IF(COUNTIF(J$21:J$25,"=1")&gt;=2,TRUE))</formula>
    </cfRule>
    <cfRule type="expression" dxfId="1593" priority="241">
      <formula>AND(J21=2,IF(COUNTIF(J$21:J$25,"=2")&gt;=2,TRUE))</formula>
    </cfRule>
  </conditionalFormatting>
  <conditionalFormatting sqref="K7:K11">
    <cfRule type="expression" dxfId="1592" priority="237">
      <formula>AND(J7=3,IF(COUNTIF(J$7:J$11,"=3")&gt;=2,TRUE))</formula>
    </cfRule>
    <cfRule type="expression" dxfId="1591" priority="238">
      <formula>AND(J7=1,IF(COUNTIF(J$7:J$11,"=1")&gt;=2,TRUE))</formula>
    </cfRule>
    <cfRule type="expression" dxfId="1590" priority="239">
      <formula>AND(J7=2,IF(COUNTIF(J$7:J$11,"=2")&gt;=2,TRUE))</formula>
    </cfRule>
  </conditionalFormatting>
  <conditionalFormatting sqref="H7:H11">
    <cfRule type="expression" dxfId="1589" priority="226">
      <formula>AND(J7=1,IF(COUNTIF(J$7:J$11,"=1")&gt;=2,TRUE))</formula>
    </cfRule>
    <cfRule type="expression" dxfId="1588" priority="233">
      <formula>AND(J7=3,IF(COUNTIF(J$7:J$11,"=3")&gt;=2,TRUE))</formula>
    </cfRule>
    <cfRule type="expression" dxfId="1587" priority="234">
      <formula>AND(J7=2,IF(COUNTIF(J$7:J$11,"=2")&gt;=2,TRUE))</formula>
    </cfRule>
  </conditionalFormatting>
  <conditionalFormatting sqref="H17:H18">
    <cfRule type="expression" dxfId="1586" priority="227">
      <formula>AND(J17=1,IF(COUNTIF(J$14:J$18,"=1")&gt;=2,TRUE))</formula>
    </cfRule>
    <cfRule type="expression" dxfId="1585" priority="231">
      <formula>AND(J17=3,IF(COUNTIF(J$14:J$18,"=3")&gt;=2,TRUE))</formula>
    </cfRule>
    <cfRule type="expression" dxfId="1584" priority="232">
      <formula>AND(J17=2,IF(COUNTIF(J$14:J$18,"=2")&gt;=2,TRUE))</formula>
    </cfRule>
  </conditionalFormatting>
  <conditionalFormatting sqref="H21:H25">
    <cfRule type="expression" dxfId="1583" priority="228">
      <formula>AND(J21=1,IF(COUNTIF(J$21:J$25,"=1")&gt;=2,TRUE))</formula>
    </cfRule>
    <cfRule type="expression" dxfId="1582" priority="229">
      <formula>AND(J21=3,IF(COUNTIF(J$21:J$25,"=3")&gt;=2,TRUE))</formula>
    </cfRule>
    <cfRule type="expression" dxfId="1581" priority="230">
      <formula>AND(J21=2,IF(COUNTIF(J$21:J$25,"=2")&gt;=2,TRUE))</formula>
    </cfRule>
  </conditionalFormatting>
  <conditionalFormatting sqref="C69 C73:C74">
    <cfRule type="aboveAverage" dxfId="1580" priority="225"/>
  </conditionalFormatting>
  <conditionalFormatting sqref="D69 D73:D74">
    <cfRule type="aboveAverage" dxfId="1579" priority="224"/>
  </conditionalFormatting>
  <conditionalFormatting sqref="K28:K32">
    <cfRule type="expression" dxfId="1578" priority="221">
      <formula>AND(J28=3,IF(COUNTIF(J$28:J$32,"=3")&gt;=2,TRUE))</formula>
    </cfRule>
    <cfRule type="expression" dxfId="1577" priority="222">
      <formula>AND(J28=1,IF(COUNTIF(J$28:J$32,"=1")&gt;=2,TRUE))</formula>
    </cfRule>
    <cfRule type="expression" dxfId="1576" priority="223">
      <formula>AND(J28=2,IF(COUNTIF(J$28:J$32,"=2")&gt;=2,TRUE))</formula>
    </cfRule>
  </conditionalFormatting>
  <conditionalFormatting sqref="H28:H32">
    <cfRule type="expression" dxfId="1575" priority="218">
      <formula>AND(J28=1,IF(COUNTIF(J$28:J$32,"=1")&gt;=2,TRUE))</formula>
    </cfRule>
    <cfRule type="expression" dxfId="1574" priority="219">
      <formula>AND(J28=3,IF(COUNTIF(J$28:J$32,"=3")&gt;=2,TRUE))</formula>
    </cfRule>
    <cfRule type="expression" dxfId="1573" priority="220">
      <formula>AND(J28=2,IF(COUNTIF(J$28:J$32,"=2")&gt;=2,TRUE))</formula>
    </cfRule>
  </conditionalFormatting>
  <conditionalFormatting sqref="D14 C15">
    <cfRule type="aboveAverage" dxfId="1572" priority="217"/>
  </conditionalFormatting>
  <conditionalFormatting sqref="E14 C16">
    <cfRule type="aboveAverage" dxfId="1571" priority="216"/>
  </conditionalFormatting>
  <conditionalFormatting sqref="F14 C17">
    <cfRule type="aboveAverage" dxfId="1570" priority="215"/>
  </conditionalFormatting>
  <conditionalFormatting sqref="E15 D16">
    <cfRule type="aboveAverage" dxfId="1569" priority="214"/>
  </conditionalFormatting>
  <conditionalFormatting sqref="G14 C18">
    <cfRule type="aboveAverage" dxfId="1568" priority="213"/>
  </conditionalFormatting>
  <conditionalFormatting sqref="F15 D17">
    <cfRule type="aboveAverage" dxfId="1567" priority="212"/>
  </conditionalFormatting>
  <conditionalFormatting sqref="G15 D18">
    <cfRule type="aboveAverage" dxfId="1566" priority="211"/>
  </conditionalFormatting>
  <conditionalFormatting sqref="F16 E17">
    <cfRule type="aboveAverage" dxfId="1565" priority="210"/>
  </conditionalFormatting>
  <conditionalFormatting sqref="G16 E18">
    <cfRule type="aboveAverage" dxfId="1564" priority="209"/>
  </conditionalFormatting>
  <conditionalFormatting sqref="F18 G17">
    <cfRule type="aboveAverage" dxfId="1563" priority="208"/>
  </conditionalFormatting>
  <conditionalFormatting sqref="D21 C22">
    <cfRule type="aboveAverage" dxfId="1562" priority="207"/>
  </conditionalFormatting>
  <conditionalFormatting sqref="E21 C23">
    <cfRule type="aboveAverage" dxfId="1561" priority="206"/>
  </conditionalFormatting>
  <conditionalFormatting sqref="F21 C24">
    <cfRule type="aboveAverage" dxfId="1560" priority="205"/>
  </conditionalFormatting>
  <conditionalFormatting sqref="E22 D23">
    <cfRule type="aboveAverage" dxfId="1559" priority="204"/>
  </conditionalFormatting>
  <conditionalFormatting sqref="G21 C25">
    <cfRule type="aboveAverage" dxfId="1558" priority="203"/>
  </conditionalFormatting>
  <conditionalFormatting sqref="F22 D24">
    <cfRule type="aboveAverage" dxfId="1557" priority="202"/>
  </conditionalFormatting>
  <conditionalFormatting sqref="G22 D25">
    <cfRule type="aboveAverage" dxfId="1556" priority="201"/>
  </conditionalFormatting>
  <conditionalFormatting sqref="F23 E24">
    <cfRule type="aboveAverage" dxfId="1555" priority="200"/>
  </conditionalFormatting>
  <conditionalFormatting sqref="G23 E25">
    <cfRule type="aboveAverage" dxfId="1554" priority="199"/>
  </conditionalFormatting>
  <conditionalFormatting sqref="F25 G24">
    <cfRule type="aboveAverage" dxfId="1553" priority="198"/>
  </conditionalFormatting>
  <conditionalFormatting sqref="D28 C29">
    <cfRule type="aboveAverage" dxfId="1552" priority="197"/>
  </conditionalFormatting>
  <conditionalFormatting sqref="E28 C30">
    <cfRule type="aboveAverage" dxfId="1551" priority="196"/>
  </conditionalFormatting>
  <conditionalFormatting sqref="F28 C31">
    <cfRule type="aboveAverage" dxfId="1550" priority="195"/>
  </conditionalFormatting>
  <conditionalFormatting sqref="E29 D30">
    <cfRule type="aboveAverage" dxfId="1549" priority="194"/>
  </conditionalFormatting>
  <conditionalFormatting sqref="G28 C32">
    <cfRule type="aboveAverage" dxfId="1548" priority="193"/>
  </conditionalFormatting>
  <conditionalFormatting sqref="F29 D31">
    <cfRule type="aboveAverage" dxfId="1547" priority="192"/>
  </conditionalFormatting>
  <conditionalFormatting sqref="G29 D32">
    <cfRule type="aboveAverage" dxfId="1546" priority="191"/>
  </conditionalFormatting>
  <conditionalFormatting sqref="F30 E31">
    <cfRule type="aboveAverage" dxfId="1545" priority="190"/>
  </conditionalFormatting>
  <conditionalFormatting sqref="G30 E32">
    <cfRule type="aboveAverage" dxfId="1544" priority="189"/>
  </conditionalFormatting>
  <conditionalFormatting sqref="F32 G31">
    <cfRule type="aboveAverage" dxfId="1543" priority="188"/>
  </conditionalFormatting>
  <conditionalFormatting sqref="D35 C36">
    <cfRule type="aboveAverage" dxfId="1542" priority="186"/>
  </conditionalFormatting>
  <conditionalFormatting sqref="E35 C37">
    <cfRule type="aboveAverage" dxfId="1541" priority="185"/>
  </conditionalFormatting>
  <conditionalFormatting sqref="F35 C38">
    <cfRule type="aboveAverage" dxfId="1540" priority="184"/>
  </conditionalFormatting>
  <conditionalFormatting sqref="E36 D37">
    <cfRule type="aboveAverage" dxfId="1539" priority="183"/>
  </conditionalFormatting>
  <conditionalFormatting sqref="G35 C39">
    <cfRule type="aboveAverage" dxfId="1538" priority="182"/>
  </conditionalFormatting>
  <conditionalFormatting sqref="F36 D38">
    <cfRule type="aboveAverage" dxfId="1537" priority="181"/>
  </conditionalFormatting>
  <conditionalFormatting sqref="G36 D39">
    <cfRule type="aboveAverage" dxfId="1536" priority="180"/>
  </conditionalFormatting>
  <conditionalFormatting sqref="F37 E38">
    <cfRule type="aboveAverage" dxfId="1535" priority="179"/>
  </conditionalFormatting>
  <conditionalFormatting sqref="G37 E39">
    <cfRule type="aboveAverage" dxfId="1534" priority="178"/>
  </conditionalFormatting>
  <conditionalFormatting sqref="F39 G38">
    <cfRule type="aboveAverage" dxfId="1533" priority="177"/>
  </conditionalFormatting>
  <conditionalFormatting sqref="K42:K46">
    <cfRule type="expression" dxfId="1532" priority="169">
      <formula>AND(J42=3,IF(COUNTIF(J$14:J$18,"=3")&gt;=2,TRUE))</formula>
    </cfRule>
    <cfRule type="expression" dxfId="1531" priority="175">
      <formula>AND(J42=1,IF(COUNTIF(J$14:J$18,"=1")&gt;=2,TRUE))</formula>
    </cfRule>
    <cfRule type="expression" dxfId="1530" priority="176">
      <formula>AND(J42=2,IF(COUNTIF(J$14:J$18,"=2")&gt;=2,TRUE))</formula>
    </cfRule>
  </conditionalFormatting>
  <conditionalFormatting sqref="K49:K53">
    <cfRule type="expression" dxfId="1529" priority="168">
      <formula>AND(J49=3,IF(COUNTIF(J$21:J$25,"=3")&gt;=2,TRUE))</formula>
    </cfRule>
    <cfRule type="expression" dxfId="1528" priority="173">
      <formula>AND(J49=1,IF(COUNTIF(J$21:J$25,"=1")&gt;=2,TRUE))</formula>
    </cfRule>
    <cfRule type="expression" dxfId="1527" priority="174">
      <formula>AND(J49=2,IF(COUNTIF(J$21:J$25,"=2")&gt;=2,TRUE))</formula>
    </cfRule>
  </conditionalFormatting>
  <conditionalFormatting sqref="K35:K39">
    <cfRule type="expression" dxfId="1526" priority="170">
      <formula>AND(J35=3,IF(COUNTIF(J$7:J$11,"=3")&gt;=2,TRUE))</formula>
    </cfRule>
    <cfRule type="expression" dxfId="1525" priority="171">
      <formula>AND(J35=1,IF(COUNTIF(J$7:J$11,"=1")&gt;=2,TRUE))</formula>
    </cfRule>
    <cfRule type="expression" dxfId="1524" priority="172">
      <formula>AND(J35=2,IF(COUNTIF(J$7:J$11,"=2")&gt;=2,TRUE))</formula>
    </cfRule>
  </conditionalFormatting>
  <conditionalFormatting sqref="H35:H39">
    <cfRule type="expression" dxfId="1523" priority="159">
      <formula>AND(J35=1,IF(COUNTIF(J$7:J$11,"=1")&gt;=2,TRUE))</formula>
    </cfRule>
    <cfRule type="expression" dxfId="1522" priority="166">
      <formula>AND(J35=3,IF(COUNTIF(J$7:J$11,"=3")&gt;=2,TRUE))</formula>
    </cfRule>
    <cfRule type="expression" dxfId="1521" priority="167">
      <formula>AND(J35=2,IF(COUNTIF(J$7:J$11,"=2")&gt;=2,TRUE))</formula>
    </cfRule>
  </conditionalFormatting>
  <conditionalFormatting sqref="H42:H46">
    <cfRule type="expression" dxfId="1520" priority="160">
      <formula>AND(J42=1,IF(COUNTIF(J$14:J$18,"=1")&gt;=2,TRUE))</formula>
    </cfRule>
    <cfRule type="expression" dxfId="1519" priority="164">
      <formula>AND(J42=3,IF(COUNTIF(J$14:J$18,"=3")&gt;=2,TRUE))</formula>
    </cfRule>
    <cfRule type="expression" dxfId="1518" priority="165">
      <formula>AND(J42=2,IF(COUNTIF(J$14:J$18,"=2")&gt;=2,TRUE))</formula>
    </cfRule>
  </conditionalFormatting>
  <conditionalFormatting sqref="H49:H53">
    <cfRule type="expression" dxfId="1517" priority="161">
      <formula>AND(J49=1,IF(COUNTIF(J$21:J$25,"=1")&gt;=2,TRUE))</formula>
    </cfRule>
    <cfRule type="expression" dxfId="1516" priority="162">
      <formula>AND(J49=3,IF(COUNTIF(J$21:J$25,"=3")&gt;=2,TRUE))</formula>
    </cfRule>
    <cfRule type="expression" dxfId="1515" priority="163">
      <formula>AND(J49=2,IF(COUNTIF(J$21:J$25,"=2")&gt;=2,TRUE))</formula>
    </cfRule>
  </conditionalFormatting>
  <conditionalFormatting sqref="K56:K60">
    <cfRule type="expression" dxfId="1514" priority="156">
      <formula>AND(J56=3,IF(COUNTIF(J$28:J$32,"=3")&gt;=2,TRUE))</formula>
    </cfRule>
    <cfRule type="expression" dxfId="1513" priority="157">
      <formula>AND(J56=1,IF(COUNTIF(J$28:J$32,"=1")&gt;=2,TRUE))</formula>
    </cfRule>
    <cfRule type="expression" dxfId="1512" priority="158">
      <formula>AND(J56=2,IF(COUNTIF(J$28:J$32,"=2")&gt;=2,TRUE))</formula>
    </cfRule>
  </conditionalFormatting>
  <conditionalFormatting sqref="H56:H60">
    <cfRule type="expression" dxfId="1511" priority="153">
      <formula>AND(J56=1,IF(COUNTIF(J$28:J$32,"=1")&gt;=2,TRUE))</formula>
    </cfRule>
    <cfRule type="expression" dxfId="1510" priority="154">
      <formula>AND(J56=3,IF(COUNTIF(J$28:J$32,"=3")&gt;=2,TRUE))</formula>
    </cfRule>
    <cfRule type="expression" dxfId="1509" priority="155">
      <formula>AND(J56=2,IF(COUNTIF(J$28:J$32,"=2")&gt;=2,TRUE))</formula>
    </cfRule>
  </conditionalFormatting>
  <conditionalFormatting sqref="B37">
    <cfRule type="duplicateValues" dxfId="1508" priority="187"/>
  </conditionalFormatting>
  <conditionalFormatting sqref="D42 C43">
    <cfRule type="aboveAverage" dxfId="1507" priority="151"/>
  </conditionalFormatting>
  <conditionalFormatting sqref="E42 C44">
    <cfRule type="aboveAverage" dxfId="1506" priority="150"/>
  </conditionalFormatting>
  <conditionalFormatting sqref="F42 C45">
    <cfRule type="aboveAverage" dxfId="1505" priority="149"/>
  </conditionalFormatting>
  <conditionalFormatting sqref="E43 D44">
    <cfRule type="aboveAverage" dxfId="1504" priority="148"/>
  </conditionalFormatting>
  <conditionalFormatting sqref="G42 C46">
    <cfRule type="aboveAverage" dxfId="1503" priority="147"/>
  </conditionalFormatting>
  <conditionalFormatting sqref="F43 D45">
    <cfRule type="aboveAverage" dxfId="1502" priority="146"/>
  </conditionalFormatting>
  <conditionalFormatting sqref="G43 D46">
    <cfRule type="aboveAverage" dxfId="1501" priority="145"/>
  </conditionalFormatting>
  <conditionalFormatting sqref="F44 E45">
    <cfRule type="aboveAverage" dxfId="1500" priority="144"/>
  </conditionalFormatting>
  <conditionalFormatting sqref="G44 E46">
    <cfRule type="aboveAverage" dxfId="1499" priority="143"/>
  </conditionalFormatting>
  <conditionalFormatting sqref="F46 G45">
    <cfRule type="aboveAverage" dxfId="1498" priority="142"/>
  </conditionalFormatting>
  <conditionalFormatting sqref="B44">
    <cfRule type="duplicateValues" dxfId="1497" priority="152"/>
  </conditionalFormatting>
  <conditionalFormatting sqref="D49 C50">
    <cfRule type="aboveAverage" dxfId="1496" priority="140"/>
  </conditionalFormatting>
  <conditionalFormatting sqref="E49 C51">
    <cfRule type="aboveAverage" dxfId="1495" priority="139"/>
  </conditionalFormatting>
  <conditionalFormatting sqref="F49 C52">
    <cfRule type="aboveAverage" dxfId="1494" priority="138"/>
  </conditionalFormatting>
  <conditionalFormatting sqref="E50 D51">
    <cfRule type="aboveAverage" dxfId="1493" priority="137"/>
  </conditionalFormatting>
  <conditionalFormatting sqref="G49 C53">
    <cfRule type="aboveAverage" dxfId="1492" priority="136"/>
  </conditionalFormatting>
  <conditionalFormatting sqref="F50 D52">
    <cfRule type="aboveAverage" dxfId="1491" priority="135"/>
  </conditionalFormatting>
  <conditionalFormatting sqref="G50 D53">
    <cfRule type="aboveAverage" dxfId="1490" priority="134"/>
  </conditionalFormatting>
  <conditionalFormatting sqref="F51 E52">
    <cfRule type="aboveAverage" dxfId="1489" priority="133"/>
  </conditionalFormatting>
  <conditionalFormatting sqref="G51 E53">
    <cfRule type="aboveAverage" dxfId="1488" priority="132"/>
  </conditionalFormatting>
  <conditionalFormatting sqref="F53 G52">
    <cfRule type="aboveAverage" dxfId="1487" priority="131"/>
  </conditionalFormatting>
  <conditionalFormatting sqref="B51">
    <cfRule type="duplicateValues" dxfId="1486" priority="141"/>
  </conditionalFormatting>
  <conditionalFormatting sqref="D56 C57">
    <cfRule type="aboveAverage" dxfId="1485" priority="129"/>
  </conditionalFormatting>
  <conditionalFormatting sqref="E56 C58">
    <cfRule type="aboveAverage" dxfId="1484" priority="128"/>
  </conditionalFormatting>
  <conditionalFormatting sqref="F56 C59">
    <cfRule type="aboveAverage" dxfId="1483" priority="127"/>
  </conditionalFormatting>
  <conditionalFormatting sqref="E57 D58">
    <cfRule type="aboveAverage" dxfId="1482" priority="126"/>
  </conditionalFormatting>
  <conditionalFormatting sqref="G56 C60">
    <cfRule type="aboveAverage" dxfId="1481" priority="125"/>
  </conditionalFormatting>
  <conditionalFormatting sqref="F57 D59">
    <cfRule type="aboveAverage" dxfId="1480" priority="124"/>
  </conditionalFormatting>
  <conditionalFormatting sqref="G57 D60">
    <cfRule type="aboveAverage" dxfId="1479" priority="123"/>
  </conditionalFormatting>
  <conditionalFormatting sqref="F58 E59">
    <cfRule type="aboveAverage" dxfId="1478" priority="122"/>
  </conditionalFormatting>
  <conditionalFormatting sqref="G58 E60">
    <cfRule type="aboveAverage" dxfId="1477" priority="121"/>
  </conditionalFormatting>
  <conditionalFormatting sqref="F60 G59">
    <cfRule type="aboveAverage" dxfId="1476" priority="120"/>
  </conditionalFormatting>
  <conditionalFormatting sqref="B58">
    <cfRule type="duplicateValues" dxfId="1475" priority="130"/>
  </conditionalFormatting>
  <conditionalFormatting sqref="I10:I11">
    <cfRule type="expression" dxfId="1474" priority="118">
      <formula>FIND(2,I10,1)</formula>
    </cfRule>
    <cfRule type="expression" dxfId="1473" priority="119">
      <formula>FIND(1,I10,1)</formula>
    </cfRule>
  </conditionalFormatting>
  <conditionalFormatting sqref="I7:I9">
    <cfRule type="expression" dxfId="1472" priority="116">
      <formula>FIND(2,I7,1)</formula>
    </cfRule>
    <cfRule type="expression" dxfId="1471" priority="117">
      <formula>FIND(1,I7,1)</formula>
    </cfRule>
  </conditionalFormatting>
  <conditionalFormatting sqref="I28:I32">
    <cfRule type="expression" dxfId="1470" priority="112">
      <formula>FIND(2,I28,1)</formula>
    </cfRule>
    <cfRule type="expression" dxfId="1469" priority="113">
      <formula>FIND(1,I28,1)</formula>
    </cfRule>
  </conditionalFormatting>
  <conditionalFormatting sqref="I21:I25">
    <cfRule type="expression" dxfId="1468" priority="114">
      <formula>FIND(2,I21,1)</formula>
    </cfRule>
    <cfRule type="expression" dxfId="1467" priority="115">
      <formula>FIND(1,I21,1)</formula>
    </cfRule>
  </conditionalFormatting>
  <conditionalFormatting sqref="I38:I39">
    <cfRule type="expression" dxfId="1466" priority="110">
      <formula>FIND(2,I38,1)</formula>
    </cfRule>
    <cfRule type="expression" dxfId="1465" priority="111">
      <formula>FIND(1,I38,1)</formula>
    </cfRule>
  </conditionalFormatting>
  <conditionalFormatting sqref="I35:I37">
    <cfRule type="expression" dxfId="1464" priority="108">
      <formula>FIND(2,I35,1)</formula>
    </cfRule>
    <cfRule type="expression" dxfId="1463" priority="109">
      <formula>FIND(1,I35,1)</formula>
    </cfRule>
  </conditionalFormatting>
  <conditionalFormatting sqref="I42:I46">
    <cfRule type="expression" dxfId="1462" priority="106">
      <formula>FIND(2,I42,1)</formula>
    </cfRule>
    <cfRule type="expression" dxfId="1461" priority="107">
      <formula>FIND(1,I42,1)</formula>
    </cfRule>
  </conditionalFormatting>
  <conditionalFormatting sqref="I49:I53">
    <cfRule type="expression" dxfId="1460" priority="104">
      <formula>FIND(2,I49,1)</formula>
    </cfRule>
    <cfRule type="expression" dxfId="1459" priority="105">
      <formula>FIND(1,I49,1)</formula>
    </cfRule>
  </conditionalFormatting>
  <conditionalFormatting sqref="L15:L18">
    <cfRule type="expression" dxfId="1458" priority="96">
      <formula>OR(J15=0,J15=4)</formula>
    </cfRule>
    <cfRule type="expression" dxfId="1457" priority="100">
      <formula>AND(J15=1,IF(COUNTIF(J$14:J$18,"=1")=1,TRUE))</formula>
    </cfRule>
    <cfRule type="expression" dxfId="1456" priority="101">
      <formula>AND(J15=3,IF(COUNTIF(J$14:J$18,"=3")=1,TRUE))</formula>
    </cfRule>
  </conditionalFormatting>
  <conditionalFormatting sqref="L21:L25">
    <cfRule type="expression" dxfId="1455" priority="97">
      <formula>OR(J21=0,J21=4)</formula>
    </cfRule>
    <cfRule type="expression" dxfId="1454" priority="98">
      <formula>AND(J21=1,IF(COUNTIF(J$21:J$25,"=1")=1,TRUE))</formula>
    </cfRule>
    <cfRule type="expression" dxfId="1453" priority="99">
      <formula>AND(J21=3,IF(COUNTIF(J$21:J$25,"=3")=1,TRUE))</formula>
    </cfRule>
  </conditionalFormatting>
  <conditionalFormatting sqref="L7:L11">
    <cfRule type="expression" dxfId="1452" priority="93">
      <formula>OR(J7=0,J7=4)</formula>
    </cfRule>
    <cfRule type="expression" dxfId="1451" priority="94">
      <formula>AND(J7=1,IF(COUNTIF(J$7:J$11,"=1")=1,TRUE))</formula>
    </cfRule>
    <cfRule type="expression" dxfId="1450" priority="95">
      <formula>AND(J7=3,IF(COUNTIF(J$7:J$11,"=3")=1,TRUE))</formula>
    </cfRule>
  </conditionalFormatting>
  <conditionalFormatting sqref="L28:L32">
    <cfRule type="expression" dxfId="1449" priority="90">
      <formula>OR(J28=0,J28=4)</formula>
    </cfRule>
    <cfRule type="expression" dxfId="1448" priority="91">
      <formula>AND(J28=1,IF(COUNTIF(J$28:J$32,"=1")=1,TRUE))</formula>
    </cfRule>
    <cfRule type="expression" dxfId="1447" priority="92">
      <formula>AND(J28=3,IF(COUNTIF(J$28:J$32,"=3")=1,TRUE))</formula>
    </cfRule>
  </conditionalFormatting>
  <conditionalFormatting sqref="L43:L46">
    <cfRule type="expression" dxfId="1446" priority="84">
      <formula>OR(J43=0,J43=4)</formula>
    </cfRule>
    <cfRule type="expression" dxfId="1445" priority="88">
      <formula>AND(J43=1,IF(COUNTIF(J$14:J$18,"=1")=1,TRUE))</formula>
    </cfRule>
    <cfRule type="expression" dxfId="1444" priority="89">
      <formula>AND(J43=3,IF(COUNTIF(J$14:J$18,"=3")=1,TRUE))</formula>
    </cfRule>
  </conditionalFormatting>
  <conditionalFormatting sqref="L49:L53">
    <cfRule type="expression" dxfId="1443" priority="85">
      <formula>OR(J49=0,J49=4)</formula>
    </cfRule>
    <cfRule type="expression" dxfId="1442" priority="86">
      <formula>AND(J49=1,IF(COUNTIF(J$21:J$25,"=1")=1,TRUE))</formula>
    </cfRule>
    <cfRule type="expression" dxfId="1441" priority="87">
      <formula>AND(J49=3,IF(COUNTIF(J$21:J$25,"=3")=1,TRUE))</formula>
    </cfRule>
  </conditionalFormatting>
  <conditionalFormatting sqref="L35:L39">
    <cfRule type="expression" dxfId="1440" priority="81">
      <formula>OR(J35=0,J35=4)</formula>
    </cfRule>
    <cfRule type="expression" dxfId="1439" priority="82">
      <formula>AND(J35=1,IF(COUNTIF(J$7:J$11,"=1")=1,TRUE))</formula>
    </cfRule>
    <cfRule type="expression" dxfId="1438" priority="83">
      <formula>AND(J35=3,IF(COUNTIF(J$7:J$11,"=3")=1,TRUE))</formula>
    </cfRule>
  </conditionalFormatting>
  <conditionalFormatting sqref="L56:L60">
    <cfRule type="expression" dxfId="1437" priority="78">
      <formula>OR(J56=0,J56=4)</formula>
    </cfRule>
    <cfRule type="expression" dxfId="1436" priority="79">
      <formula>AND(J56=1,IF(COUNTIF(J$28:J$32,"=1")=1,TRUE))</formula>
    </cfRule>
    <cfRule type="expression" dxfId="1435" priority="80">
      <formula>AND(J56=3,IF(COUNTIF(J$28:J$32,"=3")=1,TRUE))</formula>
    </cfRule>
  </conditionalFormatting>
  <conditionalFormatting sqref="L42">
    <cfRule type="expression" dxfId="1434" priority="75">
      <formula>OR(J42=0,J42=4)</formula>
    </cfRule>
    <cfRule type="expression" dxfId="1433" priority="76">
      <formula>AND(J42=1,IF(COUNTIF(J$7:J$11,"=1")=1,TRUE))</formula>
    </cfRule>
    <cfRule type="expression" dxfId="1432" priority="77">
      <formula>AND(J42=3,IF(COUNTIF(J$7:J$11,"=3")=1,TRUE))</formula>
    </cfRule>
  </conditionalFormatting>
  <conditionalFormatting sqref="E123 E125">
    <cfRule type="aboveAverage" dxfId="1431" priority="74"/>
  </conditionalFormatting>
  <conditionalFormatting sqref="E127 E129">
    <cfRule type="aboveAverage" dxfId="1430" priority="73"/>
  </conditionalFormatting>
  <conditionalFormatting sqref="G124 G128">
    <cfRule type="aboveAverage" dxfId="1429" priority="72"/>
  </conditionalFormatting>
  <conditionalFormatting sqref="G131 G133">
    <cfRule type="aboveAverage" dxfId="1428" priority="71"/>
  </conditionalFormatting>
  <conditionalFormatting sqref="E123 E125 E127 E129 G124 G128 G131 G133">
    <cfRule type="containsBlanks" dxfId="1427" priority="70">
      <formula>LEN(TRIM(E123))=0</formula>
    </cfRule>
  </conditionalFormatting>
  <conditionalFormatting sqref="C102 C104">
    <cfRule type="aboveAverage" dxfId="1426" priority="69"/>
  </conditionalFormatting>
  <conditionalFormatting sqref="E103 E107">
    <cfRule type="aboveAverage" dxfId="1425" priority="68"/>
  </conditionalFormatting>
  <conditionalFormatting sqref="C110 C112">
    <cfRule type="aboveAverage" dxfId="1424" priority="67"/>
  </conditionalFormatting>
  <conditionalFormatting sqref="G105 G113">
    <cfRule type="aboveAverage" dxfId="1423" priority="66"/>
  </conditionalFormatting>
  <conditionalFormatting sqref="C102 C104 C110 C112 E103 G105 E107 G113">
    <cfRule type="containsBlanks" dxfId="1422" priority="65">
      <formula>LEN(TRIM(C102))=0</formula>
    </cfRule>
  </conditionalFormatting>
  <conditionalFormatting sqref="C106 C108">
    <cfRule type="aboveAverage" dxfId="1421" priority="64"/>
  </conditionalFormatting>
  <conditionalFormatting sqref="C106 C108">
    <cfRule type="containsBlanks" dxfId="1420" priority="63">
      <formula>LEN(TRIM(C106))=0</formula>
    </cfRule>
  </conditionalFormatting>
  <conditionalFormatting sqref="C114 C116">
    <cfRule type="aboveAverage" dxfId="1419" priority="62"/>
  </conditionalFormatting>
  <conditionalFormatting sqref="C114 C116">
    <cfRule type="containsBlanks" dxfId="1418" priority="61">
      <formula>LEN(TRIM(C114))=0</formula>
    </cfRule>
  </conditionalFormatting>
  <conditionalFormatting sqref="E103">
    <cfRule type="aboveAverage" dxfId="1417" priority="60"/>
  </conditionalFormatting>
  <conditionalFormatting sqref="E107">
    <cfRule type="aboveAverage" dxfId="1416" priority="59"/>
  </conditionalFormatting>
  <conditionalFormatting sqref="G105">
    <cfRule type="aboveAverage" dxfId="1415" priority="58"/>
  </conditionalFormatting>
  <conditionalFormatting sqref="G105">
    <cfRule type="aboveAverage" dxfId="1414" priority="57"/>
  </conditionalFormatting>
  <conditionalFormatting sqref="G113">
    <cfRule type="aboveAverage" dxfId="1413" priority="56"/>
  </conditionalFormatting>
  <conditionalFormatting sqref="G113">
    <cfRule type="aboveAverage" dxfId="1412" priority="55"/>
  </conditionalFormatting>
  <conditionalFormatting sqref="G117 G119">
    <cfRule type="aboveAverage" dxfId="1411" priority="54"/>
  </conditionalFormatting>
  <conditionalFormatting sqref="G117 G119">
    <cfRule type="containsBlanks" dxfId="1410" priority="53">
      <formula>LEN(TRIM(G117))=0</formula>
    </cfRule>
  </conditionalFormatting>
  <conditionalFormatting sqref="E107">
    <cfRule type="aboveAverage" dxfId="1409" priority="52"/>
  </conditionalFormatting>
  <conditionalFormatting sqref="E111 E115">
    <cfRule type="aboveAverage" dxfId="1408" priority="51"/>
  </conditionalFormatting>
  <conditionalFormatting sqref="E111 E115">
    <cfRule type="containsBlanks" dxfId="1407" priority="50">
      <formula>LEN(TRIM(E111))=0</formula>
    </cfRule>
  </conditionalFormatting>
  <conditionalFormatting sqref="E111">
    <cfRule type="aboveAverage" dxfId="1406" priority="49"/>
  </conditionalFormatting>
  <conditionalFormatting sqref="E115">
    <cfRule type="aboveAverage" dxfId="1405" priority="48"/>
  </conditionalFormatting>
  <conditionalFormatting sqref="E115">
    <cfRule type="aboveAverage" dxfId="1404" priority="47"/>
  </conditionalFormatting>
  <conditionalFormatting sqref="G113">
    <cfRule type="aboveAverage" dxfId="1403" priority="46"/>
  </conditionalFormatting>
  <conditionalFormatting sqref="G113">
    <cfRule type="aboveAverage" dxfId="1402" priority="45"/>
  </conditionalFormatting>
  <conditionalFormatting sqref="E161 E163">
    <cfRule type="aboveAverage" dxfId="1401" priority="44"/>
  </conditionalFormatting>
  <conditionalFormatting sqref="E165 E167">
    <cfRule type="aboveAverage" dxfId="1400" priority="43"/>
  </conditionalFormatting>
  <conditionalFormatting sqref="G162 G166">
    <cfRule type="aboveAverage" dxfId="1399" priority="42"/>
  </conditionalFormatting>
  <conditionalFormatting sqref="G169 G171">
    <cfRule type="aboveAverage" dxfId="1398" priority="41"/>
  </conditionalFormatting>
  <conditionalFormatting sqref="E161 E163 E165 E167 G162 G166 G169 G171">
    <cfRule type="containsBlanks" dxfId="1397" priority="40">
      <formula>LEN(TRIM(E161))=0</formula>
    </cfRule>
  </conditionalFormatting>
  <conditionalFormatting sqref="C140 C142">
    <cfRule type="aboveAverage" dxfId="1396" priority="39"/>
  </conditionalFormatting>
  <conditionalFormatting sqref="E141 E145">
    <cfRule type="aboveAverage" dxfId="1395" priority="38"/>
  </conditionalFormatting>
  <conditionalFormatting sqref="C148 C150">
    <cfRule type="aboveAverage" dxfId="1394" priority="37"/>
  </conditionalFormatting>
  <conditionalFormatting sqref="G143 G151">
    <cfRule type="aboveAverage" dxfId="1393" priority="36"/>
  </conditionalFormatting>
  <conditionalFormatting sqref="C140 C142 C148 C150 E141 G143 E145 G151">
    <cfRule type="containsBlanks" dxfId="1392" priority="35">
      <formula>LEN(TRIM(C140))=0</formula>
    </cfRule>
  </conditionalFormatting>
  <conditionalFormatting sqref="C144 C146">
    <cfRule type="aboveAverage" dxfId="1391" priority="34"/>
  </conditionalFormatting>
  <conditionalFormatting sqref="C144 C146">
    <cfRule type="containsBlanks" dxfId="1390" priority="33">
      <formula>LEN(TRIM(C144))=0</formula>
    </cfRule>
  </conditionalFormatting>
  <conditionalFormatting sqref="C152 C154">
    <cfRule type="aboveAverage" dxfId="1389" priority="32"/>
  </conditionalFormatting>
  <conditionalFormatting sqref="C152 C154">
    <cfRule type="containsBlanks" dxfId="1388" priority="31">
      <formula>LEN(TRIM(C152))=0</formula>
    </cfRule>
  </conditionalFormatting>
  <conditionalFormatting sqref="E141">
    <cfRule type="aboveAverage" dxfId="1387" priority="30"/>
  </conditionalFormatting>
  <conditionalFormatting sqref="E145">
    <cfRule type="aboveAverage" dxfId="1386" priority="29"/>
  </conditionalFormatting>
  <conditionalFormatting sqref="G143">
    <cfRule type="aboveAverage" dxfId="1385" priority="28"/>
  </conditionalFormatting>
  <conditionalFormatting sqref="G143">
    <cfRule type="aboveAverage" dxfId="1384" priority="27"/>
  </conditionalFormatting>
  <conditionalFormatting sqref="G151">
    <cfRule type="aboveAverage" dxfId="1383" priority="26"/>
  </conditionalFormatting>
  <conditionalFormatting sqref="G151">
    <cfRule type="aboveAverage" dxfId="1382" priority="25"/>
  </conditionalFormatting>
  <conditionalFormatting sqref="G155 G157">
    <cfRule type="aboveAverage" dxfId="1381" priority="24"/>
  </conditionalFormatting>
  <conditionalFormatting sqref="G155 G157">
    <cfRule type="containsBlanks" dxfId="1380" priority="23">
      <formula>LEN(TRIM(G155))=0</formula>
    </cfRule>
  </conditionalFormatting>
  <conditionalFormatting sqref="E145">
    <cfRule type="aboveAverage" dxfId="1379" priority="22"/>
  </conditionalFormatting>
  <conditionalFormatting sqref="E149 E153">
    <cfRule type="aboveAverage" dxfId="1378" priority="21"/>
  </conditionalFormatting>
  <conditionalFormatting sqref="E149 E153">
    <cfRule type="containsBlanks" dxfId="1377" priority="20">
      <formula>LEN(TRIM(E149))=0</formula>
    </cfRule>
  </conditionalFormatting>
  <conditionalFormatting sqref="E149">
    <cfRule type="aboveAverage" dxfId="1376" priority="19"/>
  </conditionalFormatting>
  <conditionalFormatting sqref="E153">
    <cfRule type="aboveAverage" dxfId="1375" priority="18"/>
  </conditionalFormatting>
  <conditionalFormatting sqref="E153">
    <cfRule type="aboveAverage" dxfId="1374" priority="17"/>
  </conditionalFormatting>
  <conditionalFormatting sqref="G151">
    <cfRule type="aboveAverage" dxfId="1373" priority="16"/>
  </conditionalFormatting>
  <conditionalFormatting sqref="G151">
    <cfRule type="aboveAverage" dxfId="1372" priority="15"/>
  </conditionalFormatting>
  <conditionalFormatting sqref="B301:B315">
    <cfRule type="containsBlanks" dxfId="1371" priority="261">
      <formula>LEN(TRIM(B301))=0</formula>
    </cfRule>
    <cfRule type="duplicateValues" dxfId="1370" priority="262"/>
  </conditionalFormatting>
  <conditionalFormatting sqref="B300:B315">
    <cfRule type="expression" dxfId="1369" priority="10">
      <formula>A300=3</formula>
    </cfRule>
    <cfRule type="expression" dxfId="1368" priority="11">
      <formula>A300=2</formula>
    </cfRule>
    <cfRule type="expression" dxfId="1367" priority="12">
      <formula>A300=1</formula>
    </cfRule>
    <cfRule type="containsBlanks" dxfId="1366" priority="13">
      <formula>LEN(TRIM(B300))=0</formula>
    </cfRule>
    <cfRule type="duplicateValues" dxfId="1365" priority="14"/>
  </conditionalFormatting>
  <conditionalFormatting sqref="L14">
    <cfRule type="expression" dxfId="1364" priority="8">
      <formula>OR(J14=0,J14=4)</formula>
    </cfRule>
    <cfRule type="expression" dxfId="1363" priority="9">
      <formula>AND(J14=3,IF(COUNTIF(J$7:J$11,"=3")=1,TRUE))</formula>
    </cfRule>
  </conditionalFormatting>
  <conditionalFormatting sqref="H14:H16">
    <cfRule type="expression" dxfId="1362" priority="5">
      <formula>AND(J14=1,IF(COUNTIF(J$7:J$11,"=1")&gt;=2,TRUE))</formula>
    </cfRule>
    <cfRule type="expression" dxfId="1361" priority="6">
      <formula>AND(J14=3,IF(COUNTIF(J$7:J$11,"=3")&gt;=2,TRUE))</formula>
    </cfRule>
    <cfRule type="expression" dxfId="1360" priority="7">
      <formula>AND(J14=2,IF(COUNTIF(J$7:J$11,"=2")&gt;=2,TRUE))</formula>
    </cfRule>
  </conditionalFormatting>
  <conditionalFormatting sqref="I17:I18">
    <cfRule type="expression" dxfId="1359" priority="3">
      <formula>FIND(2,I17,1)</formula>
    </cfRule>
    <cfRule type="expression" dxfId="1358" priority="4">
      <formula>FIND(1,I17,1)</formula>
    </cfRule>
  </conditionalFormatting>
  <conditionalFormatting sqref="I14:I16">
    <cfRule type="expression" dxfId="1357" priority="1">
      <formula>FIND(2,I14,1)</formula>
    </cfRule>
    <cfRule type="expression" dxfId="1356" priority="2">
      <formula>FIND(1,I14,1)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&amp;RPage &amp;P of &amp;N</oddHeader>
  </headerFooter>
  <rowBreaks count="3" manualBreakCount="3">
    <brk id="98" max="16383" man="1"/>
    <brk id="136" max="16383" man="1"/>
    <brk id="298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09"/>
  <sheetViews>
    <sheetView showGridLines="0" showRowColHeaders="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25.28515625" style="1" customWidth="1"/>
    <col min="3" max="11" width="5.7109375" style="1" customWidth="1"/>
    <col min="12" max="13" width="4.7109375" style="1" customWidth="1"/>
    <col min="14" max="17" width="1.7109375" style="1" customWidth="1"/>
    <col min="18" max="18" width="6" style="1" hidden="1" customWidth="1"/>
    <col min="19" max="19" width="5" style="1" hidden="1" customWidth="1"/>
    <col min="20" max="20" width="12.7109375" style="1" hidden="1" customWidth="1"/>
    <col min="21" max="21" width="6" style="1" hidden="1" customWidth="1"/>
    <col min="22" max="22" width="29.28515625" style="1" hidden="1" customWidth="1"/>
    <col min="23" max="23" width="4" style="1" hidden="1" customWidth="1"/>
    <col min="24" max="24" width="17.28515625" style="1" hidden="1" customWidth="1"/>
    <col min="25" max="25" width="3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UPPER((Kalend!E43)&amp;" - "&amp;(Kalend!C43)&amp;" - "&amp;(Kalend!D43))</f>
        <v>V13 - VOKA 2. SISE-KV 13. ETAPP - DUO</v>
      </c>
      <c r="B1" s="754"/>
      <c r="C1" s="755"/>
      <c r="D1" s="755"/>
      <c r="E1" s="756" t="str">
        <f>HYPERLINK("#'Kalend'!I1","Kalender")</f>
        <v>Kalender</v>
      </c>
      <c r="G1" s="756" t="str">
        <f>HYPERLINK("#'V'!AE1","Reiting")</f>
        <v>Reiting</v>
      </c>
      <c r="H1" s="755"/>
      <c r="J1" s="755"/>
      <c r="K1" s="755"/>
      <c r="L1" s="755"/>
      <c r="M1" s="755"/>
      <c r="N1" s="755"/>
      <c r="O1" s="755"/>
      <c r="P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"&amp;(Kalend!A43)&amp;" kell "&amp;(Kalend!B43)</f>
        <v>Toimumisaeg: L, 02.03.2019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"&amp;(Kalend!F43)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R3" s="889" t="s">
        <v>444</v>
      </c>
      <c r="S3" s="760"/>
      <c r="T3" s="760"/>
      <c r="U3" s="760"/>
      <c r="V3" s="760"/>
      <c r="W3" s="760"/>
      <c r="X3" s="760"/>
      <c r="Y3" s="760"/>
      <c r="Z3" s="760"/>
      <c r="AA3" s="757"/>
    </row>
    <row r="4" spans="1:27" x14ac:dyDescent="0.2">
      <c r="A4" s="757" t="str">
        <f>"Korraldaja: "&amp;(Kalend!G43)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9" t="s">
        <v>357</v>
      </c>
      <c r="K4" s="757"/>
      <c r="L4" s="757"/>
      <c r="M4" s="757"/>
      <c r="N4" s="757"/>
      <c r="O4" s="757"/>
      <c r="P4" s="757"/>
      <c r="R4" s="761" t="s">
        <v>49</v>
      </c>
      <c r="S4" s="773"/>
      <c r="T4" s="772"/>
      <c r="U4" s="773"/>
      <c r="V4" s="892"/>
      <c r="W4" s="773"/>
      <c r="X4" s="773"/>
      <c r="Y4" s="773"/>
      <c r="Z4" s="773"/>
      <c r="AA4" s="757"/>
    </row>
    <row r="5" spans="1:27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O5" s="760"/>
      <c r="P5" s="760"/>
      <c r="R5" s="761" t="s">
        <v>358</v>
      </c>
      <c r="S5" s="762"/>
      <c r="T5" s="762" t="s">
        <v>359</v>
      </c>
      <c r="U5" s="762"/>
      <c r="V5" s="763" t="s">
        <v>360</v>
      </c>
      <c r="W5" s="762"/>
      <c r="X5" s="762" t="s">
        <v>361</v>
      </c>
      <c r="Y5" s="764"/>
      <c r="Z5" s="762" t="s">
        <v>362</v>
      </c>
      <c r="AA5" s="760"/>
    </row>
    <row r="6" spans="1:27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>
        <v>6</v>
      </c>
      <c r="I6" s="767">
        <v>7</v>
      </c>
      <c r="J6" s="767" t="s">
        <v>363</v>
      </c>
      <c r="K6" s="766" t="s">
        <v>364</v>
      </c>
      <c r="L6" s="768" t="s">
        <v>21</v>
      </c>
      <c r="M6" s="769" t="s">
        <v>365</v>
      </c>
      <c r="N6" s="770"/>
      <c r="O6" s="770"/>
      <c r="P6" s="771"/>
      <c r="R6" s="761" t="s">
        <v>366</v>
      </c>
      <c r="S6" s="773"/>
      <c r="T6" s="772"/>
      <c r="U6" s="773"/>
      <c r="V6" s="772"/>
      <c r="W6" s="774"/>
      <c r="X6" s="774"/>
      <c r="Y6" s="774"/>
      <c r="Z6" s="774"/>
      <c r="AA6" s="212"/>
    </row>
    <row r="7" spans="1:27" x14ac:dyDescent="0.2">
      <c r="A7" s="765">
        <v>1</v>
      </c>
      <c r="B7" s="775" t="s">
        <v>368</v>
      </c>
      <c r="C7" s="776"/>
      <c r="D7" s="926">
        <v>13</v>
      </c>
      <c r="E7" s="778">
        <v>13</v>
      </c>
      <c r="F7" s="778">
        <v>12</v>
      </c>
      <c r="G7" s="778">
        <v>13</v>
      </c>
      <c r="H7" s="778">
        <v>11</v>
      </c>
      <c r="I7" s="778">
        <v>13</v>
      </c>
      <c r="J7" s="796" t="str">
        <f>(IF(D7-C8&gt;0,1)+IF(E7-C9&gt;0,1)+IF(F7-C10&gt;0,1)+IF(G7-C11&gt;0,1)+IF(H7-C12&gt;0,1)+IF(I7-C13&gt;0,1))&amp;"-"&amp;(IF(D7-C8&lt;0,1)+IF(E7-C9&lt;0,1)+IF(F7-C10&lt;0,1)+IF(G7-C11&lt;0,1)+IF(H7-C12&lt;0,1)+IF(I7-C13&lt;0,1))</f>
        <v>4-2</v>
      </c>
      <c r="K7" s="766">
        <v>2</v>
      </c>
      <c r="L7" s="843"/>
      <c r="M7" s="782"/>
      <c r="O7" s="212"/>
      <c r="P7" s="770"/>
      <c r="Q7" s="212"/>
      <c r="R7" s="764">
        <f t="shared" ref="R7:R13" si="0">SUM(S7:AB7)</f>
        <v>317</v>
      </c>
      <c r="S7" s="784">
        <f>IFERROR(INDEX(V!$R:$R,MATCH(T7,V!$L:$L,0)),"")</f>
        <v>159</v>
      </c>
      <c r="T7" s="783" t="str">
        <f t="shared" ref="T7:T13" si="1">IFERROR(LEFT($B7,(FIND(",",$B7,1)-1)),"")</f>
        <v>Jaan Sepp</v>
      </c>
      <c r="U7" s="784">
        <f>IFERROR(INDEX(V!$R:$R,MATCH(V7,V!$L:$L,0)),"")</f>
        <v>158</v>
      </c>
      <c r="V7" s="783" t="str">
        <f t="shared" ref="V7:V13" si="2">IFERROR(MID($B7,FIND(", ",$B7)+2,256),"")</f>
        <v>Oskar Sepp</v>
      </c>
      <c r="W7" s="784" t="str">
        <f>IFERROR(INDEX(V!$R:$R,MATCH(X7,V!$L:$L,0)),"")</f>
        <v/>
      </c>
      <c r="X7" s="785" t="str">
        <f t="shared" ref="X7:X13" si="3">IFERROR(MID($B7,FIND("^",SUBSTITUTE($B7,", ","^",1))+2,FIND("^",SUBSTITUTE($B7,", ","^",2))-FIND("^",SUBSTITUTE($B7,", ","^",1))-2),"")</f>
        <v/>
      </c>
      <c r="Y7" s="784" t="str">
        <f>IFERROR(INDEX(V!$R:$R,MATCH(Z7,V!$L:$L,0)),"")</f>
        <v/>
      </c>
      <c r="Z7" s="785" t="str">
        <f t="shared" ref="Z7:Z13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370</v>
      </c>
      <c r="C8" s="778">
        <v>12</v>
      </c>
      <c r="D8" s="776"/>
      <c r="E8" s="778">
        <v>8</v>
      </c>
      <c r="F8" s="778">
        <v>9</v>
      </c>
      <c r="G8" s="778">
        <v>13</v>
      </c>
      <c r="H8" s="779">
        <v>4</v>
      </c>
      <c r="I8" s="779">
        <v>7</v>
      </c>
      <c r="J8" s="796" t="str">
        <f>(IF(C8-D7&gt;0,1)+IF(E8-D9&gt;0,1)+IF(F8-D10&gt;0,1)+IF(G8-D11&gt;0,1)+IF(H8-D12&gt;0,1)+IF(I8-D13&gt;0,1))&amp;"-"&amp;(IF(C8-D7&lt;0,1)+IF(E8-D9&lt;0,1)+IF(F8-D10&lt;0,1)+IF(G8-D11&lt;0,1)+IF(H8-D12&lt;0,1)+IF(I8-D13&lt;0,1))</f>
        <v>1-5</v>
      </c>
      <c r="K8" s="766">
        <v>7</v>
      </c>
      <c r="L8" s="843"/>
      <c r="M8" s="782"/>
      <c r="O8" s="212"/>
      <c r="P8" s="770"/>
      <c r="Q8" s="212"/>
      <c r="R8" s="764">
        <f t="shared" si="0"/>
        <v>240</v>
      </c>
      <c r="S8" s="784">
        <f>IFERROR(INDEX(V!$R:$R,MATCH(T8,V!$L:$L,0)),"")</f>
        <v>117</v>
      </c>
      <c r="T8" s="783" t="str">
        <f t="shared" si="1"/>
        <v>Elmo Lageda</v>
      </c>
      <c r="U8" s="784">
        <f>IFERROR(INDEX(V!$R:$R,MATCH(V8,V!$L:$L,0)),"")</f>
        <v>123</v>
      </c>
      <c r="V8" s="783" t="str">
        <f t="shared" si="2"/>
        <v>Tõnu Piik</v>
      </c>
      <c r="W8" s="784" t="str">
        <f>IFERROR(INDEX(V!$R:$R,MATCH(X8,V!$L:$L,0)),"")</f>
        <v/>
      </c>
      <c r="X8" s="785" t="str">
        <f t="shared" si="3"/>
        <v/>
      </c>
      <c r="Y8" s="784" t="str">
        <f>IFERROR(INDEX(V!$R:$R,MATCH(Z8,V!$L:$L,0)),"")</f>
        <v/>
      </c>
      <c r="Z8" s="785" t="str">
        <f t="shared" si="4"/>
        <v/>
      </c>
      <c r="AA8" s="212"/>
    </row>
    <row r="9" spans="1:27" ht="25.5" x14ac:dyDescent="0.2">
      <c r="A9" s="1032">
        <v>3</v>
      </c>
      <c r="B9" s="1033" t="s">
        <v>547</v>
      </c>
      <c r="C9" s="1042">
        <v>5</v>
      </c>
      <c r="D9" s="1059">
        <v>13</v>
      </c>
      <c r="E9" s="1043"/>
      <c r="F9" s="1042">
        <v>11</v>
      </c>
      <c r="G9" s="1042">
        <v>7</v>
      </c>
      <c r="H9" s="1042">
        <v>8</v>
      </c>
      <c r="I9" s="1063">
        <v>13</v>
      </c>
      <c r="J9" s="1064" t="str">
        <f>(IF(C9-E7&gt;0,1)+IF(D9-E8&gt;0,1)+IF(F9-E10&gt;0,1)+IF(G9-E11&gt;0,1)+IF(H9-E12&gt;0,1)+IF(I9-E13&gt;0,1))&amp;"-"&amp;(IF(C9-E7&lt;0,1)+IF(D9-E8&lt;0,1)+IF(F9-E10&lt;0,1)+IF(G9-E11&lt;0,1)+IF(H9-E12&lt;0,1)+IF(I9-E13&lt;0,1))</f>
        <v>2-4</v>
      </c>
      <c r="K9" s="1039">
        <v>5</v>
      </c>
      <c r="L9" s="1065">
        <v>1</v>
      </c>
      <c r="M9" s="782"/>
      <c r="O9" s="212"/>
      <c r="P9" s="771"/>
      <c r="Q9" s="212"/>
      <c r="R9" s="764">
        <f t="shared" si="0"/>
        <v>299.5</v>
      </c>
      <c r="S9" s="784">
        <f>IFERROR(INDEX(V!$R:$R,MATCH(T9,V!$L:$L,0)),"")</f>
        <v>98.5</v>
      </c>
      <c r="T9" s="783" t="str">
        <f t="shared" si="1"/>
        <v>Illar Tõnurist</v>
      </c>
      <c r="U9" s="784" t="str">
        <f>IFERROR(INDEX(V!$R:$R,MATCH(V9,V!$L:$L,0)),"")</f>
        <v/>
      </c>
      <c r="V9" s="783" t="str">
        <f t="shared" si="2"/>
        <v>Meelis Luud, Tarmo Bombe</v>
      </c>
      <c r="W9" s="784">
        <f>IFERROR(INDEX(V!$R:$R,MATCH(X9,V!$L:$L,0)),"")</f>
        <v>125</v>
      </c>
      <c r="X9" s="785" t="str">
        <f t="shared" si="3"/>
        <v>Meelis Luud</v>
      </c>
      <c r="Y9" s="784">
        <f>IFERROR(INDEX(V!$R:$R,MATCH(Z9,V!$L:$L,0)),"")</f>
        <v>76</v>
      </c>
      <c r="Z9" s="785" t="str">
        <f t="shared" si="4"/>
        <v>Tarmo Bombe</v>
      </c>
      <c r="AA9" s="212"/>
    </row>
    <row r="10" spans="1:27" x14ac:dyDescent="0.2">
      <c r="A10" s="765">
        <v>4</v>
      </c>
      <c r="B10" s="775" t="s">
        <v>548</v>
      </c>
      <c r="C10" s="778">
        <v>13</v>
      </c>
      <c r="D10" s="787">
        <v>13</v>
      </c>
      <c r="E10" s="778">
        <v>13</v>
      </c>
      <c r="F10" s="776"/>
      <c r="G10" s="788">
        <v>1</v>
      </c>
      <c r="H10" s="778">
        <v>10</v>
      </c>
      <c r="I10" s="779">
        <v>7</v>
      </c>
      <c r="J10" s="789" t="str">
        <f>(IF(C10-F7&gt;0,1)+IF(D10-F8&gt;0,1)+IF(E10-F9&gt;0,1)+IF(G10-F11&gt;0,1)+IF(H10-F12&gt;0,1)+IF(I10-F13&gt;0,1))&amp;"-"&amp;(IF(C10-F7&lt;0,1)+IF(D10-F8&lt;0,1)+IF(E10-F9&lt;0,1)+IF(G10-F11&lt;0,1)+IF(H10-F12&lt;0,1)+IF(I10-F13&lt;0,1))</f>
        <v>3-3</v>
      </c>
      <c r="K10" s="766">
        <v>4</v>
      </c>
      <c r="L10" s="790"/>
      <c r="M10" s="782"/>
      <c r="O10" s="212"/>
      <c r="P10" s="770"/>
      <c r="Q10" s="212"/>
      <c r="R10" s="764">
        <f t="shared" si="0"/>
        <v>211.5</v>
      </c>
      <c r="S10" s="784">
        <f>IFERROR(INDEX(V!$R:$R,MATCH(T10,V!$L:$L,0)),"")</f>
        <v>88</v>
      </c>
      <c r="T10" s="783" t="str">
        <f t="shared" si="1"/>
        <v>Enn Tokman</v>
      </c>
      <c r="U10" s="784">
        <f>IFERROR(INDEX(V!$R:$R,MATCH(V10,V!$L:$L,0)),"")</f>
        <v>123.5</v>
      </c>
      <c r="V10" s="783" t="str">
        <f t="shared" si="2"/>
        <v>Karla Purgats</v>
      </c>
      <c r="W10" s="784" t="str">
        <f>IFERROR(INDEX(V!$R:$R,MATCH(X10,V!$L:$L,0)),"")</f>
        <v/>
      </c>
      <c r="X10" s="785" t="str">
        <f t="shared" si="3"/>
        <v/>
      </c>
      <c r="Y10" s="784" t="str">
        <f>IFERROR(INDEX(V!$R:$R,MATCH(Z10,V!$L:$L,0)),"")</f>
        <v/>
      </c>
      <c r="Z10" s="785" t="str">
        <f t="shared" si="4"/>
        <v/>
      </c>
      <c r="AA10" s="212"/>
    </row>
    <row r="11" spans="1:27" x14ac:dyDescent="0.2">
      <c r="A11" s="765">
        <v>5</v>
      </c>
      <c r="B11" s="792" t="s">
        <v>406</v>
      </c>
      <c r="C11" s="778">
        <v>2</v>
      </c>
      <c r="D11" s="778">
        <v>12</v>
      </c>
      <c r="E11" s="778">
        <v>13</v>
      </c>
      <c r="F11" s="788">
        <v>13</v>
      </c>
      <c r="G11" s="776"/>
      <c r="H11" s="779">
        <v>8</v>
      </c>
      <c r="I11" s="779">
        <v>13</v>
      </c>
      <c r="J11" s="789" t="str">
        <f>(IF(C11-G7&gt;0,1)+IF(D11-G8&gt;0,1)+IF(E11-G9&gt;0,1)+IF(F11-G10&gt;0,1)+IF(H11-G12&gt;0,1)+IF(I11-G13&gt;0,1))&amp;"-"&amp;(IF(C11-G7&lt;0,1)+IF(D11-G8&lt;0,1)+IF(E11-G9&lt;0,1)+IF(F11-G10&lt;0,1)+IF(H11-G12&lt;0,1)+IF(I12-G13&lt;0,1))</f>
        <v>3-3</v>
      </c>
      <c r="K11" s="766">
        <v>3</v>
      </c>
      <c r="L11" s="790">
        <v>1</v>
      </c>
      <c r="M11" s="782"/>
      <c r="O11" s="212"/>
      <c r="P11" s="770"/>
      <c r="Q11" s="212"/>
      <c r="R11" s="764">
        <f t="shared" si="0"/>
        <v>204</v>
      </c>
      <c r="S11" s="784">
        <f>IFERROR(INDEX(V!$R:$R,MATCH(T11,V!$L:$L,0)),"")</f>
        <v>97.5</v>
      </c>
      <c r="T11" s="783" t="str">
        <f t="shared" si="1"/>
        <v>Klavdia Piik</v>
      </c>
      <c r="U11" s="784">
        <f>IFERROR(INDEX(V!$R:$R,MATCH(V11,V!$L:$L,0)),"")</f>
        <v>106.5</v>
      </c>
      <c r="V11" s="783" t="str">
        <f t="shared" si="2"/>
        <v>Ülo Piik</v>
      </c>
      <c r="W11" s="784" t="str">
        <f>IFERROR(INDEX(V!$R:$R,MATCH(X11,V!$L:$L,0)),"")</f>
        <v/>
      </c>
      <c r="X11" s="785" t="str">
        <f t="shared" si="3"/>
        <v/>
      </c>
      <c r="Y11" s="784" t="str">
        <f>IFERROR(INDEX(V!$R:$R,MATCH(Z11,V!$L:$L,0)),"")</f>
        <v/>
      </c>
      <c r="Z11" s="785" t="str">
        <f t="shared" si="4"/>
        <v/>
      </c>
      <c r="AA11" s="212"/>
    </row>
    <row r="12" spans="1:27" ht="25.5" x14ac:dyDescent="0.2">
      <c r="A12" s="1032">
        <v>6</v>
      </c>
      <c r="B12" s="1033" t="s">
        <v>549</v>
      </c>
      <c r="C12" s="1034">
        <v>13</v>
      </c>
      <c r="D12" s="1034">
        <v>13</v>
      </c>
      <c r="E12" s="1035">
        <v>13</v>
      </c>
      <c r="F12" s="1035">
        <v>13</v>
      </c>
      <c r="G12" s="1034">
        <v>13</v>
      </c>
      <c r="H12" s="1036"/>
      <c r="I12" s="1037">
        <v>13</v>
      </c>
      <c r="J12" s="1038" t="str">
        <f>(IF(C12-H7&gt;0,1)+IF(D12-H8&gt;0,1)+IF(E12-H9&gt;0,1)+IF(F12-H10&gt;0,1)+IF(G12-H11&gt;0,1)+IF(I12-H13&gt;0,1))&amp;"-"&amp;(IF(C12-H7&lt;0,1)+IF(D12-H8&lt;0,1)+IF(E12-H9&lt;0,1)+IF(F12-H10&lt;0,1)+IF(G12-H11&lt;0,1)+IF(I12-H13&lt;0,1))</f>
        <v>6-0</v>
      </c>
      <c r="K12" s="1039">
        <v>1</v>
      </c>
      <c r="L12" s="1040"/>
      <c r="M12" s="798"/>
      <c r="O12" s="212"/>
      <c r="P12" s="770"/>
      <c r="Q12" s="757"/>
      <c r="R12" s="764">
        <f t="shared" si="0"/>
        <v>192</v>
      </c>
      <c r="S12" s="784">
        <f>IFERROR(INDEX(V!$R:$R,MATCH(T12,V!$L:$L,0)),"")</f>
        <v>23</v>
      </c>
      <c r="T12" s="783" t="str">
        <f t="shared" si="1"/>
        <v>Karoliina Sild</v>
      </c>
      <c r="U12" s="784" t="str">
        <f>IFERROR(INDEX(V!$R:$R,MATCH(V12,V!$L:$L,0)),"")</f>
        <v/>
      </c>
      <c r="V12" s="783" t="str">
        <f t="shared" si="2"/>
        <v>Kenneth Muusikus, Tõnis Neiland</v>
      </c>
      <c r="W12" s="784">
        <f>IFERROR(INDEX(V!$R:$R,MATCH(X12,V!$L:$L,0)),"")</f>
        <v>131</v>
      </c>
      <c r="X12" s="785" t="str">
        <f t="shared" si="3"/>
        <v>Kenneth Muusikus</v>
      </c>
      <c r="Y12" s="784">
        <f>IFERROR(INDEX(V!$R:$R,MATCH(Z12,V!$L:$L,0)),"")</f>
        <v>38</v>
      </c>
      <c r="Z12" s="785" t="str">
        <f t="shared" si="4"/>
        <v>Tõnis Neiland</v>
      </c>
      <c r="AA12" s="755"/>
    </row>
    <row r="13" spans="1:27" x14ac:dyDescent="0.2">
      <c r="A13" s="765">
        <v>7</v>
      </c>
      <c r="B13" s="978" t="s">
        <v>550</v>
      </c>
      <c r="C13" s="793">
        <v>9</v>
      </c>
      <c r="D13" s="793">
        <v>13</v>
      </c>
      <c r="E13" s="934">
        <v>10</v>
      </c>
      <c r="F13" s="793">
        <v>13</v>
      </c>
      <c r="G13" s="793">
        <v>2</v>
      </c>
      <c r="H13" s="793">
        <v>7</v>
      </c>
      <c r="I13" s="977"/>
      <c r="J13" s="979" t="str">
        <f>(IF(C13-I7&gt;0,1)+IF(D13-I8&gt;0,1)+IF(E13-I9&gt;0,1)+IF(F13-I10&gt;0,1)+IF(G13-I11&gt;0,1)+IF(H13-I12&gt;0,1))&amp;"-"&amp;(IF(C13-I7&lt;0,1)+IF(D13-I8&lt;0,1)+IF(E13-I9&lt;0,1)+IF(F13-I10&lt;0,1)+IF(G13-I11&lt;0,1)+IF(H13-I12&lt;0,1))</f>
        <v>2-4</v>
      </c>
      <c r="K13" s="980">
        <v>6</v>
      </c>
      <c r="L13" s="981"/>
      <c r="M13" s="770"/>
      <c r="N13" s="771"/>
      <c r="O13" s="770"/>
      <c r="P13" s="770"/>
      <c r="Q13" s="757"/>
      <c r="R13" s="764">
        <f t="shared" si="0"/>
        <v>68</v>
      </c>
      <c r="S13" s="784">
        <f>IFERROR(INDEX(V!$R:$R,MATCH(T13,V!$L:$L,0)),"")</f>
        <v>51</v>
      </c>
      <c r="T13" s="783" t="str">
        <f t="shared" si="1"/>
        <v>Janek Tarto</v>
      </c>
      <c r="U13" s="784">
        <f>IFERROR(INDEX(V!$R:$R,MATCH(V13,V!$L:$L,0)),"")</f>
        <v>17</v>
      </c>
      <c r="V13" s="783" t="str">
        <f t="shared" si="2"/>
        <v>Romek Tarto</v>
      </c>
      <c r="W13" s="784" t="str">
        <f>IFERROR(INDEX(V!$R:$R,MATCH(X13,V!$L:$L,0)),"")</f>
        <v/>
      </c>
      <c r="X13" s="785" t="str">
        <f t="shared" si="3"/>
        <v/>
      </c>
      <c r="Y13" s="78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57"/>
      <c r="B14" s="757"/>
      <c r="C14" s="757"/>
      <c r="D14" s="757"/>
      <c r="E14" s="770"/>
      <c r="F14" s="770"/>
      <c r="G14" s="770"/>
      <c r="H14" s="770"/>
      <c r="I14" s="770"/>
      <c r="J14" s="770"/>
      <c r="K14" s="770"/>
      <c r="L14" s="770"/>
      <c r="M14" s="770"/>
      <c r="O14" s="770"/>
      <c r="P14" s="770"/>
      <c r="Q14" s="757"/>
      <c r="R14" s="760"/>
      <c r="S14" s="760"/>
      <c r="T14" s="760"/>
      <c r="U14" s="760"/>
      <c r="V14" s="760"/>
      <c r="W14" s="760"/>
      <c r="X14" s="760"/>
      <c r="Y14" s="760"/>
      <c r="Z14" s="760"/>
      <c r="AA14" s="760"/>
    </row>
    <row r="15" spans="1:27" x14ac:dyDescent="0.2">
      <c r="A15" s="757"/>
      <c r="B15" s="799" t="s">
        <v>373</v>
      </c>
      <c r="C15" s="1028" t="s">
        <v>587</v>
      </c>
      <c r="D15" s="1027" t="s">
        <v>499</v>
      </c>
      <c r="E15" s="1027" t="s">
        <v>378</v>
      </c>
      <c r="F15" s="770"/>
      <c r="G15" s="770"/>
      <c r="H15" s="770"/>
      <c r="I15" s="770"/>
      <c r="J15" s="770"/>
      <c r="K15" s="770"/>
      <c r="L15" s="770"/>
      <c r="M15" s="770"/>
      <c r="O15" s="770"/>
      <c r="P15" s="770"/>
      <c r="Q15" s="757"/>
      <c r="R15" s="760"/>
      <c r="S15" s="760"/>
      <c r="T15" s="760"/>
      <c r="U15" s="760"/>
      <c r="V15" s="760"/>
      <c r="W15" s="760"/>
      <c r="X15" s="760"/>
      <c r="Y15" s="760"/>
      <c r="Z15" s="760"/>
      <c r="AA15" s="760"/>
    </row>
    <row r="16" spans="1:27" x14ac:dyDescent="0.2">
      <c r="A16" s="757"/>
      <c r="B16" s="799" t="s">
        <v>376</v>
      </c>
      <c r="C16" s="1028" t="s">
        <v>588</v>
      </c>
      <c r="D16" s="1027" t="s">
        <v>589</v>
      </c>
      <c r="E16" s="1027" t="s">
        <v>408</v>
      </c>
      <c r="F16" s="770"/>
      <c r="G16" s="770"/>
      <c r="H16" s="770"/>
      <c r="I16" s="770"/>
      <c r="J16" s="770"/>
      <c r="K16" s="770"/>
      <c r="L16" s="770"/>
      <c r="M16" s="770"/>
      <c r="O16" s="770"/>
      <c r="P16" s="770"/>
      <c r="Q16" s="757"/>
      <c r="R16" s="760"/>
      <c r="S16" s="760"/>
      <c r="T16" s="760"/>
      <c r="U16" s="760"/>
      <c r="V16" s="760"/>
      <c r="W16" s="760"/>
      <c r="X16" s="760"/>
      <c r="Y16" s="760"/>
      <c r="Z16" s="760"/>
      <c r="AA16" s="760"/>
    </row>
    <row r="17" spans="1:27" x14ac:dyDescent="0.2">
      <c r="A17" s="757"/>
      <c r="B17" s="799" t="s">
        <v>379</v>
      </c>
      <c r="C17" s="1028" t="s">
        <v>590</v>
      </c>
      <c r="D17" s="1027" t="s">
        <v>591</v>
      </c>
      <c r="E17" s="1027" t="s">
        <v>501</v>
      </c>
      <c r="F17" s="770"/>
      <c r="G17" s="770"/>
      <c r="H17" s="770"/>
      <c r="I17" s="770"/>
      <c r="J17" s="770"/>
      <c r="K17" s="770"/>
      <c r="L17" s="770"/>
      <c r="M17" s="770"/>
      <c r="N17" s="770"/>
      <c r="O17" s="770"/>
      <c r="P17" s="770"/>
      <c r="Q17" s="757"/>
      <c r="R17" s="760"/>
      <c r="S17" s="760"/>
      <c r="T17" s="760"/>
      <c r="U17" s="760"/>
      <c r="V17" s="760"/>
      <c r="W17" s="760"/>
      <c r="X17" s="760"/>
      <c r="Y17" s="760"/>
      <c r="Z17" s="760"/>
      <c r="AA17" s="760"/>
    </row>
    <row r="18" spans="1:27" x14ac:dyDescent="0.2">
      <c r="A18" s="212"/>
      <c r="B18" s="799" t="s">
        <v>382</v>
      </c>
      <c r="C18" s="1028" t="s">
        <v>592</v>
      </c>
      <c r="D18" s="1027" t="s">
        <v>387</v>
      </c>
      <c r="E18" s="1027" t="s">
        <v>386</v>
      </c>
      <c r="F18" s="770"/>
      <c r="G18" s="770"/>
      <c r="H18" s="770"/>
      <c r="I18" s="770"/>
      <c r="J18" s="770"/>
      <c r="K18" s="770"/>
      <c r="L18" s="770"/>
      <c r="M18" s="770"/>
      <c r="N18" s="770"/>
      <c r="O18" s="770"/>
      <c r="P18" s="770"/>
      <c r="Q18" s="212"/>
      <c r="R18" s="760"/>
      <c r="S18" s="760"/>
      <c r="T18" s="760"/>
      <c r="U18" s="760"/>
      <c r="V18" s="760"/>
      <c r="W18" s="760"/>
      <c r="X18" s="760"/>
      <c r="Y18" s="760"/>
      <c r="Z18" s="760"/>
      <c r="AA18" s="760"/>
    </row>
    <row r="19" spans="1:27" x14ac:dyDescent="0.2">
      <c r="A19" s="770"/>
      <c r="B19" s="799" t="s">
        <v>385</v>
      </c>
      <c r="C19" s="1028" t="s">
        <v>593</v>
      </c>
      <c r="D19" s="1027" t="s">
        <v>594</v>
      </c>
      <c r="E19" s="1027" t="s">
        <v>595</v>
      </c>
      <c r="F19" s="770"/>
      <c r="G19" s="770"/>
      <c r="H19" s="770"/>
      <c r="I19" s="770"/>
      <c r="J19" s="770"/>
      <c r="K19" s="770"/>
      <c r="L19" s="770"/>
      <c r="M19" s="770"/>
      <c r="O19" s="212"/>
      <c r="P19" s="770"/>
      <c r="Q19" s="212"/>
      <c r="R19" s="760"/>
      <c r="S19" s="760"/>
      <c r="T19" s="760"/>
      <c r="U19" s="760"/>
      <c r="V19" s="760"/>
      <c r="W19" s="760"/>
      <c r="X19" s="760"/>
      <c r="Y19" s="760"/>
      <c r="Z19" s="760"/>
      <c r="AA19" s="760"/>
    </row>
    <row r="20" spans="1:27" x14ac:dyDescent="0.2">
      <c r="A20" s="770"/>
      <c r="B20" s="982" t="s">
        <v>446</v>
      </c>
      <c r="C20" s="1028" t="s">
        <v>497</v>
      </c>
      <c r="D20" s="1027" t="s">
        <v>380</v>
      </c>
      <c r="E20" s="1027" t="s">
        <v>381</v>
      </c>
      <c r="F20" s="770"/>
      <c r="G20" s="770"/>
      <c r="H20" s="212"/>
      <c r="I20" s="212"/>
      <c r="J20" s="212"/>
      <c r="K20" s="770"/>
      <c r="L20" s="770"/>
      <c r="M20" s="770"/>
      <c r="N20" s="770"/>
      <c r="O20" s="770"/>
      <c r="P20" s="770"/>
      <c r="Q20" s="212"/>
      <c r="R20" s="760"/>
      <c r="S20" s="760"/>
      <c r="T20" s="760"/>
      <c r="U20" s="760"/>
      <c r="V20" s="760"/>
      <c r="W20" s="760"/>
      <c r="X20" s="760"/>
      <c r="Y20" s="760"/>
      <c r="Z20" s="760"/>
      <c r="AA20" s="760"/>
    </row>
    <row r="21" spans="1:27" x14ac:dyDescent="0.2">
      <c r="A21" s="770"/>
      <c r="B21" s="982" t="s">
        <v>586</v>
      </c>
      <c r="C21" s="1028" t="s">
        <v>596</v>
      </c>
      <c r="D21" s="1027" t="s">
        <v>597</v>
      </c>
      <c r="E21" s="1027" t="s">
        <v>598</v>
      </c>
      <c r="F21" s="770"/>
      <c r="G21" s="770"/>
      <c r="H21" s="212"/>
      <c r="I21" s="212"/>
      <c r="J21" s="212"/>
      <c r="K21" s="770"/>
      <c r="L21" s="770"/>
      <c r="M21" s="770"/>
      <c r="O21" s="770"/>
      <c r="P21" s="770"/>
      <c r="Q21" s="212"/>
      <c r="R21" s="760"/>
      <c r="S21" s="760"/>
      <c r="T21" s="760"/>
      <c r="U21" s="760"/>
      <c r="V21" s="760"/>
      <c r="W21" s="760"/>
      <c r="X21" s="760"/>
      <c r="Y21" s="760"/>
      <c r="Z21" s="760"/>
      <c r="AA21" s="760"/>
    </row>
    <row r="22" spans="1:27" hidden="1" x14ac:dyDescent="0.2">
      <c r="A22" s="770"/>
      <c r="B22" s="770"/>
      <c r="C22" s="770"/>
      <c r="D22" s="770"/>
      <c r="E22" s="770"/>
      <c r="F22" s="770"/>
      <c r="G22" s="770"/>
      <c r="H22" s="212"/>
      <c r="I22" s="212"/>
      <c r="J22" s="212"/>
      <c r="K22" s="770"/>
      <c r="L22" s="770"/>
      <c r="M22" s="770"/>
      <c r="N22" s="770"/>
      <c r="O22" s="770"/>
      <c r="P22" s="770"/>
      <c r="Q22" s="212"/>
      <c r="R22" s="760"/>
      <c r="S22" s="760"/>
      <c r="T22" s="760"/>
      <c r="U22" s="760"/>
      <c r="V22" s="760"/>
      <c r="W22" s="760"/>
      <c r="X22" s="760"/>
      <c r="Y22" s="760"/>
      <c r="Z22" s="760"/>
      <c r="AA22" s="760"/>
    </row>
    <row r="23" spans="1:27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770"/>
      <c r="L23" s="770"/>
      <c r="M23" s="770"/>
      <c r="N23" s="771"/>
      <c r="O23" s="770"/>
      <c r="P23" s="770"/>
      <c r="Q23" s="212"/>
      <c r="R23" s="760"/>
      <c r="S23" s="760"/>
      <c r="T23" s="760"/>
      <c r="U23" s="760"/>
      <c r="V23" s="760"/>
      <c r="W23" s="760"/>
      <c r="X23" s="760"/>
      <c r="Y23" s="760"/>
      <c r="Z23" s="760"/>
      <c r="AA23" s="760"/>
    </row>
    <row r="24" spans="1:27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770"/>
      <c r="L24" s="770"/>
      <c r="M24" s="770"/>
      <c r="O24" s="770"/>
      <c r="P24" s="770"/>
      <c r="Q24" s="212"/>
      <c r="R24" s="760"/>
      <c r="S24" s="760"/>
      <c r="T24" s="760"/>
      <c r="U24" s="760"/>
      <c r="V24" s="760"/>
      <c r="W24" s="760"/>
      <c r="X24" s="760"/>
      <c r="Y24" s="760"/>
      <c r="Z24" s="760"/>
      <c r="AA24" s="760"/>
    </row>
    <row r="25" spans="1:27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770"/>
      <c r="L25" s="770"/>
      <c r="M25" s="770"/>
      <c r="N25" s="770"/>
      <c r="O25" s="770"/>
      <c r="P25" s="770"/>
      <c r="Q25" s="212"/>
      <c r="R25" s="760"/>
      <c r="S25" s="760"/>
      <c r="T25" s="760"/>
      <c r="U25" s="760"/>
      <c r="V25" s="760"/>
      <c r="W25" s="760"/>
      <c r="X25" s="760"/>
      <c r="Y25" s="760"/>
      <c r="Z25" s="760"/>
      <c r="AA25" s="760"/>
    </row>
    <row r="26" spans="1:27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770"/>
      <c r="L26" s="770"/>
      <c r="M26" s="770"/>
      <c r="N26" s="801"/>
      <c r="O26" s="770"/>
      <c r="P26" s="770"/>
      <c r="Q26" s="212"/>
      <c r="R26" s="760"/>
      <c r="S26" s="760"/>
      <c r="T26" s="760"/>
      <c r="U26" s="760"/>
      <c r="V26" s="760"/>
      <c r="W26" s="760"/>
      <c r="X26" s="760"/>
      <c r="Y26" s="760"/>
      <c r="Z26" s="760"/>
      <c r="AA26" s="760"/>
    </row>
    <row r="27" spans="1:27" hidden="1" x14ac:dyDescent="0.2">
      <c r="A27" s="770"/>
      <c r="B27" s="770"/>
      <c r="C27" s="770"/>
      <c r="D27" s="770"/>
      <c r="E27" s="770"/>
      <c r="F27" s="770"/>
      <c r="G27" s="770"/>
      <c r="H27" s="212"/>
      <c r="I27" s="212"/>
      <c r="J27" s="212"/>
      <c r="K27" s="770"/>
      <c r="L27" s="770"/>
      <c r="M27" s="770"/>
      <c r="O27" s="770"/>
      <c r="P27" s="770"/>
      <c r="Q27" s="212"/>
      <c r="R27" s="760"/>
      <c r="S27" s="760"/>
      <c r="T27" s="760"/>
      <c r="U27" s="760"/>
      <c r="V27" s="760"/>
      <c r="W27" s="760"/>
      <c r="X27" s="760"/>
      <c r="Y27" s="760"/>
      <c r="Z27" s="760"/>
      <c r="AA27" s="760"/>
    </row>
    <row r="28" spans="1:27" hidden="1" x14ac:dyDescent="0.2">
      <c r="A28" s="770"/>
      <c r="B28" s="770"/>
      <c r="C28" s="770"/>
      <c r="D28" s="770"/>
      <c r="E28" s="770"/>
      <c r="F28" s="770"/>
      <c r="G28" s="770"/>
      <c r="H28" s="802"/>
      <c r="I28" s="802"/>
      <c r="J28" s="802"/>
      <c r="K28" s="770"/>
      <c r="L28" s="770"/>
      <c r="M28" s="770"/>
      <c r="O28" s="771"/>
      <c r="P28" s="770"/>
      <c r="Q28" s="802"/>
      <c r="R28" s="760"/>
      <c r="S28" s="760"/>
      <c r="T28" s="760"/>
      <c r="U28" s="760"/>
      <c r="V28" s="760"/>
      <c r="W28" s="760"/>
      <c r="X28" s="760"/>
      <c r="Y28" s="760"/>
      <c r="Z28" s="760"/>
      <c r="AA28" s="760"/>
    </row>
    <row r="29" spans="1:27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770"/>
      <c r="L29" s="770"/>
      <c r="M29" s="770"/>
      <c r="O29" s="771"/>
      <c r="P29" s="770"/>
      <c r="Q29" s="802"/>
      <c r="R29" s="760"/>
      <c r="S29" s="760"/>
      <c r="T29" s="760"/>
      <c r="U29" s="760"/>
      <c r="V29" s="760"/>
      <c r="W29" s="760"/>
      <c r="X29" s="760"/>
      <c r="Y29" s="760"/>
      <c r="Z29" s="760"/>
      <c r="AA29" s="760"/>
    </row>
    <row r="30" spans="1:27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770"/>
      <c r="L30" s="770"/>
      <c r="M30" s="770"/>
      <c r="N30" s="801"/>
      <c r="O30" s="212"/>
      <c r="P30" s="770"/>
      <c r="Q30" s="802"/>
      <c r="R30" s="760"/>
      <c r="S30" s="760"/>
      <c r="T30" s="760"/>
      <c r="U30" s="760"/>
      <c r="V30" s="760"/>
      <c r="W30" s="760"/>
      <c r="X30" s="760"/>
      <c r="Y30" s="760"/>
      <c r="Z30" s="760"/>
      <c r="AA30" s="760"/>
    </row>
    <row r="31" spans="1:27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770"/>
      <c r="L31" s="770"/>
      <c r="M31" s="770"/>
      <c r="O31" s="212"/>
      <c r="P31" s="770"/>
      <c r="Q31" s="802"/>
      <c r="R31" s="760"/>
      <c r="S31" s="760"/>
      <c r="T31" s="760"/>
      <c r="U31" s="760"/>
      <c r="V31" s="760"/>
      <c r="W31" s="760"/>
      <c r="X31" s="760"/>
      <c r="Y31" s="760"/>
      <c r="Z31" s="760"/>
      <c r="AA31" s="760"/>
    </row>
    <row r="32" spans="1:27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770"/>
      <c r="L32" s="770"/>
      <c r="M32" s="770"/>
      <c r="N32" s="770"/>
      <c r="O32" s="212"/>
      <c r="P32" s="770"/>
      <c r="Q32" s="802"/>
      <c r="R32" s="760"/>
      <c r="S32" s="760"/>
      <c r="T32" s="760"/>
      <c r="U32" s="760"/>
      <c r="V32" s="760"/>
      <c r="W32" s="760"/>
      <c r="X32" s="760"/>
      <c r="Y32" s="760"/>
      <c r="Z32" s="760"/>
      <c r="AA32" s="760"/>
    </row>
    <row r="33" spans="1:27" hidden="1" x14ac:dyDescent="0.2">
      <c r="A33" s="770"/>
      <c r="B33" s="770"/>
      <c r="C33" s="770"/>
      <c r="D33" s="770"/>
      <c r="E33" s="770"/>
      <c r="F33" s="770"/>
      <c r="G33" s="770"/>
      <c r="H33" s="802"/>
      <c r="I33" s="802"/>
      <c r="J33" s="802"/>
      <c r="K33" s="770"/>
      <c r="L33" s="770"/>
      <c r="M33" s="770"/>
      <c r="N33" s="770"/>
      <c r="O33" s="770"/>
      <c r="P33" s="770"/>
      <c r="Q33" s="802"/>
      <c r="R33" s="760"/>
      <c r="S33" s="760"/>
      <c r="T33" s="760"/>
      <c r="U33" s="760"/>
      <c r="V33" s="760"/>
      <c r="W33" s="760"/>
      <c r="X33" s="760"/>
      <c r="Y33" s="760"/>
      <c r="Z33" s="760"/>
      <c r="AA33" s="760"/>
    </row>
    <row r="34" spans="1:27" hidden="1" x14ac:dyDescent="0.2">
      <c r="A34" s="770"/>
      <c r="B34" s="770"/>
      <c r="C34" s="770"/>
      <c r="D34" s="770"/>
      <c r="E34" s="770"/>
      <c r="F34" s="770"/>
      <c r="G34" s="770"/>
      <c r="H34" s="770"/>
      <c r="I34" s="802"/>
      <c r="J34" s="802"/>
      <c r="K34" s="770"/>
      <c r="L34" s="770"/>
      <c r="M34" s="770"/>
      <c r="N34" s="212"/>
      <c r="O34" s="770"/>
      <c r="P34" s="770"/>
      <c r="Q34" s="802"/>
      <c r="R34" s="760"/>
      <c r="S34" s="760"/>
      <c r="T34" s="760"/>
      <c r="U34" s="760"/>
      <c r="V34" s="760"/>
      <c r="W34" s="760"/>
      <c r="X34" s="760"/>
      <c r="Y34" s="760"/>
      <c r="Z34" s="760"/>
      <c r="AA34" s="760"/>
    </row>
    <row r="35" spans="1:27" hidden="1" x14ac:dyDescent="0.2">
      <c r="A35" s="770"/>
      <c r="B35" s="770"/>
      <c r="C35" s="770"/>
      <c r="D35" s="770"/>
      <c r="E35" s="770"/>
      <c r="F35" s="770"/>
      <c r="G35" s="770"/>
      <c r="H35" s="770"/>
      <c r="I35" s="802"/>
      <c r="J35" s="802"/>
      <c r="K35" s="770"/>
      <c r="L35" s="770"/>
      <c r="M35" s="770"/>
      <c r="N35" s="803"/>
      <c r="O35" s="212"/>
      <c r="P35" s="770"/>
      <c r="Q35" s="802"/>
      <c r="R35" s="760"/>
      <c r="S35" s="760"/>
      <c r="T35" s="760"/>
      <c r="U35" s="760"/>
      <c r="V35" s="760"/>
      <c r="W35" s="760"/>
      <c r="X35" s="760"/>
      <c r="Y35" s="760"/>
      <c r="Z35" s="760"/>
      <c r="AA35" s="760"/>
    </row>
    <row r="36" spans="1:27" hidden="1" x14ac:dyDescent="0.2">
      <c r="A36" s="770"/>
      <c r="B36" s="770"/>
      <c r="C36" s="770"/>
      <c r="D36" s="770"/>
      <c r="E36" s="770"/>
      <c r="F36" s="770"/>
      <c r="G36" s="770"/>
      <c r="H36" s="770"/>
      <c r="I36" s="802"/>
      <c r="J36" s="802"/>
      <c r="K36" s="770"/>
      <c r="L36" s="770"/>
      <c r="M36" s="770"/>
      <c r="N36" s="212"/>
      <c r="O36" s="212"/>
      <c r="P36" s="770"/>
      <c r="Q36" s="802"/>
      <c r="R36" s="760"/>
      <c r="S36" s="760"/>
      <c r="T36" s="760"/>
      <c r="U36" s="760"/>
      <c r="V36" s="760"/>
      <c r="W36" s="760"/>
      <c r="X36" s="760"/>
      <c r="Y36" s="760"/>
      <c r="Z36" s="760"/>
      <c r="AA36" s="760"/>
    </row>
    <row r="37" spans="1:27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  <c r="N37" s="212"/>
      <c r="O37" s="212"/>
      <c r="P37" s="770"/>
      <c r="Q37" s="802"/>
      <c r="R37" s="760"/>
      <c r="S37" s="760"/>
      <c r="T37" s="760"/>
      <c r="U37" s="760"/>
      <c r="V37" s="760"/>
      <c r="W37" s="760"/>
      <c r="X37" s="760"/>
      <c r="Y37" s="760"/>
      <c r="Z37" s="760"/>
      <c r="AA37" s="760"/>
    </row>
    <row r="38" spans="1:27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O38" s="212"/>
      <c r="P38" s="770"/>
      <c r="Q38" s="802"/>
      <c r="R38" s="760"/>
      <c r="S38" s="760"/>
      <c r="T38" s="760"/>
      <c r="U38" s="760"/>
      <c r="V38" s="760"/>
      <c r="W38" s="760"/>
      <c r="X38" s="760"/>
      <c r="Y38" s="760"/>
      <c r="Z38" s="760"/>
      <c r="AA38" s="760"/>
    </row>
    <row r="39" spans="1:27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212"/>
      <c r="O39" s="212"/>
      <c r="P39" s="770"/>
      <c r="Q39" s="802"/>
      <c r="R39" s="760"/>
      <c r="S39" s="760"/>
      <c r="T39" s="760"/>
      <c r="U39" s="760"/>
      <c r="V39" s="760"/>
      <c r="W39" s="760"/>
      <c r="X39" s="760"/>
      <c r="Y39" s="760"/>
      <c r="Z39" s="760"/>
      <c r="AA39" s="760"/>
    </row>
    <row r="40" spans="1:27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801"/>
      <c r="O40" s="212"/>
      <c r="P40" s="770"/>
      <c r="Q40" s="802"/>
      <c r="R40" s="760"/>
      <c r="S40" s="760"/>
      <c r="T40" s="760"/>
      <c r="U40" s="760"/>
      <c r="V40" s="760"/>
      <c r="W40" s="760"/>
      <c r="X40" s="760"/>
      <c r="Y40" s="760"/>
      <c r="Z40" s="760"/>
      <c r="AA40" s="760"/>
    </row>
    <row r="41" spans="1:27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N41" s="771"/>
      <c r="O41" s="770"/>
      <c r="P41" s="770"/>
      <c r="Q41" s="802"/>
      <c r="R41" s="760"/>
      <c r="S41" s="760"/>
      <c r="T41" s="760"/>
      <c r="U41" s="760"/>
      <c r="V41" s="760"/>
      <c r="W41" s="760"/>
      <c r="X41" s="760"/>
      <c r="Y41" s="760"/>
      <c r="Z41" s="760"/>
      <c r="AA41" s="760"/>
    </row>
    <row r="42" spans="1:27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O42" s="770"/>
      <c r="P42" s="770"/>
      <c r="Q42" s="802"/>
      <c r="R42" s="760"/>
      <c r="S42" s="760"/>
      <c r="T42" s="760"/>
      <c r="U42" s="760"/>
      <c r="V42" s="760"/>
      <c r="W42" s="760"/>
      <c r="X42" s="760"/>
      <c r="Y42" s="760"/>
      <c r="Z42" s="760"/>
      <c r="AA42" s="760"/>
    </row>
    <row r="43" spans="1:27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O43" s="770"/>
      <c r="P43" s="770"/>
      <c r="Q43" s="802"/>
      <c r="R43" s="760"/>
      <c r="S43" s="760"/>
      <c r="T43" s="760"/>
      <c r="U43" s="760"/>
      <c r="V43" s="760"/>
      <c r="W43" s="760"/>
      <c r="X43" s="760"/>
      <c r="Y43" s="760"/>
      <c r="Z43" s="760"/>
      <c r="AA43" s="760"/>
    </row>
    <row r="44" spans="1:27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O44" s="770"/>
      <c r="P44" s="770"/>
      <c r="Q44" s="802"/>
      <c r="R44" s="760"/>
      <c r="S44" s="760"/>
      <c r="T44" s="760"/>
      <c r="U44" s="760"/>
      <c r="V44" s="760"/>
      <c r="W44" s="760"/>
      <c r="X44" s="760"/>
      <c r="Y44" s="760"/>
      <c r="Z44" s="760"/>
      <c r="AA44" s="760"/>
    </row>
    <row r="45" spans="1:27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802"/>
      <c r="R45" s="760"/>
      <c r="S45" s="760"/>
      <c r="T45" s="760"/>
      <c r="U45" s="760"/>
      <c r="V45" s="760"/>
      <c r="W45" s="760"/>
      <c r="X45" s="760"/>
      <c r="Y45" s="760"/>
      <c r="Z45" s="760"/>
      <c r="AA45" s="760"/>
    </row>
    <row r="46" spans="1:27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  <c r="P46" s="770"/>
      <c r="Q46" s="802"/>
      <c r="R46" s="760"/>
      <c r="S46" s="760"/>
      <c r="T46" s="760"/>
      <c r="U46" s="760"/>
      <c r="V46" s="760"/>
      <c r="W46" s="760"/>
      <c r="X46" s="760"/>
      <c r="Y46" s="760"/>
      <c r="Z46" s="760"/>
      <c r="AA46" s="760"/>
    </row>
    <row r="47" spans="1:27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O47" s="212"/>
      <c r="P47" s="770"/>
      <c r="Q47" s="802"/>
      <c r="R47" s="760"/>
      <c r="S47" s="760"/>
      <c r="T47" s="760"/>
      <c r="U47" s="760"/>
      <c r="V47" s="760"/>
      <c r="W47" s="760"/>
      <c r="X47" s="760"/>
      <c r="Y47" s="760"/>
      <c r="Z47" s="760"/>
      <c r="AA47" s="760"/>
    </row>
    <row r="48" spans="1:27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0"/>
      <c r="O48" s="770"/>
      <c r="P48" s="770"/>
      <c r="Q48" s="802"/>
      <c r="R48" s="760"/>
      <c r="S48" s="760"/>
      <c r="T48" s="760"/>
      <c r="U48" s="760"/>
      <c r="V48" s="760"/>
      <c r="W48" s="760"/>
      <c r="X48" s="760"/>
      <c r="Y48" s="760"/>
      <c r="Z48" s="760"/>
      <c r="AA48" s="760"/>
    </row>
    <row r="49" spans="1:27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O49" s="770"/>
      <c r="P49" s="770"/>
      <c r="Q49" s="802"/>
      <c r="R49" s="760"/>
      <c r="S49" s="760"/>
      <c r="T49" s="760"/>
      <c r="U49" s="760"/>
      <c r="V49" s="760"/>
      <c r="W49" s="760"/>
      <c r="X49" s="760"/>
      <c r="Y49" s="760"/>
      <c r="Z49" s="760"/>
      <c r="AA49" s="760"/>
    </row>
    <row r="50" spans="1:27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770"/>
      <c r="P50" s="770"/>
      <c r="Q50" s="802"/>
      <c r="R50" s="760"/>
      <c r="S50" s="760"/>
      <c r="T50" s="760"/>
      <c r="U50" s="760"/>
      <c r="V50" s="760"/>
      <c r="W50" s="760"/>
      <c r="X50" s="760"/>
      <c r="Y50" s="760"/>
      <c r="Z50" s="760"/>
      <c r="AA50" s="760"/>
    </row>
    <row r="51" spans="1:27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1"/>
      <c r="O51" s="770"/>
      <c r="P51" s="770"/>
      <c r="Q51" s="802"/>
      <c r="R51" s="760"/>
      <c r="S51" s="760"/>
      <c r="T51" s="760"/>
      <c r="U51" s="760"/>
      <c r="V51" s="760"/>
      <c r="W51" s="760"/>
      <c r="X51" s="760"/>
      <c r="Y51" s="760"/>
      <c r="Z51" s="760"/>
      <c r="AA51" s="760"/>
    </row>
    <row r="52" spans="1:27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O52" s="770"/>
      <c r="P52" s="770"/>
      <c r="Q52" s="802"/>
      <c r="R52" s="760"/>
      <c r="S52" s="760"/>
      <c r="T52" s="760"/>
      <c r="U52" s="760"/>
      <c r="V52" s="760"/>
      <c r="W52" s="760"/>
      <c r="X52" s="760"/>
      <c r="Y52" s="760"/>
      <c r="Z52" s="760"/>
      <c r="AA52" s="760"/>
    </row>
    <row r="53" spans="1:27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P53" s="770"/>
      <c r="Q53" s="802"/>
      <c r="R53" s="760"/>
      <c r="S53" s="760"/>
      <c r="T53" s="760"/>
      <c r="U53" s="760"/>
      <c r="V53" s="760"/>
      <c r="W53" s="760"/>
      <c r="X53" s="760"/>
      <c r="Y53" s="760"/>
      <c r="Z53" s="760"/>
      <c r="AA53" s="760"/>
    </row>
    <row r="54" spans="1:27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801"/>
      <c r="O54" s="770"/>
      <c r="P54" s="770"/>
      <c r="Q54" s="802"/>
      <c r="R54" s="760"/>
      <c r="S54" s="760"/>
      <c r="T54" s="760"/>
      <c r="U54" s="760"/>
      <c r="V54" s="760"/>
      <c r="W54" s="760"/>
      <c r="X54" s="760"/>
      <c r="Y54" s="760"/>
      <c r="Z54" s="760"/>
      <c r="AA54" s="760"/>
    </row>
    <row r="55" spans="1:27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O55" s="770"/>
      <c r="P55" s="770"/>
      <c r="Q55" s="802"/>
      <c r="R55" s="760"/>
      <c r="S55" s="760"/>
      <c r="T55" s="760"/>
      <c r="U55" s="760"/>
      <c r="V55" s="760"/>
      <c r="W55" s="760"/>
      <c r="X55" s="760"/>
      <c r="Y55" s="760"/>
      <c r="Z55" s="760"/>
      <c r="AA55" s="760"/>
    </row>
    <row r="56" spans="1:27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O56" s="771"/>
      <c r="P56" s="770"/>
      <c r="Q56" s="802"/>
      <c r="R56" s="760"/>
      <c r="S56" s="760"/>
      <c r="T56" s="760"/>
      <c r="U56" s="760"/>
      <c r="V56" s="760"/>
      <c r="W56" s="760"/>
      <c r="X56" s="760"/>
      <c r="Y56" s="760"/>
      <c r="Z56" s="760"/>
      <c r="AA56" s="760"/>
    </row>
    <row r="57" spans="1:27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O57" s="771"/>
      <c r="P57" s="770"/>
      <c r="Q57" s="802"/>
      <c r="R57" s="760"/>
      <c r="S57" s="760"/>
      <c r="T57" s="760"/>
      <c r="U57" s="760"/>
      <c r="V57" s="760"/>
      <c r="W57" s="760"/>
      <c r="X57" s="760"/>
      <c r="Y57" s="760"/>
      <c r="Z57" s="760"/>
      <c r="AA57" s="760"/>
    </row>
    <row r="58" spans="1:27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801"/>
      <c r="O58" s="212"/>
      <c r="P58" s="770"/>
      <c r="Q58" s="802"/>
      <c r="R58" s="760"/>
      <c r="S58" s="760"/>
      <c r="T58" s="760"/>
      <c r="U58" s="760"/>
      <c r="V58" s="760"/>
      <c r="W58" s="760"/>
      <c r="X58" s="760"/>
      <c r="Y58" s="760"/>
      <c r="Z58" s="760"/>
      <c r="AA58" s="760"/>
    </row>
    <row r="59" spans="1:27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O59" s="212"/>
      <c r="P59" s="770"/>
      <c r="Q59" s="802"/>
      <c r="R59" s="760"/>
      <c r="S59" s="760"/>
      <c r="T59" s="760"/>
      <c r="U59" s="760"/>
      <c r="V59" s="760"/>
      <c r="W59" s="760"/>
      <c r="X59" s="760"/>
      <c r="Y59" s="760"/>
      <c r="Z59" s="760"/>
      <c r="AA59" s="760"/>
    </row>
    <row r="60" spans="1:27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0"/>
      <c r="O60" s="212"/>
      <c r="P60" s="770"/>
      <c r="Q60" s="802"/>
      <c r="R60" s="760"/>
      <c r="S60" s="760"/>
      <c r="T60" s="760"/>
      <c r="U60" s="760"/>
      <c r="V60" s="760"/>
      <c r="W60" s="760"/>
      <c r="X60" s="760"/>
      <c r="Y60" s="760"/>
      <c r="Z60" s="760"/>
      <c r="AA60" s="760"/>
    </row>
    <row r="61" spans="1:27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55"/>
      <c r="O61" s="755"/>
      <c r="P61" s="755"/>
      <c r="Q61" s="802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55"/>
      <c r="O62" s="755"/>
      <c r="P62" s="755"/>
      <c r="Q62" s="802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55"/>
      <c r="O63" s="755"/>
      <c r="P63" s="755"/>
      <c r="Q63" s="802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55"/>
      <c r="O64" s="755"/>
      <c r="P64" s="755"/>
      <c r="Q64" s="802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55"/>
      <c r="O65" s="755"/>
      <c r="P65" s="755"/>
      <c r="Q65" s="802"/>
      <c r="R65" s="760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55"/>
      <c r="O66" s="755"/>
      <c r="P66" s="755"/>
      <c r="Q66" s="802"/>
      <c r="R66" s="760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55"/>
      <c r="O67" s="755"/>
      <c r="P67" s="755"/>
      <c r="Q67" s="212"/>
      <c r="R67" s="760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hidden="1" x14ac:dyDescent="0.2">
      <c r="A68" s="770"/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55"/>
      <c r="O68" s="755"/>
      <c r="P68" s="755"/>
      <c r="Q68" s="212"/>
      <c r="R68" s="760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212"/>
      <c r="R69" s="760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212"/>
      <c r="C70" s="212"/>
      <c r="D70" s="212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212"/>
      <c r="R70" s="760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212"/>
      <c r="R71" s="760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212"/>
      <c r="R72" s="760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212"/>
      <c r="R73" s="760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212"/>
      <c r="C74" s="212"/>
      <c r="D74" s="212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212"/>
      <c r="R74" s="760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212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212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802"/>
      <c r="C95" s="802"/>
      <c r="D95" s="802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55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60"/>
      <c r="C96" s="760"/>
      <c r="D96" s="760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55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60"/>
      <c r="C97" s="760"/>
      <c r="D97" s="760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55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55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55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551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55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55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ht="13.5" thickBot="1" x14ac:dyDescent="0.25">
      <c r="A102" s="755"/>
      <c r="B102" s="755"/>
      <c r="C102" s="755"/>
      <c r="D102" s="755"/>
      <c r="E102" s="755"/>
      <c r="F102" s="755"/>
      <c r="G102" s="755"/>
      <c r="H102" s="809" t="str">
        <f>IFERROR(INDEX(B$1:B$100,MATCH(1,K$1:K$100,0)),"")</f>
        <v>Karoliina Sild, Kenneth Muusikus, Tõnis Neiland</v>
      </c>
      <c r="I102" s="755"/>
      <c r="J102" s="755"/>
      <c r="K102" s="755"/>
      <c r="L102" s="755"/>
      <c r="M102" s="755"/>
      <c r="N102" s="755"/>
      <c r="O102" s="755"/>
      <c r="P102" s="760"/>
      <c r="Q102" s="755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755"/>
      <c r="B103" s="755"/>
      <c r="C103" s="755"/>
      <c r="D103" s="755"/>
      <c r="E103" s="755"/>
      <c r="F103" s="755"/>
      <c r="G103" s="755"/>
      <c r="H103" s="810" t="s">
        <v>389</v>
      </c>
      <c r="I103" s="811"/>
      <c r="J103" s="755"/>
      <c r="K103" s="755"/>
      <c r="L103" s="755"/>
      <c r="M103" s="755"/>
      <c r="N103" s="755"/>
      <c r="O103" s="755"/>
      <c r="P103" s="760"/>
      <c r="Q103" s="755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55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ht="13.5" thickBot="1" x14ac:dyDescent="0.25">
      <c r="A105" s="755"/>
      <c r="B105" s="755"/>
      <c r="C105" s="755"/>
      <c r="D105" s="755"/>
      <c r="E105" s="755"/>
      <c r="F105" s="755"/>
      <c r="G105" s="760"/>
      <c r="H105" s="809" t="str">
        <f>IFERROR(INDEX(B$1:B$100,MATCH(2,K$1:K$100,0)),"")</f>
        <v>Jaan Sepp, Oskar Sepp</v>
      </c>
      <c r="I105" s="938"/>
      <c r="J105" s="755"/>
      <c r="K105" s="755"/>
      <c r="L105" s="755"/>
      <c r="M105" s="755"/>
      <c r="N105" s="755"/>
      <c r="O105" s="755"/>
      <c r="P105" s="760"/>
      <c r="Q105" s="755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755"/>
      <c r="B106" s="755"/>
      <c r="C106" s="755"/>
      <c r="D106" s="755"/>
      <c r="E106" s="755"/>
      <c r="F106" s="755"/>
      <c r="G106" s="760"/>
      <c r="H106" s="810" t="s">
        <v>390</v>
      </c>
      <c r="I106" s="807"/>
      <c r="J106" s="755"/>
      <c r="K106" s="755"/>
      <c r="L106" s="755"/>
      <c r="M106" s="755"/>
      <c r="N106" s="755"/>
      <c r="O106" s="755"/>
      <c r="P106" s="760"/>
      <c r="Q106" s="755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755"/>
      <c r="B107" s="755"/>
      <c r="C107" s="755"/>
      <c r="D107" s="755"/>
      <c r="E107" s="755"/>
      <c r="F107" s="755"/>
      <c r="G107" s="760"/>
      <c r="H107" s="755"/>
      <c r="I107" s="755"/>
      <c r="J107" s="755"/>
      <c r="K107" s="755"/>
      <c r="L107" s="755"/>
      <c r="M107" s="755"/>
      <c r="N107" s="755"/>
      <c r="O107" s="755"/>
      <c r="P107" s="760"/>
      <c r="Q107" s="755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ht="13.5" thickBot="1" x14ac:dyDescent="0.25">
      <c r="A108" s="755"/>
      <c r="B108" s="755"/>
      <c r="C108" s="755"/>
      <c r="D108" s="755"/>
      <c r="E108" s="755"/>
      <c r="F108" s="755"/>
      <c r="G108" s="760"/>
      <c r="H108" s="809" t="str">
        <f>IFERROR(INDEX(B$1:B$100,MATCH(3,K$1:K$100,0)),"")</f>
        <v>Klavdia Piik, Ülo Piik</v>
      </c>
      <c r="I108" s="807"/>
      <c r="J108" s="755"/>
      <c r="K108" s="755"/>
      <c r="L108" s="755"/>
      <c r="M108" s="755"/>
      <c r="N108" s="755"/>
      <c r="O108" s="755"/>
      <c r="P108" s="760"/>
      <c r="Q108" s="755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x14ac:dyDescent="0.2">
      <c r="A109" s="755"/>
      <c r="B109" s="755"/>
      <c r="C109" s="755"/>
      <c r="D109" s="755"/>
      <c r="E109" s="755"/>
      <c r="F109" s="755"/>
      <c r="G109" s="760"/>
      <c r="H109" s="810" t="s">
        <v>391</v>
      </c>
      <c r="I109" s="811"/>
      <c r="J109" s="755"/>
      <c r="K109" s="755"/>
      <c r="L109" s="755"/>
      <c r="M109" s="755"/>
      <c r="N109" s="755"/>
      <c r="O109" s="755"/>
      <c r="P109" s="760"/>
      <c r="Q109" s="755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755"/>
      <c r="B110" s="755"/>
      <c r="C110" s="755"/>
      <c r="D110" s="755"/>
      <c r="E110" s="755"/>
      <c r="F110" s="755"/>
      <c r="G110" s="760"/>
      <c r="H110" s="807"/>
      <c r="I110" s="807"/>
      <c r="J110" s="755"/>
      <c r="K110" s="755"/>
      <c r="L110" s="755"/>
      <c r="M110" s="755"/>
      <c r="N110" s="755"/>
      <c r="O110" s="755"/>
      <c r="P110" s="760"/>
      <c r="Q110" s="755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ht="13.5" thickBot="1" x14ac:dyDescent="0.25">
      <c r="A111" s="755"/>
      <c r="B111" s="755"/>
      <c r="C111" s="755"/>
      <c r="D111" s="755"/>
      <c r="E111" s="755"/>
      <c r="F111" s="755"/>
      <c r="G111" s="760"/>
      <c r="H111" s="939" t="str">
        <f>IFERROR(INDEX(B$1:B$100,MATCH(4,K$1:K$100,0)),"")</f>
        <v>Enn Tokman, Karla Purgats</v>
      </c>
      <c r="I111" s="938"/>
      <c r="J111" s="755"/>
      <c r="K111" s="755"/>
      <c r="L111" s="755"/>
      <c r="M111" s="755"/>
      <c r="N111" s="755"/>
      <c r="O111" s="755"/>
      <c r="P111" s="760"/>
      <c r="Q111" s="755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755"/>
      <c r="B112" s="755"/>
      <c r="C112" s="755"/>
      <c r="D112" s="755"/>
      <c r="E112" s="755"/>
      <c r="F112" s="755"/>
      <c r="G112" s="760"/>
      <c r="H112" s="754" t="s">
        <v>392</v>
      </c>
      <c r="I112" s="755"/>
      <c r="J112" s="755"/>
      <c r="K112" s="755"/>
      <c r="L112" s="755"/>
      <c r="M112" s="755"/>
      <c r="N112" s="755"/>
      <c r="O112" s="755"/>
      <c r="P112" s="760"/>
      <c r="Q112" s="755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755"/>
      <c r="B113" s="755"/>
      <c r="C113" s="755"/>
      <c r="D113" s="755"/>
      <c r="E113" s="755"/>
      <c r="F113" s="755"/>
      <c r="G113" s="760"/>
      <c r="H113" s="760"/>
      <c r="I113" s="760"/>
      <c r="J113" s="755"/>
      <c r="K113" s="755"/>
      <c r="L113" s="755"/>
      <c r="M113" s="755"/>
      <c r="N113" s="755"/>
      <c r="O113" s="755"/>
      <c r="P113" s="760"/>
      <c r="Q113" s="755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755"/>
      <c r="B114" s="755"/>
      <c r="C114" s="755"/>
      <c r="D114" s="755"/>
      <c r="E114" s="755"/>
      <c r="F114" s="755"/>
      <c r="G114" s="760"/>
      <c r="H114" s="939" t="str">
        <f>IFERROR(INDEX(B$1:B$100,MATCH(5,K$1:K$100,0)),"")</f>
        <v>Illar Tõnurist, Meelis Luud, Tarmo Bombe</v>
      </c>
      <c r="I114" s="938"/>
      <c r="J114" s="755"/>
      <c r="K114" s="755"/>
      <c r="L114" s="755"/>
      <c r="M114" s="755"/>
      <c r="N114" s="755"/>
      <c r="O114" s="755"/>
      <c r="P114" s="760"/>
      <c r="Q114" s="755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755"/>
      <c r="B115" s="755"/>
      <c r="C115" s="755"/>
      <c r="D115" s="755"/>
      <c r="E115" s="755"/>
      <c r="F115" s="755"/>
      <c r="G115" s="760"/>
      <c r="H115" s="754" t="s">
        <v>393</v>
      </c>
      <c r="I115" s="755"/>
      <c r="J115" s="755"/>
      <c r="K115" s="755"/>
      <c r="L115" s="755"/>
      <c r="M115" s="755"/>
      <c r="N115" s="755"/>
      <c r="O115" s="755"/>
      <c r="P115" s="760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  <c r="AA115" s="755"/>
    </row>
    <row r="116" spans="1:27" x14ac:dyDescent="0.2">
      <c r="A116" s="755"/>
      <c r="B116" s="755"/>
      <c r="C116" s="755"/>
      <c r="D116" s="755"/>
      <c r="E116" s="755"/>
      <c r="F116" s="755"/>
      <c r="G116" s="760"/>
      <c r="H116" s="770"/>
      <c r="I116" s="770"/>
      <c r="J116" s="755"/>
      <c r="K116" s="755"/>
      <c r="L116" s="755"/>
      <c r="M116" s="755"/>
      <c r="N116" s="755"/>
      <c r="O116" s="755"/>
      <c r="P116" s="760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  <c r="AA116" s="755"/>
    </row>
    <row r="117" spans="1:27" ht="13.5" thickBot="1" x14ac:dyDescent="0.25">
      <c r="A117" s="755"/>
      <c r="B117" s="755"/>
      <c r="C117" s="755"/>
      <c r="D117" s="755"/>
      <c r="E117" s="755"/>
      <c r="F117" s="755"/>
      <c r="G117" s="760"/>
      <c r="H117" s="939" t="str">
        <f>IFERROR(INDEX(B$1:B$100,MATCH(6,K$1:K$100,0)),"")</f>
        <v>Janek Tarto, Romek Tarto</v>
      </c>
      <c r="I117" s="938"/>
      <c r="J117" s="755"/>
      <c r="K117" s="755"/>
      <c r="L117" s="755"/>
      <c r="M117" s="755"/>
      <c r="N117" s="755"/>
      <c r="O117" s="755"/>
      <c r="P117" s="760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  <c r="AA117" s="755"/>
    </row>
    <row r="118" spans="1:27" x14ac:dyDescent="0.2">
      <c r="A118" s="755"/>
      <c r="B118" s="755"/>
      <c r="C118" s="755"/>
      <c r="D118" s="755"/>
      <c r="E118" s="755"/>
      <c r="F118" s="755"/>
      <c r="G118" s="760"/>
      <c r="H118" s="754" t="s">
        <v>394</v>
      </c>
      <c r="I118" s="755"/>
      <c r="J118" s="755"/>
      <c r="K118" s="755"/>
      <c r="L118" s="755"/>
      <c r="M118" s="755"/>
      <c r="N118" s="755"/>
      <c r="O118" s="755"/>
      <c r="P118" s="760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</row>
    <row r="119" spans="1:27" x14ac:dyDescent="0.2">
      <c r="A119" s="755"/>
      <c r="B119" s="755"/>
      <c r="C119" s="755"/>
      <c r="D119" s="755"/>
      <c r="E119" s="755"/>
      <c r="F119" s="755"/>
      <c r="G119" s="760"/>
      <c r="H119" s="755"/>
      <c r="I119" s="755"/>
      <c r="J119" s="755"/>
      <c r="K119" s="755"/>
      <c r="L119" s="755"/>
      <c r="M119" s="755"/>
      <c r="N119" s="755"/>
      <c r="O119" s="755"/>
      <c r="P119" s="760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  <c r="AA119" s="755"/>
    </row>
    <row r="120" spans="1:27" ht="13.5" thickBot="1" x14ac:dyDescent="0.25">
      <c r="A120" s="755"/>
      <c r="B120" s="755"/>
      <c r="C120" s="755"/>
      <c r="D120" s="755"/>
      <c r="E120" s="755"/>
      <c r="F120" s="755"/>
      <c r="G120" s="760"/>
      <c r="H120" s="939" t="str">
        <f>IFERROR(INDEX(B$1:B$100,MATCH(7,K$1:K$100,0)),"")</f>
        <v>Elmo Lageda, Tõnu Piik</v>
      </c>
      <c r="I120" s="938"/>
      <c r="J120" s="755"/>
      <c r="K120" s="755"/>
      <c r="L120" s="755"/>
      <c r="M120" s="755"/>
      <c r="N120" s="755"/>
      <c r="O120" s="755"/>
      <c r="P120" s="760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  <c r="AA120" s="755"/>
    </row>
    <row r="121" spans="1:27" x14ac:dyDescent="0.2">
      <c r="A121" s="755"/>
      <c r="B121" s="755"/>
      <c r="C121" s="755"/>
      <c r="D121" s="755"/>
      <c r="E121" s="755"/>
      <c r="F121" s="755"/>
      <c r="G121" s="760"/>
      <c r="H121" s="754" t="s">
        <v>418</v>
      </c>
      <c r="I121" s="755"/>
      <c r="J121" s="755"/>
      <c r="K121" s="755"/>
      <c r="L121" s="755"/>
      <c r="M121" s="755"/>
      <c r="N121" s="755"/>
      <c r="O121" s="755"/>
      <c r="P121" s="760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  <c r="AA121" s="755"/>
    </row>
    <row r="122" spans="1:27" hidden="1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55"/>
      <c r="K122" s="755"/>
      <c r="L122" s="755"/>
      <c r="M122" s="755"/>
      <c r="N122" s="755"/>
      <c r="O122" s="755"/>
      <c r="P122" s="760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  <c r="AA122" s="755"/>
    </row>
    <row r="123" spans="1:27" hidden="1" x14ac:dyDescent="0.2">
      <c r="A123" s="755"/>
      <c r="B123" s="755"/>
      <c r="C123" s="755"/>
      <c r="D123" s="755"/>
      <c r="E123" s="755"/>
      <c r="F123" s="755"/>
      <c r="G123" s="760"/>
      <c r="H123" s="755"/>
      <c r="I123" s="755"/>
      <c r="J123" s="755"/>
      <c r="K123" s="755"/>
      <c r="L123" s="755"/>
      <c r="M123" s="755"/>
      <c r="N123" s="755"/>
      <c r="O123" s="755"/>
      <c r="P123" s="760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  <c r="AA123" s="755"/>
    </row>
    <row r="124" spans="1:27" hidden="1" x14ac:dyDescent="0.2">
      <c r="A124" s="755"/>
      <c r="B124" s="755"/>
      <c r="C124" s="755"/>
      <c r="D124" s="755"/>
      <c r="E124" s="755"/>
      <c r="F124" s="755"/>
      <c r="G124" s="760"/>
      <c r="H124" s="755"/>
      <c r="I124" s="755"/>
      <c r="J124" s="755"/>
      <c r="K124" s="755"/>
      <c r="L124" s="755"/>
      <c r="M124" s="755"/>
      <c r="N124" s="755"/>
      <c r="O124" s="755"/>
      <c r="P124" s="760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  <c r="AA124" s="755"/>
    </row>
    <row r="125" spans="1:27" hidden="1" x14ac:dyDescent="0.2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60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  <c r="AA125" s="755"/>
    </row>
    <row r="126" spans="1:27" hidden="1" x14ac:dyDescent="0.2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60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  <c r="AA126" s="755"/>
    </row>
    <row r="127" spans="1:27" hidden="1" x14ac:dyDescent="0.2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60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  <c r="AA127" s="755"/>
    </row>
    <row r="128" spans="1:27" hidden="1" x14ac:dyDescent="0.2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60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  <c r="AA128" s="755"/>
    </row>
    <row r="129" spans="1:27" hidden="1" x14ac:dyDescent="0.2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60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  <c r="AA129" s="755"/>
    </row>
    <row r="130" spans="1:27" hidden="1" x14ac:dyDescent="0.2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60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  <c r="AA130" s="755"/>
    </row>
    <row r="131" spans="1:27" hidden="1" x14ac:dyDescent="0.2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60"/>
      <c r="L131" s="760"/>
      <c r="M131" s="760"/>
      <c r="N131" s="760"/>
      <c r="O131" s="760"/>
      <c r="P131" s="760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  <c r="AA131" s="755"/>
    </row>
    <row r="132" spans="1:27" hidden="1" x14ac:dyDescent="0.2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60"/>
      <c r="L132" s="760"/>
      <c r="M132" s="760"/>
      <c r="N132" s="760"/>
      <c r="O132" s="760"/>
      <c r="P132" s="760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  <c r="AA132" s="755"/>
    </row>
    <row r="133" spans="1:27" hidden="1" x14ac:dyDescent="0.2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60"/>
      <c r="L133" s="760"/>
      <c r="M133" s="760"/>
      <c r="N133" s="760"/>
      <c r="O133" s="760"/>
      <c r="P133" s="760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  <c r="AA133" s="755"/>
    </row>
    <row r="134" spans="1:27" hidden="1" x14ac:dyDescent="0.2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60"/>
      <c r="L134" s="760"/>
      <c r="M134" s="760"/>
      <c r="N134" s="760"/>
      <c r="O134" s="760"/>
      <c r="P134" s="760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  <c r="AA134" s="755"/>
    </row>
    <row r="135" spans="1:27" hidden="1" x14ac:dyDescent="0.2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60"/>
      <c r="L135" s="760"/>
      <c r="M135" s="760"/>
      <c r="N135" s="760"/>
      <c r="O135" s="760"/>
      <c r="P135" s="760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  <c r="AA135" s="755"/>
    </row>
    <row r="136" spans="1:27" hidden="1" x14ac:dyDescent="0.2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60"/>
      <c r="L136" s="760"/>
      <c r="M136" s="760"/>
      <c r="N136" s="760"/>
      <c r="O136" s="760"/>
      <c r="P136" s="760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  <c r="AA136" s="755"/>
    </row>
    <row r="137" spans="1:27" hidden="1" x14ac:dyDescent="0.2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60"/>
      <c r="L137" s="760"/>
      <c r="M137" s="760"/>
      <c r="N137" s="760"/>
      <c r="O137" s="760"/>
      <c r="P137" s="760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  <c r="AA137" s="755"/>
    </row>
    <row r="138" spans="1:27" hidden="1" x14ac:dyDescent="0.2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60"/>
      <c r="L138" s="760"/>
      <c r="M138" s="760"/>
      <c r="N138" s="760"/>
      <c r="O138" s="760"/>
      <c r="P138" s="760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  <c r="AA138" s="755"/>
    </row>
    <row r="139" spans="1:27" hidden="1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60"/>
      <c r="L139" s="760"/>
      <c r="M139" s="760"/>
      <c r="N139" s="760"/>
      <c r="O139" s="760"/>
      <c r="P139" s="760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  <c r="AA139" s="755"/>
    </row>
    <row r="140" spans="1:27" hidden="1" x14ac:dyDescent="0.2">
      <c r="A140" s="760"/>
      <c r="B140" s="760"/>
      <c r="C140" s="760"/>
      <c r="D140" s="760"/>
      <c r="E140" s="760"/>
      <c r="F140" s="760"/>
      <c r="G140" s="755"/>
      <c r="H140" s="755"/>
      <c r="I140" s="755"/>
      <c r="J140" s="755"/>
      <c r="K140" s="760"/>
      <c r="L140" s="760"/>
      <c r="M140" s="760"/>
      <c r="N140" s="760"/>
      <c r="O140" s="760"/>
      <c r="P140" s="760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  <c r="AA140" s="755"/>
    </row>
    <row r="141" spans="1:27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  <c r="AA141" s="755"/>
    </row>
    <row r="142" spans="1:27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  <c r="AA142" s="755"/>
    </row>
    <row r="143" spans="1:27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  <c r="AA143" s="755"/>
    </row>
    <row r="144" spans="1:27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  <c r="AA144" s="755"/>
    </row>
    <row r="145" spans="1:27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  <c r="AA145" s="755"/>
    </row>
    <row r="146" spans="1:27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  <c r="AA146" s="755"/>
    </row>
    <row r="147" spans="1:27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  <c r="AA147" s="755"/>
    </row>
    <row r="148" spans="1:27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  <c r="AA148" s="755"/>
    </row>
    <row r="149" spans="1:27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  <c r="AA149" s="755"/>
    </row>
    <row r="150" spans="1:27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  <c r="AA150" s="755"/>
    </row>
    <row r="151" spans="1:27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  <c r="AA151" s="755"/>
    </row>
    <row r="152" spans="1:27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  <c r="AA152" s="755"/>
    </row>
    <row r="153" spans="1:27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  <c r="AA153" s="755"/>
    </row>
    <row r="154" spans="1:27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  <c r="AA154" s="755"/>
    </row>
    <row r="155" spans="1:27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  <c r="AA155" s="755"/>
    </row>
    <row r="156" spans="1:27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  <c r="AA156" s="755"/>
    </row>
    <row r="157" spans="1:27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  <c r="AA157" s="755"/>
    </row>
    <row r="158" spans="1:27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  <c r="AA158" s="755"/>
    </row>
    <row r="159" spans="1:27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  <c r="AA159" s="755"/>
    </row>
    <row r="160" spans="1:27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  <c r="AA160" s="755"/>
    </row>
    <row r="161" spans="1:27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  <c r="AA161" s="755"/>
    </row>
    <row r="162" spans="1:27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  <c r="AA162" s="755"/>
    </row>
    <row r="163" spans="1:27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  <c r="AA163" s="755"/>
    </row>
    <row r="164" spans="1:27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  <c r="AA164" s="755"/>
    </row>
    <row r="165" spans="1:27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  <c r="AA165" s="755"/>
    </row>
    <row r="166" spans="1:27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  <c r="AA166" s="755"/>
    </row>
    <row r="167" spans="1:27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  <c r="AA167" s="755"/>
    </row>
    <row r="168" spans="1:27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  <c r="AA168" s="755"/>
    </row>
    <row r="169" spans="1:27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  <c r="AA169" s="755"/>
    </row>
    <row r="170" spans="1:27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  <c r="AA170" s="755"/>
    </row>
    <row r="171" spans="1:27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  <c r="AA171" s="755"/>
    </row>
    <row r="172" spans="1:27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  <c r="AA172" s="755"/>
    </row>
    <row r="173" spans="1:27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  <c r="AA173" s="755"/>
    </row>
    <row r="174" spans="1:27" hidden="1" x14ac:dyDescent="0.2">
      <c r="A174" s="213"/>
      <c r="B174" s="552"/>
      <c r="C174" s="755"/>
      <c r="D174" s="755"/>
      <c r="E174" s="807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  <c r="AA174" s="755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  <c r="AA175" s="755"/>
    </row>
    <row r="176" spans="1:27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760"/>
      <c r="B299" s="760"/>
      <c r="C299" s="814" t="s">
        <v>395</v>
      </c>
      <c r="D299" s="814"/>
      <c r="E299" s="755"/>
      <c r="F299" s="760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ht="25.5" x14ac:dyDescent="0.2">
      <c r="A300" s="960">
        <v>1</v>
      </c>
      <c r="B300" s="1041" t="str">
        <f t="shared" ref="B300:B306" si="5">IFERROR(INDEX(H$100:H$300,MATCH(A300&amp;". koht",H$101:H$301,0)),"")</f>
        <v>Karoliina Sild, Kenneth Muusikus, Tõnis Neiland</v>
      </c>
      <c r="C300" s="1031">
        <f>IF(16-A300&gt;0,16-A300,1)</f>
        <v>15</v>
      </c>
      <c r="D300" s="817"/>
      <c r="E300" s="817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15">
        <v>2</v>
      </c>
      <c r="B301" s="816" t="str">
        <f t="shared" si="5"/>
        <v>Jaan Sepp, Oskar Sepp</v>
      </c>
      <c r="C301" s="755">
        <f t="shared" ref="C301:C306" si="6">IF(16-A301&gt;0,16-A301,1)</f>
        <v>14</v>
      </c>
      <c r="D301" s="817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15">
        <v>3</v>
      </c>
      <c r="B302" s="816" t="str">
        <f t="shared" si="5"/>
        <v>Klavdia Piik, Ülo Piik</v>
      </c>
      <c r="C302" s="755">
        <f t="shared" si="6"/>
        <v>13</v>
      </c>
      <c r="D302" s="817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15">
        <v>4</v>
      </c>
      <c r="B303" s="816" t="str">
        <f t="shared" si="5"/>
        <v>Enn Tokman, Karla Purgats</v>
      </c>
      <c r="C303" s="755">
        <f t="shared" si="6"/>
        <v>12</v>
      </c>
      <c r="D303" s="817"/>
      <c r="E303" s="817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ht="25.5" x14ac:dyDescent="0.2">
      <c r="A304" s="960">
        <v>5</v>
      </c>
      <c r="B304" s="1041" t="str">
        <f t="shared" si="5"/>
        <v>Illar Tõnurist, Meelis Luud, Tarmo Bombe</v>
      </c>
      <c r="C304" s="1031">
        <f t="shared" si="6"/>
        <v>11</v>
      </c>
      <c r="D304" s="817"/>
      <c r="E304" s="817"/>
      <c r="F304" s="760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15">
        <v>6</v>
      </c>
      <c r="B305" s="816" t="str">
        <f t="shared" si="5"/>
        <v>Janek Tarto, Romek Tarto</v>
      </c>
      <c r="C305" s="755">
        <f t="shared" si="6"/>
        <v>10</v>
      </c>
      <c r="D305" s="817"/>
      <c r="E305" s="817"/>
      <c r="F305" s="760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15">
        <v>7</v>
      </c>
      <c r="B306" s="816" t="str">
        <f t="shared" si="5"/>
        <v>Elmo Lageda, Tõnu Piik</v>
      </c>
      <c r="C306" s="755">
        <f t="shared" si="6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755"/>
      <c r="B307" s="755"/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755"/>
      <c r="B308" s="755"/>
      <c r="C308" s="755"/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755"/>
      <c r="B309" s="755"/>
      <c r="C309" s="755"/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</sheetData>
  <conditionalFormatting sqref="K10:K12">
    <cfRule type="expression" dxfId="1355" priority="45">
      <formula>FIND(2,K10,1)</formula>
    </cfRule>
    <cfRule type="expression" dxfId="1354" priority="46">
      <formula>FIND(1,K10,1)</formula>
    </cfRule>
  </conditionalFormatting>
  <conditionalFormatting sqref="D7 C8">
    <cfRule type="aboveAverage" dxfId="1353" priority="44"/>
  </conditionalFormatting>
  <conditionalFormatting sqref="E7 C9">
    <cfRule type="aboveAverage" dxfId="1352" priority="43"/>
  </conditionalFormatting>
  <conditionalFormatting sqref="F7 C10">
    <cfRule type="aboveAverage" dxfId="1351" priority="42"/>
  </conditionalFormatting>
  <conditionalFormatting sqref="E8 D9">
    <cfRule type="aboveAverage" dxfId="1350" priority="41"/>
  </conditionalFormatting>
  <conditionalFormatting sqref="G7 C11">
    <cfRule type="aboveAverage" dxfId="1349" priority="40"/>
  </conditionalFormatting>
  <conditionalFormatting sqref="F8 D10">
    <cfRule type="aboveAverage" dxfId="1348" priority="39"/>
  </conditionalFormatting>
  <conditionalFormatting sqref="G8 D11">
    <cfRule type="aboveAverage" dxfId="1347" priority="38"/>
  </conditionalFormatting>
  <conditionalFormatting sqref="F9 E10">
    <cfRule type="aboveAverage" dxfId="1346" priority="37"/>
  </conditionalFormatting>
  <conditionalFormatting sqref="G9 E11">
    <cfRule type="aboveAverage" dxfId="1345" priority="36"/>
  </conditionalFormatting>
  <conditionalFormatting sqref="F11 G10">
    <cfRule type="aboveAverage" dxfId="1344" priority="35"/>
  </conditionalFormatting>
  <conditionalFormatting sqref="J7:J12">
    <cfRule type="expression" dxfId="1343" priority="32">
      <formula>AND(#REF!=1,IF(COUNTIF(#REF!,"=1")&gt;=2,TRUE))</formula>
    </cfRule>
    <cfRule type="expression" dxfId="1342" priority="33">
      <formula>AND(#REF!=3,IF(COUNTIF(#REF!,"=3")&gt;=2,TRUE))</formula>
    </cfRule>
    <cfRule type="expression" dxfId="1341" priority="34">
      <formula>AND(#REF!=2,IF(COUNTIF(#REF!,"=2")&gt;=2,TRUE))</formula>
    </cfRule>
  </conditionalFormatting>
  <conditionalFormatting sqref="C18:C19 C69">
    <cfRule type="aboveAverage" dxfId="1340" priority="31"/>
  </conditionalFormatting>
  <conditionalFormatting sqref="D18:D19 D69">
    <cfRule type="aboveAverage" dxfId="1339" priority="30"/>
  </conditionalFormatting>
  <conditionalFormatting sqref="N21:N24">
    <cfRule type="duplicateValues" dxfId="1338" priority="29"/>
  </conditionalFormatting>
  <conditionalFormatting sqref="N26:N31">
    <cfRule type="duplicateValues" dxfId="1337" priority="28"/>
  </conditionalFormatting>
  <conditionalFormatting sqref="N15:N17 N19:N20">
    <cfRule type="duplicateValues" dxfId="1336" priority="47"/>
  </conditionalFormatting>
  <conditionalFormatting sqref="N5:N6 N13:N14">
    <cfRule type="duplicateValues" dxfId="1335" priority="48"/>
  </conditionalFormatting>
  <conditionalFormatting sqref="N49:N52">
    <cfRule type="duplicateValues" dxfId="1334" priority="25"/>
  </conditionalFormatting>
  <conditionalFormatting sqref="N54:N59">
    <cfRule type="duplicateValues" dxfId="1333" priority="24"/>
  </conditionalFormatting>
  <conditionalFormatting sqref="N43:N45 N47:N48">
    <cfRule type="duplicateValues" dxfId="1332" priority="26"/>
  </conditionalFormatting>
  <conditionalFormatting sqref="N38 N40:N42">
    <cfRule type="duplicateValues" dxfId="1331" priority="27"/>
  </conditionalFormatting>
  <conditionalFormatting sqref="B7:B12">
    <cfRule type="duplicateValues" dxfId="1330" priority="23"/>
  </conditionalFormatting>
  <conditionalFormatting sqref="H7 C12">
    <cfRule type="aboveAverage" dxfId="1329" priority="22"/>
  </conditionalFormatting>
  <conditionalFormatting sqref="H8 D12">
    <cfRule type="aboveAverage" dxfId="1328" priority="21"/>
  </conditionalFormatting>
  <conditionalFormatting sqref="E12 H9">
    <cfRule type="aboveAverage" dxfId="1327" priority="20"/>
  </conditionalFormatting>
  <conditionalFormatting sqref="H10 F12">
    <cfRule type="aboveAverage" dxfId="1326" priority="19"/>
  </conditionalFormatting>
  <conditionalFormatting sqref="H11 G12">
    <cfRule type="aboveAverage" dxfId="1325" priority="18"/>
  </conditionalFormatting>
  <conditionalFormatting sqref="B301:B309">
    <cfRule type="expression" dxfId="1324" priority="15">
      <formula>A301=3</formula>
    </cfRule>
    <cfRule type="expression" dxfId="1323" priority="16">
      <formula>A301=2</formula>
    </cfRule>
    <cfRule type="expression" dxfId="1322" priority="17">
      <formula>A301=1</formula>
    </cfRule>
    <cfRule type="containsBlanks" dxfId="1321" priority="49">
      <formula>LEN(TRIM(B301))=0</formula>
    </cfRule>
    <cfRule type="duplicateValues" dxfId="1320" priority="50"/>
  </conditionalFormatting>
  <conditionalFormatting sqref="B300">
    <cfRule type="expression" dxfId="1319" priority="10">
      <formula>A300=3</formula>
    </cfRule>
    <cfRule type="expression" dxfId="1318" priority="11">
      <formula>A300=2</formula>
    </cfRule>
    <cfRule type="expression" dxfId="1317" priority="12">
      <formula>A300=1</formula>
    </cfRule>
    <cfRule type="containsBlanks" dxfId="1316" priority="13">
      <formula>LEN(TRIM(B300))=0</formula>
    </cfRule>
    <cfRule type="duplicateValues" dxfId="1315" priority="14"/>
  </conditionalFormatting>
  <conditionalFormatting sqref="I7 C13">
    <cfRule type="aboveAverage" dxfId="1314" priority="6"/>
  </conditionalFormatting>
  <conditionalFormatting sqref="I8 D13">
    <cfRule type="aboveAverage" dxfId="1313" priority="5"/>
  </conditionalFormatting>
  <conditionalFormatting sqref="I9 E13">
    <cfRule type="aboveAverage" dxfId="1312" priority="4"/>
  </conditionalFormatting>
  <conditionalFormatting sqref="I10 F13">
    <cfRule type="aboveAverage" dxfId="1311" priority="3"/>
  </conditionalFormatting>
  <conditionalFormatting sqref="I11 G13">
    <cfRule type="aboveAverage" dxfId="1310" priority="2"/>
  </conditionalFormatting>
  <conditionalFormatting sqref="I12 H13">
    <cfRule type="aboveAverage" dxfId="1309" priority="1"/>
  </conditionalFormatting>
  <conditionalFormatting sqref="T7:T13 X7:X13 Z7:Z13">
    <cfRule type="expression" dxfId="1308" priority="294">
      <formula>AND(S7="",COUNTIF(T7,"*,*")=0)</formula>
    </cfRule>
  </conditionalFormatting>
  <conditionalFormatting sqref="V7:V13">
    <cfRule type="expression" dxfId="1307" priority="295">
      <formula>AND(U7="",FIND(",",V7))</formula>
    </cfRule>
    <cfRule type="expression" dxfId="1306" priority="296">
      <formula>AND(U7="",COUNTIF(V7,"*,*")=0)</formula>
    </cfRule>
  </conditionalFormatting>
  <pageMargins left="0.39370078740157483" right="0.39370078740157483" top="0.78740157480314965" bottom="0.27559055118110237" header="0.59055118110236227" footer="0"/>
  <pageSetup paperSize="9" fitToHeight="0" orientation="portrait" verticalDpi="0" r:id="rId1"/>
  <headerFooter>
    <oddHeader>&amp;R&amp;9Page &amp;P of &amp;N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17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6.570312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5" width="9.140625" style="1"/>
    <col min="16" max="17" width="9.140625" style="1" customWidth="1"/>
    <col min="18" max="18" width="7.7109375" style="1" hidden="1" customWidth="1"/>
    <col min="19" max="19" width="6" style="1" hidden="1" customWidth="1"/>
    <col min="20" max="20" width="16.5703125" style="1" hidden="1" customWidth="1"/>
    <col min="21" max="21" width="6" style="1" hidden="1" customWidth="1"/>
    <col min="22" max="22" width="36.140625" style="1" hidden="1" customWidth="1"/>
    <col min="23" max="23" width="3" style="1" hidden="1" customWidth="1"/>
    <col min="24" max="24" width="17.28515625" style="1" hidden="1" customWidth="1"/>
    <col min="25" max="25" width="3" style="1" hidden="1" customWidth="1"/>
    <col min="26" max="26" width="21.85546875" style="1" hidden="1" customWidth="1"/>
    <col min="27" max="16384" width="9.140625" style="1"/>
  </cols>
  <sheetData>
    <row r="1" spans="1:27" x14ac:dyDescent="0.2">
      <c r="A1" s="753" t="str">
        <f>UPPER((Kalend!E47)&amp;" - "&amp;(Kalend!C47)&amp;" - "&amp;(Kalend!D47))</f>
        <v>V14 - VOKA 2. SISE-KV 14.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Q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"&amp;(Kalend!A47)&amp;" kell "&amp;(Kalend!B47)</f>
        <v>Toimumisaeg: L, 16.03.2019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"&amp;(Kalend!F47)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Q3" s="757"/>
      <c r="R3" s="889" t="s">
        <v>444</v>
      </c>
      <c r="S3" s="760"/>
      <c r="T3" s="760"/>
      <c r="U3" s="760"/>
      <c r="V3" s="760"/>
      <c r="W3" s="760"/>
      <c r="X3" s="760"/>
      <c r="Y3" s="760"/>
      <c r="Z3" s="760"/>
      <c r="AA3" s="757"/>
    </row>
    <row r="4" spans="1:27" x14ac:dyDescent="0.2">
      <c r="A4" s="757" t="str">
        <f>"Korraldaja: "&amp;(Kalend!G47)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61" t="s">
        <v>49</v>
      </c>
      <c r="S4" s="773"/>
      <c r="T4" s="772"/>
      <c r="U4" s="773"/>
      <c r="V4" s="892"/>
      <c r="W4" s="773"/>
      <c r="X4" s="773"/>
      <c r="Y4" s="773"/>
      <c r="Z4" s="773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358</v>
      </c>
      <c r="S5" s="762"/>
      <c r="T5" s="762" t="s">
        <v>359</v>
      </c>
      <c r="U5" s="762"/>
      <c r="V5" s="763" t="s">
        <v>360</v>
      </c>
      <c r="W5" s="762"/>
      <c r="X5" s="762" t="s">
        <v>361</v>
      </c>
      <c r="Y5" s="764"/>
      <c r="Z5" s="762" t="s">
        <v>362</v>
      </c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366</v>
      </c>
      <c r="S6" s="773"/>
      <c r="T6" s="772"/>
      <c r="U6" s="773"/>
      <c r="V6" s="772"/>
      <c r="W6" s="774"/>
      <c r="X6" s="774"/>
      <c r="Y6" s="774"/>
      <c r="Z6" s="774"/>
      <c r="AA6" s="212"/>
    </row>
    <row r="7" spans="1:27" x14ac:dyDescent="0.2">
      <c r="A7" s="765">
        <v>1</v>
      </c>
      <c r="B7" s="940" t="s">
        <v>368</v>
      </c>
      <c r="C7" s="776"/>
      <c r="D7" s="778">
        <v>13</v>
      </c>
      <c r="E7" s="778">
        <v>13</v>
      </c>
      <c r="F7" s="778"/>
      <c r="G7" s="778"/>
      <c r="H7" s="796" t="str">
        <f>(IF(D7-C8&gt;0,1)+IF(E7-C9&gt;0,1)+IF(F7-C10&gt;0,1)+IF(G7-C11&gt;0,1))&amp;"-"&amp;(IF(D7-C8&lt;0,1)+IF(E7-C9&lt;0,1)+IF(F7-C10&lt;0,1)+IF(G7-C11&lt;0,1))</f>
        <v>2-0</v>
      </c>
      <c r="I7" s="778" t="str">
        <f>IF(AND(B7&lt;&gt;"",M$6=TRUE),A$6&amp;RANK(M7,M$7:M$11,0),"")</f>
        <v>A1</v>
      </c>
      <c r="J7" s="821">
        <f>VALUE(LEFT(H7,1))</f>
        <v>2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20000</v>
      </c>
      <c r="N7" s="212"/>
      <c r="O7" s="212"/>
      <c r="P7" s="212"/>
      <c r="Q7" s="212"/>
      <c r="R7" s="764">
        <f t="shared" ref="R7:R38" si="0">SUM(S7:AB7)</f>
        <v>317</v>
      </c>
      <c r="S7" s="784">
        <f>IFERROR(INDEX(V!$R:$R,MATCH(T7,V!$L:$L,0)),"")</f>
        <v>159</v>
      </c>
      <c r="T7" s="783" t="str">
        <f t="shared" ref="T7:T60" si="1">IFERROR(LEFT($B7,(FIND(",",$B7,1)-1)),"")</f>
        <v>Jaan Sepp</v>
      </c>
      <c r="U7" s="784">
        <f>IFERROR(INDEX(V!$R:$R,MATCH(V7,V!$L:$L,0)),"")</f>
        <v>158</v>
      </c>
      <c r="V7" s="783" t="str">
        <f t="shared" ref="V7:V60" si="2">IFERROR(MID($B7,FIND(", ",$B7)+2,256),"")</f>
        <v>Oskar Sepp</v>
      </c>
      <c r="W7" s="784" t="str">
        <f>IFERROR(INDEX(V!$R:$R,MATCH(X7,V!$L:$L,0)),"")</f>
        <v/>
      </c>
      <c r="X7" s="785" t="str">
        <f t="shared" ref="X7:X60" si="3">IFERROR(MID($B7,FIND("^",SUBSTITUTE($B7,", ","^",1))+2,FIND("^",SUBSTITUTE($B7,", ","^",2))-FIND("^",SUBSTITUTE($B7,", ","^",1))-2),"")</f>
        <v/>
      </c>
      <c r="Y7" s="784" t="str">
        <f>IFERROR(INDEX(V!$R:$R,MATCH(Z7,V!$L:$L,0)),"")</f>
        <v/>
      </c>
      <c r="Z7" s="785" t="str">
        <f t="shared" ref="Z7:Z60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552</v>
      </c>
      <c r="C8" s="778">
        <v>2</v>
      </c>
      <c r="D8" s="776"/>
      <c r="E8" s="778">
        <v>13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1-1</v>
      </c>
      <c r="I8" s="778" t="str">
        <f>IF(AND(B8&lt;&gt;"",M$6=TRUE),A$6&amp;RANK(M8,M$7:M$11,0),"")</f>
        <v>A2</v>
      </c>
      <c r="J8" s="821">
        <f t="shared" ref="J8:J11" si="5">VALUE(LEFT(H8,1))</f>
        <v>1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6">10000*J8+K8*100+L8</f>
        <v>10000</v>
      </c>
      <c r="N8" s="212"/>
      <c r="O8" s="212"/>
      <c r="P8" s="212"/>
      <c r="Q8" s="212"/>
      <c r="R8" s="764">
        <f t="shared" si="0"/>
        <v>159.5</v>
      </c>
      <c r="S8" s="784">
        <f>IFERROR(INDEX(V!$R:$R,MATCH(T8,V!$L:$L,0)),"")</f>
        <v>98.5</v>
      </c>
      <c r="T8" s="783" t="str">
        <f t="shared" si="1"/>
        <v>Illar Tõnurist</v>
      </c>
      <c r="U8" s="784">
        <f>IFERROR(INDEX(V!$R:$R,MATCH(V8,V!$L:$L,0)),"")</f>
        <v>61</v>
      </c>
      <c r="V8" s="783" t="str">
        <f t="shared" si="2"/>
        <v>Henri Mitt</v>
      </c>
      <c r="W8" s="784" t="str">
        <f>IFERROR(INDEX(V!$R:$R,MATCH(X8,V!$L:$L,0)),"")</f>
        <v/>
      </c>
      <c r="X8" s="785" t="str">
        <f t="shared" si="3"/>
        <v/>
      </c>
      <c r="Y8" s="78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487</v>
      </c>
      <c r="C9" s="778">
        <v>2</v>
      </c>
      <c r="D9" s="787">
        <v>9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0-2</v>
      </c>
      <c r="I9" s="778" t="str">
        <f>IF(AND(B9&lt;&gt;"",M$6=TRUE),A$6&amp;RANK(M9,M$7:M$11,0),"")</f>
        <v>A3</v>
      </c>
      <c r="J9" s="821">
        <f t="shared" si="5"/>
        <v>0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6"/>
        <v>0</v>
      </c>
      <c r="N9" s="212"/>
      <c r="O9" s="212"/>
      <c r="P9" s="803"/>
      <c r="Q9" s="212"/>
      <c r="R9" s="764">
        <f t="shared" si="0"/>
        <v>119.5</v>
      </c>
      <c r="S9" s="784">
        <f>IFERROR(INDEX(V!$R:$R,MATCH(T9,V!$L:$L,0)),"")</f>
        <v>97.5</v>
      </c>
      <c r="T9" s="783" t="str">
        <f t="shared" si="1"/>
        <v>Klavdia Piik</v>
      </c>
      <c r="U9" s="784">
        <f>IFERROR(INDEX(V!$R:$R,MATCH(V9,V!$L:$L,0)),"")</f>
        <v>22</v>
      </c>
      <c r="V9" s="783" t="str">
        <f t="shared" si="2"/>
        <v>Melika Lehtla</v>
      </c>
      <c r="W9" s="784" t="str">
        <f>IFERROR(INDEX(V!$R:$R,MATCH(X9,V!$L:$L,0)),"")</f>
        <v/>
      </c>
      <c r="X9" s="785" t="str">
        <f t="shared" si="3"/>
        <v/>
      </c>
      <c r="Y9" s="784" t="str">
        <f>IFERROR(INDEX(V!$R:$R,MATCH(Z9,V!$L:$L,0)),"")</f>
        <v/>
      </c>
      <c r="Z9" s="785" t="str">
        <f t="shared" si="4"/>
        <v/>
      </c>
      <c r="AA9" s="212"/>
    </row>
    <row r="10" spans="1:27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5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6"/>
        <v>0</v>
      </c>
      <c r="N10" s="212"/>
      <c r="O10" s="212"/>
      <c r="P10" s="212"/>
      <c r="Q10" s="212"/>
      <c r="R10" s="764">
        <f t="shared" si="0"/>
        <v>0</v>
      </c>
      <c r="S10" s="784" t="str">
        <f>IFERROR(INDEX(V!$R:$R,MATCH(T10,V!$L:$L,0)),"")</f>
        <v/>
      </c>
      <c r="T10" s="783" t="str">
        <f t="shared" si="1"/>
        <v/>
      </c>
      <c r="U10" s="784" t="str">
        <f>IFERROR(INDEX(V!$R:$R,MATCH(V10,V!$L:$L,0)),"")</f>
        <v/>
      </c>
      <c r="V10" s="783" t="str">
        <f t="shared" si="2"/>
        <v/>
      </c>
      <c r="W10" s="784" t="str">
        <f>IFERROR(INDEX(V!$R:$R,MATCH(X10,V!$L:$L,0)),"")</f>
        <v/>
      </c>
      <c r="X10" s="785" t="str">
        <f t="shared" si="3"/>
        <v/>
      </c>
      <c r="Y10" s="784" t="str">
        <f>IFERROR(INDEX(V!$R:$R,MATCH(Z10,V!$L:$L,0)),"")</f>
        <v/>
      </c>
      <c r="Z10" s="785" t="str">
        <f t="shared" si="4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5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6"/>
        <v>0</v>
      </c>
      <c r="O11" s="212"/>
      <c r="P11" s="212"/>
      <c r="Q11" s="212"/>
      <c r="R11" s="764">
        <f t="shared" si="0"/>
        <v>0</v>
      </c>
      <c r="S11" s="784" t="str">
        <f>IFERROR(INDEX(V!$R:$R,MATCH(T11,V!$L:$L,0)),"")</f>
        <v/>
      </c>
      <c r="T11" s="783" t="str">
        <f t="shared" si="1"/>
        <v/>
      </c>
      <c r="U11" s="784" t="str">
        <f>IFERROR(INDEX(V!$R:$R,MATCH(V11,V!$L:$L,0)),"")</f>
        <v/>
      </c>
      <c r="V11" s="783" t="str">
        <f t="shared" si="2"/>
        <v/>
      </c>
      <c r="W11" s="784" t="str">
        <f>IFERROR(INDEX(V!$R:$R,MATCH(X11,V!$L:$L,0)),"")</f>
        <v/>
      </c>
      <c r="X11" s="785" t="str">
        <f t="shared" si="3"/>
        <v/>
      </c>
      <c r="Y11" s="78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0"/>
        <v>0</v>
      </c>
      <c r="S12" s="784" t="str">
        <f>IFERROR(INDEX(V!$R:$R,MATCH(T12,V!$L:$L,0)),"")</f>
        <v/>
      </c>
      <c r="T12" s="783" t="str">
        <f t="shared" si="1"/>
        <v/>
      </c>
      <c r="U12" s="784" t="str">
        <f>IFERROR(INDEX(V!$R:$R,MATCH(V12,V!$L:$L,0)),"")</f>
        <v/>
      </c>
      <c r="V12" s="783" t="str">
        <f t="shared" si="2"/>
        <v/>
      </c>
      <c r="W12" s="784" t="str">
        <f>IFERROR(INDEX(V!$R:$R,MATCH(X12,V!$L:$L,0)),"")</f>
        <v/>
      </c>
      <c r="X12" s="785" t="str">
        <f t="shared" si="3"/>
        <v/>
      </c>
      <c r="Y12" s="78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>
        <v>4</v>
      </c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64">
        <f t="shared" si="0"/>
        <v>0</v>
      </c>
      <c r="S13" s="784" t="str">
        <f>IFERROR(INDEX(V!$R:$R,MATCH(T13,V!$L:$L,0)),"")</f>
        <v/>
      </c>
      <c r="T13" s="783" t="str">
        <f t="shared" si="1"/>
        <v/>
      </c>
      <c r="U13" s="784" t="str">
        <f>IFERROR(INDEX(V!$R:$R,MATCH(V13,V!$L:$L,0)),"")</f>
        <v/>
      </c>
      <c r="V13" s="783" t="str">
        <f t="shared" si="2"/>
        <v/>
      </c>
      <c r="W13" s="784" t="str">
        <f>IFERROR(INDEX(V!$R:$R,MATCH(X13,V!$L:$L,0)),"")</f>
        <v/>
      </c>
      <c r="X13" s="785" t="str">
        <f t="shared" si="3"/>
        <v/>
      </c>
      <c r="Y13" s="78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65">
        <v>1</v>
      </c>
      <c r="B14" s="948" t="s">
        <v>553</v>
      </c>
      <c r="C14" s="776"/>
      <c r="D14" s="778">
        <v>1</v>
      </c>
      <c r="E14" s="778">
        <v>7</v>
      </c>
      <c r="F14" s="778">
        <v>2</v>
      </c>
      <c r="G14" s="778"/>
      <c r="H14" s="796" t="str">
        <f>(IF(D14-C15&gt;0,1)+IF(E14-C16&gt;0,1)+IF(F14-C17&gt;0,1)+IF(G14-C18&gt;0,1))&amp;"-"&amp;(IF(D14-C15&lt;0,1)+IF(E14-C16&lt;0,1)+IF(F14-C17&lt;0,1)+IF(G14-C18&lt;0,1))</f>
        <v>0-3</v>
      </c>
      <c r="I14" s="778" t="str">
        <f>IF(AND(B14&lt;&gt;"",M$6=TRUE),A$13&amp;RANK(M14,M$14:M$18,0),"")</f>
        <v>B4</v>
      </c>
      <c r="J14" s="821">
        <f>VALUE(LEFT(H14,1))</f>
        <v>0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0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0</v>
      </c>
      <c r="M14" s="824">
        <f>10000*J14+K14*100+L14</f>
        <v>0</v>
      </c>
      <c r="N14" s="950"/>
      <c r="O14" s="770"/>
      <c r="P14" s="770"/>
      <c r="Q14" s="770"/>
      <c r="R14" s="764">
        <f t="shared" si="0"/>
        <v>248.5</v>
      </c>
      <c r="S14" s="784">
        <f>IFERROR(INDEX(V!$R:$R,MATCH(T14,V!$L:$L,0)),"")</f>
        <v>123.5</v>
      </c>
      <c r="T14" s="783" t="str">
        <f t="shared" si="1"/>
        <v>Karla Purgats</v>
      </c>
      <c r="U14" s="784">
        <f>IFERROR(INDEX(V!$R:$R,MATCH(V14,V!$L:$L,0)),"")</f>
        <v>125</v>
      </c>
      <c r="V14" s="783" t="str">
        <f t="shared" si="2"/>
        <v>Meelis Luud</v>
      </c>
      <c r="W14" s="784" t="str">
        <f>IFERROR(INDEX(V!$R:$R,MATCH(X14,V!$L:$L,0)),"")</f>
        <v/>
      </c>
      <c r="X14" s="785" t="str">
        <f t="shared" si="3"/>
        <v/>
      </c>
      <c r="Y14" s="784" t="str">
        <f>IFERROR(INDEX(V!$R:$R,MATCH(Z14,V!$L:$L,0)),"")</f>
        <v/>
      </c>
      <c r="Z14" s="785" t="str">
        <f t="shared" si="4"/>
        <v/>
      </c>
      <c r="AA14" s="757"/>
    </row>
    <row r="15" spans="1:27" x14ac:dyDescent="0.2">
      <c r="A15" s="765">
        <v>2</v>
      </c>
      <c r="B15" s="940" t="s">
        <v>407</v>
      </c>
      <c r="C15" s="778">
        <v>13</v>
      </c>
      <c r="D15" s="776"/>
      <c r="E15" s="778">
        <v>13</v>
      </c>
      <c r="F15" s="778">
        <v>13</v>
      </c>
      <c r="G15" s="778"/>
      <c r="H15" s="796" t="str">
        <f>(IF(C15-D14&gt;0,1)+IF(E15-D16&gt;0,1)+IF(F15-D17&gt;0,1)+IF(G15-D18&gt;0,1))&amp;"-"&amp;(IF(C15-D14&lt;0,1)+IF(E15-D16&lt;0,1)+IF(F15-D17&lt;0,1)+IF(G15-D18&lt;0,1))</f>
        <v>3-0</v>
      </c>
      <c r="I15" s="778" t="str">
        <f>IF(AND(B15&lt;&gt;"",M$6=TRUE),A$13&amp;RANK(M15,M$14:M$18,0),"")</f>
        <v>B1</v>
      </c>
      <c r="J15" s="821">
        <f t="shared" ref="J15:J18" si="7">VALUE(LEFT(H15,1))</f>
        <v>3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0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0</v>
      </c>
      <c r="M15" s="824">
        <f t="shared" ref="M15:M18" si="8">10000*J15+K15*100+L15</f>
        <v>30000</v>
      </c>
      <c r="O15" s="770"/>
      <c r="P15" s="770"/>
      <c r="Q15" s="770"/>
      <c r="R15" s="764">
        <f t="shared" si="0"/>
        <v>186</v>
      </c>
      <c r="S15" s="784">
        <f>IFERROR(INDEX(V!$R:$R,MATCH(T15,V!$L:$L,0)),"")</f>
        <v>120</v>
      </c>
      <c r="T15" s="783" t="str">
        <f t="shared" si="1"/>
        <v>Ivar Viljaste</v>
      </c>
      <c r="U15" s="784">
        <f>IFERROR(INDEX(V!$R:$R,MATCH(V15,V!$L:$L,0)),"")</f>
        <v>66</v>
      </c>
      <c r="V15" s="783" t="str">
        <f t="shared" si="2"/>
        <v>Sirje Viljaste</v>
      </c>
      <c r="W15" s="784" t="str">
        <f>IFERROR(INDEX(V!$R:$R,MATCH(X15,V!$L:$L,0)),"")</f>
        <v/>
      </c>
      <c r="X15" s="785" t="str">
        <f t="shared" si="3"/>
        <v/>
      </c>
      <c r="Y15" s="784" t="str">
        <f>IFERROR(INDEX(V!$R:$R,MATCH(Z15,V!$L:$L,0)),"")</f>
        <v/>
      </c>
      <c r="Z15" s="785" t="str">
        <f t="shared" si="4"/>
        <v/>
      </c>
      <c r="AA15" s="757"/>
    </row>
    <row r="16" spans="1:27" x14ac:dyDescent="0.2">
      <c r="A16" s="765">
        <v>3</v>
      </c>
      <c r="B16" s="775" t="s">
        <v>554</v>
      </c>
      <c r="C16" s="778">
        <v>13</v>
      </c>
      <c r="D16" s="787">
        <v>2</v>
      </c>
      <c r="E16" s="776"/>
      <c r="F16" s="778">
        <v>13</v>
      </c>
      <c r="G16" s="778"/>
      <c r="H16" s="796" t="str">
        <f>(IF(C16-E14&gt;0,1)+IF(D16-E15&gt;0,1)+IF(F16-E17&gt;0,1)+IF(G16-E18&gt;0,1))&amp;"-"&amp;(IF(C16-E14&lt;0,1)+IF(D16-E15&lt;0,1)+IF(F16-E17&lt;0,1)+IF(G16-E18&lt;0,1))</f>
        <v>2-1</v>
      </c>
      <c r="I16" s="778" t="str">
        <f>IF(AND(B16&lt;&gt;"",M$6=TRUE),A$13&amp;RANK(M16,M$14:M$18,0),"")</f>
        <v>B2</v>
      </c>
      <c r="J16" s="821">
        <f t="shared" si="7"/>
        <v>2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8"/>
        <v>20000</v>
      </c>
      <c r="O16" s="770"/>
      <c r="P16" s="770"/>
      <c r="Q16" s="770"/>
      <c r="R16" s="764">
        <f t="shared" si="0"/>
        <v>118</v>
      </c>
      <c r="S16" s="784">
        <f>IFERROR(INDEX(V!$R:$R,MATCH(T16,V!$L:$L,0)),"")</f>
        <v>94</v>
      </c>
      <c r="T16" s="783" t="str">
        <f t="shared" si="1"/>
        <v>Johannes Neiland</v>
      </c>
      <c r="U16" s="784">
        <f>IFERROR(INDEX(V!$R:$R,MATCH(V16,V!$L:$L,0)),"")</f>
        <v>24</v>
      </c>
      <c r="V16" s="783" t="str">
        <f t="shared" si="2"/>
        <v>Kristiin-Marleen Neiland</v>
      </c>
      <c r="W16" s="784" t="str">
        <f>IFERROR(INDEX(V!$R:$R,MATCH(X16,V!$L:$L,0)),"")</f>
        <v/>
      </c>
      <c r="X16" s="785" t="str">
        <f t="shared" si="3"/>
        <v/>
      </c>
      <c r="Y16" s="784" t="str">
        <f>IFERROR(INDEX(V!$R:$R,MATCH(Z16,V!$L:$L,0)),"")</f>
        <v/>
      </c>
      <c r="Z16" s="785" t="str">
        <f t="shared" si="4"/>
        <v/>
      </c>
      <c r="AA16" s="757"/>
    </row>
    <row r="17" spans="1:27" x14ac:dyDescent="0.2">
      <c r="A17" s="765">
        <v>4</v>
      </c>
      <c r="B17" s="792" t="s">
        <v>438</v>
      </c>
      <c r="C17" s="778">
        <v>13</v>
      </c>
      <c r="D17" s="787">
        <v>6</v>
      </c>
      <c r="E17" s="778">
        <v>7</v>
      </c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1-2</v>
      </c>
      <c r="I17" s="778" t="str">
        <f>IF(AND(B17&lt;&gt;"",M$6=TRUE),A$13&amp;RANK(M17,M$14:M$18,0),"")</f>
        <v>B3</v>
      </c>
      <c r="J17" s="821">
        <f t="shared" si="7"/>
        <v>1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8"/>
        <v>10000</v>
      </c>
      <c r="O17" s="770"/>
      <c r="P17" s="757"/>
      <c r="Q17" s="770"/>
      <c r="R17" s="764">
        <f t="shared" si="0"/>
        <v>18</v>
      </c>
      <c r="S17" s="784">
        <f>IFERROR(INDEX(V!$R:$R,MATCH(T17,V!$L:$L,0)),"")</f>
        <v>9</v>
      </c>
      <c r="T17" s="783" t="str">
        <f t="shared" si="1"/>
        <v>Heili Vasser</v>
      </c>
      <c r="U17" s="784">
        <f>IFERROR(INDEX(V!$R:$R,MATCH(V17,V!$L:$L,0)),"")</f>
        <v>9</v>
      </c>
      <c r="V17" s="783" t="str">
        <f t="shared" si="2"/>
        <v>Vello Vasser</v>
      </c>
      <c r="W17" s="784" t="str">
        <f>IFERROR(INDEX(V!$R:$R,MATCH(X17,V!$L:$L,0)),"")</f>
        <v/>
      </c>
      <c r="X17" s="785" t="str">
        <f t="shared" si="3"/>
        <v/>
      </c>
      <c r="Y17" s="784" t="str">
        <f>IFERROR(INDEX(V!$R:$R,MATCH(Z17,V!$L:$L,0)),"")</f>
        <v/>
      </c>
      <c r="Z17" s="785" t="str">
        <f t="shared" si="4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IF(AND(B18&lt;&gt;"",M$6=TRUE),A$13&amp;RANK(M18,M$14:M$18,0),"")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0"/>
        <v>0</v>
      </c>
      <c r="S18" s="784" t="str">
        <f>IFERROR(INDEX(V!$R:$R,MATCH(T18,V!$L:$L,0)),"")</f>
        <v/>
      </c>
      <c r="T18" s="783" t="str">
        <f t="shared" si="1"/>
        <v/>
      </c>
      <c r="U18" s="784" t="str">
        <f>IFERROR(INDEX(V!$R:$R,MATCH(V18,V!$L:$L,0)),"")</f>
        <v/>
      </c>
      <c r="V18" s="783" t="str">
        <f t="shared" si="2"/>
        <v/>
      </c>
      <c r="W18" s="784" t="str">
        <f>IFERROR(INDEX(V!$R:$R,MATCH(X18,V!$L:$L,0)),"")</f>
        <v/>
      </c>
      <c r="X18" s="785" t="str">
        <f t="shared" si="3"/>
        <v/>
      </c>
      <c r="Y18" s="784" t="str">
        <f>IFERROR(INDEX(V!$R:$R,MATCH(Z18,V!$L:$L,0)),"")</f>
        <v/>
      </c>
      <c r="Z18" s="785" t="str">
        <f t="shared" si="4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0"/>
        <v>0</v>
      </c>
      <c r="S19" s="784" t="str">
        <f>IFERROR(INDEX(V!$R:$R,MATCH(T19,V!$L:$L,0)),"")</f>
        <v/>
      </c>
      <c r="T19" s="783" t="str">
        <f t="shared" si="1"/>
        <v/>
      </c>
      <c r="U19" s="784" t="str">
        <f>IFERROR(INDEX(V!$R:$R,MATCH(V19,V!$L:$L,0)),"")</f>
        <v/>
      </c>
      <c r="V19" s="783" t="str">
        <f t="shared" si="2"/>
        <v/>
      </c>
      <c r="W19" s="784" t="str">
        <f>IFERROR(INDEX(V!$R:$R,MATCH(X19,V!$L:$L,0)),"")</f>
        <v/>
      </c>
      <c r="X19" s="785" t="str">
        <f t="shared" si="3"/>
        <v/>
      </c>
      <c r="Y19" s="784" t="str">
        <f>IFERROR(INDEX(V!$R:$R,MATCH(Z19,V!$L:$L,0)),"")</f>
        <v/>
      </c>
      <c r="Z19" s="785" t="str">
        <f t="shared" si="4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0"/>
        <v>0</v>
      </c>
      <c r="S20" s="784" t="str">
        <f>IFERROR(INDEX(V!$R:$R,MATCH(T20,V!$L:$L,0)),"")</f>
        <v/>
      </c>
      <c r="T20" s="783" t="str">
        <f t="shared" si="1"/>
        <v/>
      </c>
      <c r="U20" s="784" t="str">
        <f>IFERROR(INDEX(V!$R:$R,MATCH(V20,V!$L:$L,0)),"")</f>
        <v/>
      </c>
      <c r="V20" s="783" t="str">
        <f t="shared" si="2"/>
        <v/>
      </c>
      <c r="W20" s="784" t="str">
        <f>IFERROR(INDEX(V!$R:$R,MATCH(X20,V!$L:$L,0)),"")</f>
        <v/>
      </c>
      <c r="X20" s="785" t="str">
        <f t="shared" si="3"/>
        <v/>
      </c>
      <c r="Y20" s="784" t="str">
        <f>IFERROR(INDEX(V!$R:$R,MATCH(Z20,V!$L:$L,0)),"")</f>
        <v/>
      </c>
      <c r="Z20" s="785" t="str">
        <f t="shared" si="4"/>
        <v/>
      </c>
      <c r="AA20" s="755"/>
    </row>
    <row r="21" spans="1:27" x14ac:dyDescent="0.2">
      <c r="A21" s="765">
        <v>1</v>
      </c>
      <c r="B21" s="940" t="s">
        <v>555</v>
      </c>
      <c r="C21" s="776"/>
      <c r="D21" s="778">
        <v>13</v>
      </c>
      <c r="E21" s="778">
        <v>13</v>
      </c>
      <c r="F21" s="778">
        <v>13</v>
      </c>
      <c r="G21" s="778"/>
      <c r="H21" s="796" t="str">
        <f>(IF(D21-C22&gt;0,1)+IF(E21-C23&gt;0,1)+IF(F21-C24&gt;0,1)+IF(G21-C25&gt;0,1))&amp;"-"&amp;(IF(D21-C22&lt;0,1)+IF(E21-C23&lt;0,1)+IF(F21-C24&lt;0,1)+IF(G21-C25&lt;0,1))</f>
        <v>3-0</v>
      </c>
      <c r="I21" s="778" t="str">
        <f>IF(AND(B21&lt;&gt;"",M$20=TRUE),A$20&amp;RANK(M21,M$21:M$25,0),"")</f>
        <v>C1</v>
      </c>
      <c r="J21" s="821">
        <f>VALUE(LEFT(H21,1))</f>
        <v>3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0</v>
      </c>
      <c r="M21" s="824">
        <f>10000*J21+K21*100+L21</f>
        <v>30000</v>
      </c>
      <c r="O21" s="770"/>
      <c r="P21" s="770"/>
      <c r="Q21" s="770"/>
      <c r="R21" s="764">
        <f t="shared" si="0"/>
        <v>229.5</v>
      </c>
      <c r="S21" s="784">
        <f>IFERROR(INDEX(V!$R:$R,MATCH(T21,V!$L:$L,0)),"")</f>
        <v>123</v>
      </c>
      <c r="T21" s="783" t="str">
        <f t="shared" si="1"/>
        <v>Tõnu Piik</v>
      </c>
      <c r="U21" s="784">
        <f>IFERROR(INDEX(V!$R:$R,MATCH(V21,V!$L:$L,0)),"")</f>
        <v>106.5</v>
      </c>
      <c r="V21" s="783" t="str">
        <f t="shared" si="2"/>
        <v>Ülo Piik</v>
      </c>
      <c r="W21" s="784" t="str">
        <f>IFERROR(INDEX(V!$R:$R,MATCH(X21,V!$L:$L,0)),"")</f>
        <v/>
      </c>
      <c r="X21" s="785" t="str">
        <f t="shared" si="3"/>
        <v/>
      </c>
      <c r="Y21" s="784" t="str">
        <f>IFERROR(INDEX(V!$R:$R,MATCH(Z21,V!$L:$L,0)),"")</f>
        <v/>
      </c>
      <c r="Z21" s="785" t="str">
        <f t="shared" si="4"/>
        <v/>
      </c>
      <c r="AA21" s="757"/>
    </row>
    <row r="22" spans="1:27" x14ac:dyDescent="0.2">
      <c r="A22" s="765">
        <v>2</v>
      </c>
      <c r="B22" s="775" t="s">
        <v>369</v>
      </c>
      <c r="C22" s="778">
        <v>11</v>
      </c>
      <c r="D22" s="776"/>
      <c r="E22" s="778">
        <v>10</v>
      </c>
      <c r="F22" s="778">
        <v>13</v>
      </c>
      <c r="G22" s="778"/>
      <c r="H22" s="796" t="str">
        <f>(IF(C22-D21&gt;0,1)+IF(E22-D23&gt;0,1)+IF(F22-D24&gt;0,1)+IF(G22-D25&gt;0,1))&amp;"-"&amp;(IF(C22-D21&lt;0,1)+IF(E22-D23&lt;0,1)+IF(F22-D24&lt;0,1)+IF(G22-D25&lt;0,1))</f>
        <v>1-2</v>
      </c>
      <c r="I22" s="778" t="str">
        <f>IF(AND(B22&lt;&gt;"",M$20=TRUE),A$20&amp;RANK(M22,M$21:M$25,0),"")</f>
        <v>C3</v>
      </c>
      <c r="J22" s="821">
        <f t="shared" ref="J22:J25" si="9">VALUE(LEFT(H22,1))</f>
        <v>1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0</v>
      </c>
      <c r="M22" s="824">
        <f t="shared" ref="M22:M25" si="10">10000*J22+K22*100+L22</f>
        <v>10000</v>
      </c>
      <c r="O22" s="770"/>
      <c r="P22" s="770"/>
      <c r="Q22" s="770"/>
      <c r="R22" s="764">
        <f t="shared" si="0"/>
        <v>164</v>
      </c>
      <c r="S22" s="784">
        <f>IFERROR(INDEX(V!$R:$R,MATCH(T22,V!$L:$L,0)),"")</f>
        <v>88</v>
      </c>
      <c r="T22" s="783" t="str">
        <f t="shared" si="1"/>
        <v>Enn Tokman</v>
      </c>
      <c r="U22" s="784">
        <f>IFERROR(INDEX(V!$R:$R,MATCH(V22,V!$L:$L,0)),"")</f>
        <v>76</v>
      </c>
      <c r="V22" s="783" t="str">
        <f t="shared" si="2"/>
        <v>Tarmo Bombe</v>
      </c>
      <c r="W22" s="784" t="str">
        <f>IFERROR(INDEX(V!$R:$R,MATCH(X22,V!$L:$L,0)),"")</f>
        <v/>
      </c>
      <c r="X22" s="785" t="str">
        <f t="shared" si="3"/>
        <v/>
      </c>
      <c r="Y22" s="784" t="str">
        <f>IFERROR(INDEX(V!$R:$R,MATCH(Z22,V!$L:$L,0)),"")</f>
        <v/>
      </c>
      <c r="Z22" s="785" t="str">
        <f t="shared" si="4"/>
        <v/>
      </c>
      <c r="AA22" s="757"/>
    </row>
    <row r="23" spans="1:27" x14ac:dyDescent="0.2">
      <c r="A23" s="765">
        <v>3</v>
      </c>
      <c r="B23" s="775" t="s">
        <v>460</v>
      </c>
      <c r="C23" s="778">
        <v>8</v>
      </c>
      <c r="D23" s="787">
        <v>13</v>
      </c>
      <c r="E23" s="776"/>
      <c r="F23" s="778">
        <v>13</v>
      </c>
      <c r="G23" s="778"/>
      <c r="H23" s="796" t="str">
        <f>(IF(C23-E21&gt;0,1)+IF(D23-E22&gt;0,1)+IF(F23-E24&gt;0,1)+IF(G23-E25&gt;0,1))&amp;"-"&amp;(IF(C23-E21&lt;0,1)+IF(D23-E22&lt;0,1)+IF(F23-E24&lt;0,1)+IF(G23-E25&lt;0,1))</f>
        <v>2-1</v>
      </c>
      <c r="I23" s="778" t="str">
        <f>IF(AND(B23&lt;&gt;"",M$20=TRUE),A$20&amp;RANK(M23,M$21:M$25,0),"")</f>
        <v>C2</v>
      </c>
      <c r="J23" s="821">
        <f t="shared" si="9"/>
        <v>2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0</v>
      </c>
      <c r="M23" s="824">
        <f t="shared" si="10"/>
        <v>20000</v>
      </c>
      <c r="O23" s="770"/>
      <c r="P23" s="770"/>
      <c r="Q23" s="770"/>
      <c r="R23" s="764">
        <f t="shared" si="0"/>
        <v>93</v>
      </c>
      <c r="S23" s="784">
        <f>IFERROR(INDEX(V!$R:$R,MATCH(T23,V!$L:$L,0)),"")</f>
        <v>46.5</v>
      </c>
      <c r="T23" s="783" t="str">
        <f t="shared" si="1"/>
        <v>Ljudmila Varendi</v>
      </c>
      <c r="U23" s="784">
        <f>IFERROR(INDEX(V!$R:$R,MATCH(V23,V!$L:$L,0)),"")</f>
        <v>46.5</v>
      </c>
      <c r="V23" s="783" t="str">
        <f t="shared" si="2"/>
        <v>Viktor Švarõgin</v>
      </c>
      <c r="W23" s="784" t="str">
        <f>IFERROR(INDEX(V!$R:$R,MATCH(X23,V!$L:$L,0)),"")</f>
        <v/>
      </c>
      <c r="X23" s="785" t="str">
        <f t="shared" si="3"/>
        <v/>
      </c>
      <c r="Y23" s="784" t="str">
        <f>IFERROR(INDEX(V!$R:$R,MATCH(Z23,V!$L:$L,0)),"")</f>
        <v/>
      </c>
      <c r="Z23" s="785" t="str">
        <f t="shared" si="4"/>
        <v/>
      </c>
      <c r="AA23" s="757"/>
    </row>
    <row r="24" spans="1:27" x14ac:dyDescent="0.2">
      <c r="A24" s="765">
        <v>4</v>
      </c>
      <c r="B24" s="775" t="s">
        <v>514</v>
      </c>
      <c r="C24" s="778">
        <v>3</v>
      </c>
      <c r="D24" s="787">
        <v>5</v>
      </c>
      <c r="E24" s="778">
        <v>11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0-3</v>
      </c>
      <c r="I24" s="778" t="str">
        <f>IF(AND(B24&lt;&gt;"",M$20=TRUE),A$20&amp;RANK(M24,M$21:M$25,0),"")</f>
        <v>C4</v>
      </c>
      <c r="J24" s="821">
        <f t="shared" si="9"/>
        <v>0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0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10"/>
        <v>0</v>
      </c>
      <c r="O24" s="770"/>
      <c r="P24" s="770"/>
      <c r="Q24" s="770"/>
      <c r="R24" s="764">
        <f t="shared" si="0"/>
        <v>31</v>
      </c>
      <c r="S24" s="784">
        <f>IFERROR(INDEX(V!$R:$R,MATCH(T24,V!$L:$L,0)),"")</f>
        <v>16</v>
      </c>
      <c r="T24" s="783" t="str">
        <f t="shared" si="1"/>
        <v>Ksenija Matšneva</v>
      </c>
      <c r="U24" s="784">
        <f>IFERROR(INDEX(V!$R:$R,MATCH(V24,V!$L:$L,0)),"")</f>
        <v>15</v>
      </c>
      <c r="V24" s="783" t="str">
        <f t="shared" si="2"/>
        <v>Veroonika Mendes</v>
      </c>
      <c r="W24" s="784" t="str">
        <f>IFERROR(INDEX(V!$R:$R,MATCH(X24,V!$L:$L,0)),"")</f>
        <v/>
      </c>
      <c r="X24" s="785" t="str">
        <f t="shared" si="3"/>
        <v/>
      </c>
      <c r="Y24" s="784" t="str">
        <f>IFERROR(INDEX(V!$R:$R,MATCH(Z24,V!$L:$L,0)),"")</f>
        <v/>
      </c>
      <c r="Z24" s="785" t="str">
        <f t="shared" si="4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0"/>
        <v>0</v>
      </c>
      <c r="S25" s="784" t="str">
        <f>IFERROR(INDEX(V!$R:$R,MATCH(T25,V!$L:$L,0)),"")</f>
        <v/>
      </c>
      <c r="T25" s="783" t="str">
        <f t="shared" si="1"/>
        <v/>
      </c>
      <c r="U25" s="784" t="str">
        <f>IFERROR(INDEX(V!$R:$R,MATCH(V25,V!$L:$L,0)),"")</f>
        <v/>
      </c>
      <c r="V25" s="783" t="str">
        <f t="shared" si="2"/>
        <v/>
      </c>
      <c r="W25" s="784" t="str">
        <f>IFERROR(INDEX(V!$R:$R,MATCH(X25,V!$L:$L,0)),"")</f>
        <v/>
      </c>
      <c r="X25" s="785" t="str">
        <f t="shared" si="3"/>
        <v/>
      </c>
      <c r="Y25" s="784" t="str">
        <f>IFERROR(INDEX(V!$R:$R,MATCH(Z25,V!$L:$L,0)),"")</f>
        <v/>
      </c>
      <c r="Z25" s="785" t="str">
        <f t="shared" si="4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0"/>
        <v>0</v>
      </c>
      <c r="S26" s="784" t="str">
        <f>IFERROR(INDEX(V!$R:$R,MATCH(T26,V!$L:$L,0)),"")</f>
        <v/>
      </c>
      <c r="T26" s="783" t="str">
        <f t="shared" si="1"/>
        <v/>
      </c>
      <c r="U26" s="784" t="str">
        <f>IFERROR(INDEX(V!$R:$R,MATCH(V26,V!$L:$L,0)),"")</f>
        <v/>
      </c>
      <c r="V26" s="783" t="str">
        <f t="shared" si="2"/>
        <v/>
      </c>
      <c r="W26" s="784" t="str">
        <f>IFERROR(INDEX(V!$R:$R,MATCH(X26,V!$L:$L,0)),"")</f>
        <v/>
      </c>
      <c r="X26" s="785" t="str">
        <f t="shared" si="3"/>
        <v/>
      </c>
      <c r="Y26" s="784" t="str">
        <f>IFERROR(INDEX(V!$R:$R,MATCH(Z26,V!$L:$L,0)),"")</f>
        <v/>
      </c>
      <c r="Z26" s="785" t="str">
        <f t="shared" si="4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0"/>
        <v>0</v>
      </c>
      <c r="S27" s="784" t="str">
        <f>IFERROR(INDEX(V!$R:$R,MATCH(T27,V!$L:$L,0)),"")</f>
        <v/>
      </c>
      <c r="T27" s="783" t="str">
        <f t="shared" si="1"/>
        <v/>
      </c>
      <c r="U27" s="784" t="str">
        <f>IFERROR(INDEX(V!$R:$R,MATCH(V27,V!$L:$L,0)),"")</f>
        <v/>
      </c>
      <c r="V27" s="783" t="str">
        <f t="shared" si="2"/>
        <v/>
      </c>
      <c r="W27" s="784" t="str">
        <f>IFERROR(INDEX(V!$R:$R,MATCH(X27,V!$L:$L,0)),"")</f>
        <v/>
      </c>
      <c r="X27" s="785" t="str">
        <f t="shared" si="3"/>
        <v/>
      </c>
      <c r="Y27" s="784" t="str">
        <f>IFERROR(INDEX(V!$R:$R,MATCH(Z27,V!$L:$L,0)),"")</f>
        <v/>
      </c>
      <c r="Z27" s="785" t="str">
        <f t="shared" si="4"/>
        <v/>
      </c>
      <c r="AA27" s="760"/>
    </row>
    <row r="28" spans="1:27" x14ac:dyDescent="0.2">
      <c r="A28" s="765">
        <v>1</v>
      </c>
      <c r="B28" s="820" t="s">
        <v>459</v>
      </c>
      <c r="C28" s="776"/>
      <c r="D28" s="778">
        <v>13</v>
      </c>
      <c r="E28" s="778">
        <v>13</v>
      </c>
      <c r="F28" s="778">
        <v>13</v>
      </c>
      <c r="G28" s="778"/>
      <c r="H28" s="796" t="str">
        <f>(IF(D28-C29&gt;0,1)+IF(E28-C30&gt;0,1)+IF(F28-C31&gt;0,1)+IF(G28-C32&gt;0,1))&amp;"-"&amp;(IF(D28-C29&lt;0,1)+IF(E28-C30&lt;0,1)+IF(F28-C31&lt;0,1)+IF(G28-C32&lt;0,1))</f>
        <v>3-0</v>
      </c>
      <c r="I28" s="778" t="str">
        <f>IF(AND(B28&lt;&gt;"",M$27=TRUE),A$27&amp;RANK(M28,M$28:M$32,0),"")</f>
        <v>D1</v>
      </c>
      <c r="J28" s="821">
        <f>VALUE(LEFT(H28,1))</f>
        <v>3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30000</v>
      </c>
      <c r="O28" s="212"/>
      <c r="P28" s="212"/>
      <c r="Q28" s="212"/>
      <c r="R28" s="764">
        <f t="shared" si="0"/>
        <v>215.5</v>
      </c>
      <c r="S28" s="784">
        <f>IFERROR(INDEX(V!$R:$R,MATCH(T28,V!$L:$L,0)),"")</f>
        <v>105.5</v>
      </c>
      <c r="T28" s="783" t="str">
        <f t="shared" si="1"/>
        <v>Mait Metsla</v>
      </c>
      <c r="U28" s="784">
        <f>IFERROR(INDEX(V!$R:$R,MATCH(V28,V!$L:$L,0)),"")</f>
        <v>110</v>
      </c>
      <c r="V28" s="783" t="str">
        <f t="shared" si="2"/>
        <v>Matti Vinni</v>
      </c>
      <c r="W28" s="784" t="str">
        <f>IFERROR(INDEX(V!$R:$R,MATCH(X28,V!$L:$L,0)),"")</f>
        <v/>
      </c>
      <c r="X28" s="785" t="str">
        <f t="shared" si="3"/>
        <v/>
      </c>
      <c r="Y28" s="784" t="str">
        <f>IFERROR(INDEX(V!$R:$R,MATCH(Z28,V!$L:$L,0)),"")</f>
        <v/>
      </c>
      <c r="Z28" s="785" t="str">
        <f t="shared" si="4"/>
        <v/>
      </c>
      <c r="AA28" s="760"/>
    </row>
    <row r="29" spans="1:27" ht="25.5" x14ac:dyDescent="0.2">
      <c r="A29" s="1032">
        <v>2</v>
      </c>
      <c r="B29" s="1033" t="s">
        <v>556</v>
      </c>
      <c r="C29" s="1042">
        <v>9</v>
      </c>
      <c r="D29" s="1043"/>
      <c r="E29" s="1042">
        <v>13</v>
      </c>
      <c r="F29" s="1042">
        <v>13</v>
      </c>
      <c r="G29" s="1042"/>
      <c r="H29" s="1038" t="str">
        <f>(IF(C29-D28&gt;0,1)+IF(E29-D30&gt;0,1)+IF(F29-D31&gt;0,1)+IF(G29-D32&gt;0,1))&amp;"-"&amp;(IF(C29-D28&lt;0,1)+IF(E29-D30&lt;0,1)+IF(F29-D31&lt;0,1)+IF(G29-D32&lt;0,1))</f>
        <v>2-1</v>
      </c>
      <c r="I29" s="1042" t="str">
        <f>IF(AND(B29&lt;&gt;"",M$27=TRUE),A$27&amp;RANK(M29,M$28:M$32,0),"")</f>
        <v>D2</v>
      </c>
      <c r="J29" s="1044">
        <f t="shared" ref="J29:J32" si="11">VALUE(LEFT(H29,1))</f>
        <v>2</v>
      </c>
      <c r="K29" s="104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1046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20000</v>
      </c>
      <c r="O29" s="212"/>
      <c r="P29" s="212"/>
      <c r="Q29" s="212"/>
      <c r="R29" s="764">
        <f t="shared" si="0"/>
        <v>185</v>
      </c>
      <c r="S29" s="784">
        <f>IFERROR(INDEX(V!$R:$R,MATCH(T29,V!$L:$L,0)),"")</f>
        <v>131</v>
      </c>
      <c r="T29" s="783" t="str">
        <f t="shared" si="1"/>
        <v>Kenneth Muusikus</v>
      </c>
      <c r="U29" s="784" t="str">
        <f>IFERROR(INDEX(V!$R:$R,MATCH(V29,V!$L:$L,0)),"")</f>
        <v/>
      </c>
      <c r="V29" s="783" t="str">
        <f t="shared" si="2"/>
        <v>Peep Peenema, Sandra Laura Nõmmeloo</v>
      </c>
      <c r="W29" s="784">
        <f>IFERROR(INDEX(V!$R:$R,MATCH(X29,V!$L:$L,0)),"")</f>
        <v>40</v>
      </c>
      <c r="X29" s="785" t="str">
        <f t="shared" si="3"/>
        <v>Peep Peenema</v>
      </c>
      <c r="Y29" s="784">
        <f>IFERROR(INDEX(V!$R:$R,MATCH(Z29,V!$L:$L,0)),"")</f>
        <v>14</v>
      </c>
      <c r="Z29" s="785" t="str">
        <f t="shared" si="4"/>
        <v>Sandra Laura Nõmmeloo</v>
      </c>
      <c r="AA29" s="760"/>
    </row>
    <row r="30" spans="1:27" x14ac:dyDescent="0.2">
      <c r="A30" s="765">
        <v>3</v>
      </c>
      <c r="B30" s="775" t="s">
        <v>550</v>
      </c>
      <c r="C30" s="778">
        <v>8</v>
      </c>
      <c r="D30" s="787">
        <v>12</v>
      </c>
      <c r="E30" s="776"/>
      <c r="F30" s="778">
        <v>13</v>
      </c>
      <c r="G30" s="778"/>
      <c r="H30" s="796" t="str">
        <f>(IF(C30-E28&gt;0,1)+IF(D30-E29&gt;0,1)+IF(F30-E31&gt;0,1)+IF(G30-E32&gt;0,1))&amp;"-"&amp;(IF(C30-E28&lt;0,1)+IF(D30-E29&lt;0,1)+IF(F30-E31&lt;0,1)+IF(G30-E32&lt;0,1))</f>
        <v>1-2</v>
      </c>
      <c r="I30" s="778" t="str">
        <f>IF(AND(B30&lt;&gt;"",M$27=TRUE),A$27&amp;RANK(M30,M$28:M$32,0),"")</f>
        <v>D3</v>
      </c>
      <c r="J30" s="821">
        <f t="shared" si="11"/>
        <v>1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10000</v>
      </c>
      <c r="O30" s="212"/>
      <c r="P30" s="212"/>
      <c r="Q30" s="212"/>
      <c r="R30" s="764">
        <f t="shared" si="0"/>
        <v>68</v>
      </c>
      <c r="S30" s="784">
        <f>IFERROR(INDEX(V!$R:$R,MATCH(T30,V!$L:$L,0)),"")</f>
        <v>51</v>
      </c>
      <c r="T30" s="783" t="str">
        <f t="shared" si="1"/>
        <v>Janek Tarto</v>
      </c>
      <c r="U30" s="784">
        <f>IFERROR(INDEX(V!$R:$R,MATCH(V30,V!$L:$L,0)),"")</f>
        <v>17</v>
      </c>
      <c r="V30" s="783" t="str">
        <f t="shared" si="2"/>
        <v>Romek Tarto</v>
      </c>
      <c r="W30" s="784" t="str">
        <f>IFERROR(INDEX(V!$R:$R,MATCH(X30,V!$L:$L,0)),"")</f>
        <v/>
      </c>
      <c r="X30" s="785" t="str">
        <f t="shared" si="3"/>
        <v/>
      </c>
      <c r="Y30" s="784" t="str">
        <f>IFERROR(INDEX(V!$R:$R,MATCH(Z30,V!$L:$L,0)),"")</f>
        <v/>
      </c>
      <c r="Z30" s="785" t="str">
        <f t="shared" si="4"/>
        <v/>
      </c>
      <c r="AA30" s="760"/>
    </row>
    <row r="31" spans="1:27" x14ac:dyDescent="0.2">
      <c r="A31" s="765">
        <v>4</v>
      </c>
      <c r="B31" s="792" t="s">
        <v>489</v>
      </c>
      <c r="C31" s="778">
        <v>1</v>
      </c>
      <c r="D31" s="787">
        <v>1</v>
      </c>
      <c r="E31" s="778">
        <v>7</v>
      </c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0-3</v>
      </c>
      <c r="I31" s="778" t="str">
        <f>IF(AND(B31&lt;&gt;"",M$27=TRUE),A$27&amp;RANK(M31,M$28:M$32,0),"")</f>
        <v>D4</v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212"/>
      <c r="P31" s="212"/>
      <c r="Q31" s="212"/>
      <c r="R31" s="764">
        <f t="shared" si="0"/>
        <v>42</v>
      </c>
      <c r="S31" s="784">
        <f>IFERROR(INDEX(V!$R:$R,MATCH(T31,V!$L:$L,0)),"")</f>
        <v>22</v>
      </c>
      <c r="T31" s="783" t="str">
        <f t="shared" si="1"/>
        <v>Kaspar Mänd</v>
      </c>
      <c r="U31" s="784">
        <f>IFERROR(INDEX(V!$R:$R,MATCH(V31,V!$L:$L,0)),"")</f>
        <v>20</v>
      </c>
      <c r="V31" s="783" t="str">
        <f t="shared" si="2"/>
        <v>Reimo Lõhmus</v>
      </c>
      <c r="W31" s="784" t="str">
        <f>IFERROR(INDEX(V!$R:$R,MATCH(X31,V!$L:$L,0)),"")</f>
        <v/>
      </c>
      <c r="X31" s="785" t="str">
        <f t="shared" si="3"/>
        <v/>
      </c>
      <c r="Y31" s="784" t="str">
        <f>IFERROR(INDEX(V!$R:$R,MATCH(Z31,V!$L:$L,0)),"")</f>
        <v/>
      </c>
      <c r="Z31" s="785" t="str">
        <f t="shared" si="4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0"/>
        <v>0</v>
      </c>
      <c r="S32" s="784" t="str">
        <f>IFERROR(INDEX(V!$R:$R,MATCH(T32,V!$L:$L,0)),"")</f>
        <v/>
      </c>
      <c r="T32" s="783" t="str">
        <f t="shared" si="1"/>
        <v/>
      </c>
      <c r="U32" s="784" t="str">
        <f>IFERROR(INDEX(V!$R:$R,MATCH(V32,V!$L:$L,0)),"")</f>
        <v/>
      </c>
      <c r="V32" s="783" t="str">
        <f t="shared" si="2"/>
        <v/>
      </c>
      <c r="W32" s="784" t="str">
        <f>IFERROR(INDEX(V!$R:$R,MATCH(X32,V!$L:$L,0)),"")</f>
        <v/>
      </c>
      <c r="X32" s="785" t="str">
        <f t="shared" si="3"/>
        <v/>
      </c>
      <c r="Y32" s="784" t="str">
        <f>IFERROR(INDEX(V!$R:$R,MATCH(Z32,V!$L:$L,0)),"")</f>
        <v/>
      </c>
      <c r="Z32" s="785" t="str">
        <f t="shared" si="4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0"/>
        <v>0</v>
      </c>
      <c r="S33" s="784" t="str">
        <f>IFERROR(INDEX(V!$R:$R,MATCH(T33,V!$L:$L,0)),"")</f>
        <v/>
      </c>
      <c r="T33" s="783" t="str">
        <f t="shared" si="1"/>
        <v/>
      </c>
      <c r="U33" s="784" t="str">
        <f>IFERROR(INDEX(V!$R:$R,MATCH(V33,V!$L:$L,0)),"")</f>
        <v/>
      </c>
      <c r="V33" s="783" t="str">
        <f t="shared" si="2"/>
        <v/>
      </c>
      <c r="W33" s="784" t="str">
        <f>IFERROR(INDEX(V!$R:$R,MATCH(X33,V!$L:$L,0)),"")</f>
        <v/>
      </c>
      <c r="X33" s="785" t="str">
        <f t="shared" si="3"/>
        <v/>
      </c>
      <c r="Y33" s="784" t="str">
        <f>IFERROR(INDEX(V!$R:$R,MATCH(Z33,V!$L:$L,0)),"")</f>
        <v/>
      </c>
      <c r="Z33" s="785" t="str">
        <f t="shared" si="4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0"/>
        <v>0</v>
      </c>
      <c r="S34" s="784" t="str">
        <f>IFERROR(INDEX(V!$R:$R,MATCH(T34,V!$L:$L,0)),"")</f>
        <v/>
      </c>
      <c r="T34" s="783" t="str">
        <f t="shared" si="1"/>
        <v/>
      </c>
      <c r="U34" s="784" t="str">
        <f>IFERROR(INDEX(V!$R:$R,MATCH(V34,V!$L:$L,0)),"")</f>
        <v/>
      </c>
      <c r="V34" s="783" t="str">
        <f t="shared" si="2"/>
        <v/>
      </c>
      <c r="W34" s="784" t="str">
        <f>IFERROR(INDEX(V!$R:$R,MATCH(X34,V!$L:$L,0)),"")</f>
        <v/>
      </c>
      <c r="X34" s="785" t="str">
        <f t="shared" si="3"/>
        <v/>
      </c>
      <c r="Y34" s="784" t="str">
        <f>IFERROR(INDEX(V!$R:$R,MATCH(Z34,V!$L:$L,0)),"")</f>
        <v/>
      </c>
      <c r="Z34" s="785" t="str">
        <f t="shared" si="4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0"/>
        <v>0</v>
      </c>
      <c r="S35" s="784" t="str">
        <f>IFERROR(INDEX(V!$R:$R,MATCH(T35,V!$L:$L,0)),"")</f>
        <v/>
      </c>
      <c r="T35" s="783" t="str">
        <f t="shared" si="1"/>
        <v/>
      </c>
      <c r="U35" s="784" t="str">
        <f>IFERROR(INDEX(V!$R:$R,MATCH(V35,V!$L:$L,0)),"")</f>
        <v/>
      </c>
      <c r="V35" s="783" t="str">
        <f t="shared" si="2"/>
        <v/>
      </c>
      <c r="W35" s="784" t="str">
        <f>IFERROR(INDEX(V!$R:$R,MATCH(X35,V!$L:$L,0)),"")</f>
        <v/>
      </c>
      <c r="X35" s="785" t="str">
        <f t="shared" si="3"/>
        <v/>
      </c>
      <c r="Y35" s="784" t="str">
        <f>IFERROR(INDEX(V!$R:$R,MATCH(Z35,V!$L:$L,0)),"")</f>
        <v/>
      </c>
      <c r="Z35" s="785" t="str">
        <f t="shared" si="4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0"/>
        <v>0</v>
      </c>
      <c r="S36" s="784" t="str">
        <f>IFERROR(INDEX(V!$R:$R,MATCH(T36,V!$L:$L,0)),"")</f>
        <v/>
      </c>
      <c r="T36" s="783" t="str">
        <f t="shared" si="1"/>
        <v/>
      </c>
      <c r="U36" s="784" t="str">
        <f>IFERROR(INDEX(V!$R:$R,MATCH(V36,V!$L:$L,0)),"")</f>
        <v/>
      </c>
      <c r="V36" s="783" t="str">
        <f t="shared" si="2"/>
        <v/>
      </c>
      <c r="W36" s="784" t="str">
        <f>IFERROR(INDEX(V!$R:$R,MATCH(X36,V!$L:$L,0)),"")</f>
        <v/>
      </c>
      <c r="X36" s="785" t="str">
        <f t="shared" si="3"/>
        <v/>
      </c>
      <c r="Y36" s="784" t="str">
        <f>IFERROR(INDEX(V!$R:$R,MATCH(Z36,V!$L:$L,0)),"")</f>
        <v/>
      </c>
      <c r="Z36" s="785" t="str">
        <f t="shared" si="4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0"/>
        <v>0</v>
      </c>
      <c r="S37" s="784" t="str">
        <f>IFERROR(INDEX(V!$R:$R,MATCH(T37,V!$L:$L,0)),"")</f>
        <v/>
      </c>
      <c r="T37" s="783" t="str">
        <f t="shared" si="1"/>
        <v/>
      </c>
      <c r="U37" s="784" t="str">
        <f>IFERROR(INDEX(V!$R:$R,MATCH(V37,V!$L:$L,0)),"")</f>
        <v/>
      </c>
      <c r="V37" s="783" t="str">
        <f t="shared" si="2"/>
        <v/>
      </c>
      <c r="W37" s="784" t="str">
        <f>IFERROR(INDEX(V!$R:$R,MATCH(X37,V!$L:$L,0)),"")</f>
        <v/>
      </c>
      <c r="X37" s="785" t="str">
        <f t="shared" si="3"/>
        <v/>
      </c>
      <c r="Y37" s="784" t="str">
        <f>IFERROR(INDEX(V!$R:$R,MATCH(Z37,V!$L:$L,0)),"")</f>
        <v/>
      </c>
      <c r="Z37" s="785" t="str">
        <f t="shared" si="4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0"/>
        <v>0</v>
      </c>
      <c r="S38" s="784" t="str">
        <f>IFERROR(INDEX(V!$R:$R,MATCH(T38,V!$L:$L,0)),"")</f>
        <v/>
      </c>
      <c r="T38" s="783" t="str">
        <f t="shared" si="1"/>
        <v/>
      </c>
      <c r="U38" s="784" t="str">
        <f>IFERROR(INDEX(V!$R:$R,MATCH(V38,V!$L:$L,0)),"")</f>
        <v/>
      </c>
      <c r="V38" s="783" t="str">
        <f t="shared" si="2"/>
        <v/>
      </c>
      <c r="W38" s="784" t="str">
        <f>IFERROR(INDEX(V!$R:$R,MATCH(X38,V!$L:$L,0)),"")</f>
        <v/>
      </c>
      <c r="X38" s="785" t="str">
        <f t="shared" si="3"/>
        <v/>
      </c>
      <c r="Y38" s="784" t="str">
        <f>IFERROR(INDEX(V!$R:$R,MATCH(Z38,V!$L:$L,0)),"")</f>
        <v/>
      </c>
      <c r="Z38" s="785" t="str">
        <f t="shared" si="4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ref="R39:R60" si="15">SUM(S39:AB39)</f>
        <v>0</v>
      </c>
      <c r="S39" s="784" t="str">
        <f>IFERROR(INDEX(V!$R:$R,MATCH(T39,V!$L:$L,0)),"")</f>
        <v/>
      </c>
      <c r="T39" s="783" t="str">
        <f t="shared" si="1"/>
        <v/>
      </c>
      <c r="U39" s="784" t="str">
        <f>IFERROR(INDEX(V!$R:$R,MATCH(V39,V!$L:$L,0)),"")</f>
        <v/>
      </c>
      <c r="V39" s="783" t="str">
        <f t="shared" si="2"/>
        <v/>
      </c>
      <c r="W39" s="784" t="str">
        <f>IFERROR(INDEX(V!$R:$R,MATCH(X39,V!$L:$L,0)),"")</f>
        <v/>
      </c>
      <c r="X39" s="785" t="str">
        <f t="shared" si="3"/>
        <v/>
      </c>
      <c r="Y39" s="784" t="str">
        <f>IFERROR(INDEX(V!$R:$R,MATCH(Z39,V!$L:$L,0)),"")</f>
        <v/>
      </c>
      <c r="Z39" s="785" t="str">
        <f t="shared" si="4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si="15"/>
        <v>0</v>
      </c>
      <c r="S40" s="784" t="str">
        <f>IFERROR(INDEX(V!$R:$R,MATCH(T40,V!$L:$L,0)),"")</f>
        <v/>
      </c>
      <c r="T40" s="783" t="str">
        <f t="shared" si="1"/>
        <v/>
      </c>
      <c r="U40" s="784" t="str">
        <f>IFERROR(INDEX(V!$R:$R,MATCH(V40,V!$L:$L,0)),"")</f>
        <v/>
      </c>
      <c r="V40" s="783" t="str">
        <f t="shared" si="2"/>
        <v/>
      </c>
      <c r="W40" s="784" t="str">
        <f>IFERROR(INDEX(V!$R:$R,MATCH(X40,V!$L:$L,0)),"")</f>
        <v/>
      </c>
      <c r="X40" s="785" t="str">
        <f t="shared" si="3"/>
        <v/>
      </c>
      <c r="Y40" s="784" t="str">
        <f>IFERROR(INDEX(V!$R:$R,MATCH(Z40,V!$L:$L,0)),"")</f>
        <v/>
      </c>
      <c r="Z40" s="785" t="str">
        <f t="shared" si="4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1"/>
        <v/>
      </c>
      <c r="U41" s="784" t="str">
        <f>IFERROR(INDEX(V!$R:$R,MATCH(V41,V!$L:$L,0)),"")</f>
        <v/>
      </c>
      <c r="V41" s="783" t="str">
        <f t="shared" si="2"/>
        <v/>
      </c>
      <c r="W41" s="784" t="str">
        <f>IFERROR(INDEX(V!$R:$R,MATCH(X41,V!$L:$L,0)),"")</f>
        <v/>
      </c>
      <c r="X41" s="785" t="str">
        <f t="shared" si="3"/>
        <v/>
      </c>
      <c r="Y41" s="784" t="str">
        <f>IFERROR(INDEX(V!$R:$R,MATCH(Z41,V!$L:$L,0)),"")</f>
        <v/>
      </c>
      <c r="Z41" s="785" t="str">
        <f t="shared" si="4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1"/>
        <v/>
      </c>
      <c r="U42" s="784" t="str">
        <f>IFERROR(INDEX(V!$R:$R,MATCH(V42,V!$L:$L,0)),"")</f>
        <v/>
      </c>
      <c r="V42" s="783" t="str">
        <f t="shared" si="2"/>
        <v/>
      </c>
      <c r="W42" s="784" t="str">
        <f>IFERROR(INDEX(V!$R:$R,MATCH(X42,V!$L:$L,0)),"")</f>
        <v/>
      </c>
      <c r="X42" s="785" t="str">
        <f t="shared" si="3"/>
        <v/>
      </c>
      <c r="Y42" s="784" t="str">
        <f>IFERROR(INDEX(V!$R:$R,MATCH(Z42,V!$L:$L,0)),"")</f>
        <v/>
      </c>
      <c r="Z42" s="785" t="str">
        <f t="shared" si="4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1"/>
        <v/>
      </c>
      <c r="U43" s="784" t="str">
        <f>IFERROR(INDEX(V!$R:$R,MATCH(V43,V!$L:$L,0)),"")</f>
        <v/>
      </c>
      <c r="V43" s="783" t="str">
        <f t="shared" si="2"/>
        <v/>
      </c>
      <c r="W43" s="784" t="str">
        <f>IFERROR(INDEX(V!$R:$R,MATCH(X43,V!$L:$L,0)),"")</f>
        <v/>
      </c>
      <c r="X43" s="785" t="str">
        <f t="shared" si="3"/>
        <v/>
      </c>
      <c r="Y43" s="784" t="str">
        <f>IFERROR(INDEX(V!$R:$R,MATCH(Z43,V!$L:$L,0)),"")</f>
        <v/>
      </c>
      <c r="Z43" s="785" t="str">
        <f t="shared" si="4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1"/>
        <v/>
      </c>
      <c r="U44" s="784" t="str">
        <f>IFERROR(INDEX(V!$R:$R,MATCH(V44,V!$L:$L,0)),"")</f>
        <v/>
      </c>
      <c r="V44" s="783" t="str">
        <f t="shared" si="2"/>
        <v/>
      </c>
      <c r="W44" s="784" t="str">
        <f>IFERROR(INDEX(V!$R:$R,MATCH(X44,V!$L:$L,0)),"")</f>
        <v/>
      </c>
      <c r="X44" s="785" t="str">
        <f t="shared" si="3"/>
        <v/>
      </c>
      <c r="Y44" s="784" t="str">
        <f>IFERROR(INDEX(V!$R:$R,MATCH(Z44,V!$L:$L,0)),"")</f>
        <v/>
      </c>
      <c r="Z44" s="785" t="str">
        <f t="shared" si="4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1"/>
        <v/>
      </c>
      <c r="U45" s="784" t="str">
        <f>IFERROR(INDEX(V!$R:$R,MATCH(V45,V!$L:$L,0)),"")</f>
        <v/>
      </c>
      <c r="V45" s="783" t="str">
        <f t="shared" si="2"/>
        <v/>
      </c>
      <c r="W45" s="784" t="str">
        <f>IFERROR(INDEX(V!$R:$R,MATCH(X45,V!$L:$L,0)),"")</f>
        <v/>
      </c>
      <c r="X45" s="785" t="str">
        <f t="shared" si="3"/>
        <v/>
      </c>
      <c r="Y45" s="784" t="str">
        <f>IFERROR(INDEX(V!$R:$R,MATCH(Z45,V!$L:$L,0)),"")</f>
        <v/>
      </c>
      <c r="Z45" s="785" t="str">
        <f t="shared" si="4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1"/>
        <v/>
      </c>
      <c r="U46" s="784" t="str">
        <f>IFERROR(INDEX(V!$R:$R,MATCH(V46,V!$L:$L,0)),"")</f>
        <v/>
      </c>
      <c r="V46" s="783" t="str">
        <f t="shared" si="2"/>
        <v/>
      </c>
      <c r="W46" s="784" t="str">
        <f>IFERROR(INDEX(V!$R:$R,MATCH(X46,V!$L:$L,0)),"")</f>
        <v/>
      </c>
      <c r="X46" s="785" t="str">
        <f t="shared" si="3"/>
        <v/>
      </c>
      <c r="Y46" s="784" t="str">
        <f>IFERROR(INDEX(V!$R:$R,MATCH(Z46,V!$L:$L,0)),"")</f>
        <v/>
      </c>
      <c r="Z46" s="785" t="str">
        <f t="shared" si="4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1"/>
        <v/>
      </c>
      <c r="U47" s="784" t="str">
        <f>IFERROR(INDEX(V!$R:$R,MATCH(V47,V!$L:$L,0)),"")</f>
        <v/>
      </c>
      <c r="V47" s="783" t="str">
        <f t="shared" si="2"/>
        <v/>
      </c>
      <c r="W47" s="784" t="str">
        <f>IFERROR(INDEX(V!$R:$R,MATCH(X47,V!$L:$L,0)),"")</f>
        <v/>
      </c>
      <c r="X47" s="785" t="str">
        <f t="shared" si="3"/>
        <v/>
      </c>
      <c r="Y47" s="784" t="str">
        <f>IFERROR(INDEX(V!$R:$R,MATCH(Z47,V!$L:$L,0)),"")</f>
        <v/>
      </c>
      <c r="Z47" s="785" t="str">
        <f t="shared" si="4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1"/>
        <v/>
      </c>
      <c r="U48" s="784" t="str">
        <f>IFERROR(INDEX(V!$R:$R,MATCH(V48,V!$L:$L,0)),"")</f>
        <v/>
      </c>
      <c r="V48" s="783" t="str">
        <f t="shared" si="2"/>
        <v/>
      </c>
      <c r="W48" s="784" t="str">
        <f>IFERROR(INDEX(V!$R:$R,MATCH(X48,V!$L:$L,0)),"")</f>
        <v/>
      </c>
      <c r="X48" s="785" t="str">
        <f t="shared" si="3"/>
        <v/>
      </c>
      <c r="Y48" s="784" t="str">
        <f>IFERROR(INDEX(V!$R:$R,MATCH(Z48,V!$L:$L,0)),"")</f>
        <v/>
      </c>
      <c r="Z48" s="785" t="str">
        <f t="shared" si="4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1"/>
        <v/>
      </c>
      <c r="U49" s="784" t="str">
        <f>IFERROR(INDEX(V!$R:$R,MATCH(V49,V!$L:$L,0)),"")</f>
        <v/>
      </c>
      <c r="V49" s="783" t="str">
        <f t="shared" si="2"/>
        <v/>
      </c>
      <c r="W49" s="784" t="str">
        <f>IFERROR(INDEX(V!$R:$R,MATCH(X49,V!$L:$L,0)),"")</f>
        <v/>
      </c>
      <c r="X49" s="785" t="str">
        <f t="shared" si="3"/>
        <v/>
      </c>
      <c r="Y49" s="784" t="str">
        <f>IFERROR(INDEX(V!$R:$R,MATCH(Z49,V!$L:$L,0)),"")</f>
        <v/>
      </c>
      <c r="Z49" s="785" t="str">
        <f t="shared" si="4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1"/>
        <v/>
      </c>
      <c r="U50" s="784" t="str">
        <f>IFERROR(INDEX(V!$R:$R,MATCH(V50,V!$L:$L,0)),"")</f>
        <v/>
      </c>
      <c r="V50" s="783" t="str">
        <f t="shared" si="2"/>
        <v/>
      </c>
      <c r="W50" s="784" t="str">
        <f>IFERROR(INDEX(V!$R:$R,MATCH(X50,V!$L:$L,0)),"")</f>
        <v/>
      </c>
      <c r="X50" s="785" t="str">
        <f t="shared" si="3"/>
        <v/>
      </c>
      <c r="Y50" s="784" t="str">
        <f>IFERROR(INDEX(V!$R:$R,MATCH(Z50,V!$L:$L,0)),"")</f>
        <v/>
      </c>
      <c r="Z50" s="785" t="str">
        <f t="shared" si="4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1"/>
        <v/>
      </c>
      <c r="U51" s="784" t="str">
        <f>IFERROR(INDEX(V!$R:$R,MATCH(V51,V!$L:$L,0)),"")</f>
        <v/>
      </c>
      <c r="V51" s="783" t="str">
        <f t="shared" si="2"/>
        <v/>
      </c>
      <c r="W51" s="784" t="str">
        <f>IFERROR(INDEX(V!$R:$R,MATCH(X51,V!$L:$L,0)),"")</f>
        <v/>
      </c>
      <c r="X51" s="785" t="str">
        <f t="shared" si="3"/>
        <v/>
      </c>
      <c r="Y51" s="784" t="str">
        <f>IFERROR(INDEX(V!$R:$R,MATCH(Z51,V!$L:$L,0)),"")</f>
        <v/>
      </c>
      <c r="Z51" s="785" t="str">
        <f t="shared" si="4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1"/>
        <v/>
      </c>
      <c r="U52" s="784" t="str">
        <f>IFERROR(INDEX(V!$R:$R,MATCH(V52,V!$L:$L,0)),"")</f>
        <v/>
      </c>
      <c r="V52" s="783" t="str">
        <f t="shared" si="2"/>
        <v/>
      </c>
      <c r="W52" s="784" t="str">
        <f>IFERROR(INDEX(V!$R:$R,MATCH(X52,V!$L:$L,0)),"")</f>
        <v/>
      </c>
      <c r="X52" s="785" t="str">
        <f t="shared" si="3"/>
        <v/>
      </c>
      <c r="Y52" s="784" t="str">
        <f>IFERROR(INDEX(V!$R:$R,MATCH(Z52,V!$L:$L,0)),"")</f>
        <v/>
      </c>
      <c r="Z52" s="785" t="str">
        <f t="shared" si="4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1"/>
        <v/>
      </c>
      <c r="U53" s="784" t="str">
        <f>IFERROR(INDEX(V!$R:$R,MATCH(V53,V!$L:$L,0)),"")</f>
        <v/>
      </c>
      <c r="V53" s="783" t="str">
        <f t="shared" si="2"/>
        <v/>
      </c>
      <c r="W53" s="784" t="str">
        <f>IFERROR(INDEX(V!$R:$R,MATCH(X53,V!$L:$L,0)),"")</f>
        <v/>
      </c>
      <c r="X53" s="785" t="str">
        <f t="shared" si="3"/>
        <v/>
      </c>
      <c r="Y53" s="784" t="str">
        <f>IFERROR(INDEX(V!$R:$R,MATCH(Z53,V!$L:$L,0)),"")</f>
        <v/>
      </c>
      <c r="Z53" s="785" t="str">
        <f t="shared" si="4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1"/>
        <v/>
      </c>
      <c r="U54" s="784" t="str">
        <f>IFERROR(INDEX(V!$R:$R,MATCH(V54,V!$L:$L,0)),"")</f>
        <v/>
      </c>
      <c r="V54" s="783" t="str">
        <f t="shared" si="2"/>
        <v/>
      </c>
      <c r="W54" s="784" t="str">
        <f>IFERROR(INDEX(V!$R:$R,MATCH(X54,V!$L:$L,0)),"")</f>
        <v/>
      </c>
      <c r="X54" s="785" t="str">
        <f t="shared" si="3"/>
        <v/>
      </c>
      <c r="Y54" s="784" t="str">
        <f>IFERROR(INDEX(V!$R:$R,MATCH(Z54,V!$L:$L,0)),"")</f>
        <v/>
      </c>
      <c r="Z54" s="785" t="str">
        <f t="shared" si="4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1"/>
        <v/>
      </c>
      <c r="U55" s="784" t="str">
        <f>IFERROR(INDEX(V!$R:$R,MATCH(V55,V!$L:$L,0)),"")</f>
        <v/>
      </c>
      <c r="V55" s="783" t="str">
        <f t="shared" si="2"/>
        <v/>
      </c>
      <c r="W55" s="784" t="str">
        <f>IFERROR(INDEX(V!$R:$R,MATCH(X55,V!$L:$L,0)),"")</f>
        <v/>
      </c>
      <c r="X55" s="785" t="str">
        <f t="shared" si="3"/>
        <v/>
      </c>
      <c r="Y55" s="784" t="str">
        <f>IFERROR(INDEX(V!$R:$R,MATCH(Z55,V!$L:$L,0)),"")</f>
        <v/>
      </c>
      <c r="Z55" s="785" t="str">
        <f t="shared" si="4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1"/>
        <v/>
      </c>
      <c r="U56" s="784" t="str">
        <f>IFERROR(INDEX(V!$R:$R,MATCH(V56,V!$L:$L,0)),"")</f>
        <v/>
      </c>
      <c r="V56" s="783" t="str">
        <f t="shared" si="2"/>
        <v/>
      </c>
      <c r="W56" s="784" t="str">
        <f>IFERROR(INDEX(V!$R:$R,MATCH(X56,V!$L:$L,0)),"")</f>
        <v/>
      </c>
      <c r="X56" s="785" t="str">
        <f t="shared" si="3"/>
        <v/>
      </c>
      <c r="Y56" s="784" t="str">
        <f>IFERROR(INDEX(V!$R:$R,MATCH(Z56,V!$L:$L,0)),"")</f>
        <v/>
      </c>
      <c r="Z56" s="785" t="str">
        <f t="shared" si="4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1"/>
        <v/>
      </c>
      <c r="U57" s="784" t="str">
        <f>IFERROR(INDEX(V!$R:$R,MATCH(V57,V!$L:$L,0)),"")</f>
        <v/>
      </c>
      <c r="V57" s="783" t="str">
        <f t="shared" si="2"/>
        <v/>
      </c>
      <c r="W57" s="784" t="str">
        <f>IFERROR(INDEX(V!$R:$R,MATCH(X57,V!$L:$L,0)),"")</f>
        <v/>
      </c>
      <c r="X57" s="785" t="str">
        <f t="shared" si="3"/>
        <v/>
      </c>
      <c r="Y57" s="784" t="str">
        <f>IFERROR(INDEX(V!$R:$R,MATCH(Z57,V!$L:$L,0)),"")</f>
        <v/>
      </c>
      <c r="Z57" s="785" t="str">
        <f t="shared" si="4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1"/>
        <v/>
      </c>
      <c r="U58" s="784" t="str">
        <f>IFERROR(INDEX(V!$R:$R,MATCH(V58,V!$L:$L,0)),"")</f>
        <v/>
      </c>
      <c r="V58" s="783" t="str">
        <f t="shared" si="2"/>
        <v/>
      </c>
      <c r="W58" s="784" t="str">
        <f>IFERROR(INDEX(V!$R:$R,MATCH(X58,V!$L:$L,0)),"")</f>
        <v/>
      </c>
      <c r="X58" s="785" t="str">
        <f t="shared" si="3"/>
        <v/>
      </c>
      <c r="Y58" s="784" t="str">
        <f>IFERROR(INDEX(V!$R:$R,MATCH(Z58,V!$L:$L,0)),"")</f>
        <v/>
      </c>
      <c r="Z58" s="785" t="str">
        <f t="shared" si="4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1"/>
        <v/>
      </c>
      <c r="U59" s="784" t="str">
        <f>IFERROR(INDEX(V!$R:$R,MATCH(V59,V!$L:$L,0)),"")</f>
        <v/>
      </c>
      <c r="V59" s="783" t="str">
        <f t="shared" si="2"/>
        <v/>
      </c>
      <c r="W59" s="784" t="str">
        <f>IFERROR(INDEX(V!$R:$R,MATCH(X59,V!$L:$L,0)),"")</f>
        <v/>
      </c>
      <c r="X59" s="785" t="str">
        <f t="shared" si="3"/>
        <v/>
      </c>
      <c r="Y59" s="784" t="str">
        <f>IFERROR(INDEX(V!$R:$R,MATCH(Z59,V!$L:$L,0)),"")</f>
        <v/>
      </c>
      <c r="Z59" s="785" t="str">
        <f t="shared" si="4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1"/>
        <v/>
      </c>
      <c r="U60" s="784" t="str">
        <f>IFERROR(INDEX(V!$R:$R,MATCH(V60,V!$L:$L,0)),"")</f>
        <v/>
      </c>
      <c r="V60" s="783" t="str">
        <f t="shared" si="2"/>
        <v/>
      </c>
      <c r="W60" s="784" t="str">
        <f>IFERROR(INDEX(V!$R:$R,MATCH(X60,V!$L:$L,0)),"")</f>
        <v/>
      </c>
      <c r="X60" s="785" t="str">
        <f t="shared" si="3"/>
        <v/>
      </c>
      <c r="Y60" s="784" t="str">
        <f>IFERROR(INDEX(V!$R:$R,MATCH(Z60,V!$L:$L,0)),"")</f>
        <v/>
      </c>
      <c r="Z60" s="785" t="str">
        <f t="shared" si="4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755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755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755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Jaan Sepp, Oskar Sepp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Jaan Sepp, Oskar Sepp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Kenneth Muusikus, Peep Peenema, Sandra Laura Nõmmeloo</v>
      </c>
      <c r="C104" s="856">
        <v>10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Jaan Sepp, Oskar Sepp</v>
      </c>
      <c r="F105" s="755"/>
      <c r="G105" s="851">
        <v>13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Ivar Viljaste, Sirje Viljaste</v>
      </c>
      <c r="C106" s="851">
        <v>13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Ivar Viljaste, Sirje Viljaste</v>
      </c>
      <c r="D107" s="860"/>
      <c r="E107" s="851">
        <v>2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Ljudmila Varendi, Viktor Švarõgin</v>
      </c>
      <c r="C108" s="856">
        <v>8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Jaan Sepp, Oskar Sepp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414</v>
      </c>
      <c r="B110" s="850" t="str">
        <f>IF(A110="-","-",IFERROR(INDEX(B$1:B$100,MATCH(A110,I$1:I$100,0)),""))</f>
        <v>Tõnu Piik, Ülo Piik</v>
      </c>
      <c r="C110" s="851">
        <v>13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Tõnu Piik, Ülo Piik</v>
      </c>
      <c r="D111" s="755"/>
      <c r="E111" s="851">
        <v>13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415</v>
      </c>
      <c r="B112" s="855" t="str">
        <f>IF(A112="-","-",IFERROR(INDEX(B$1:B$100,MATCH(A112,I$1:I$100,0)),""))</f>
        <v>Johannes Neiland, Kristiin-Marleen Neiland</v>
      </c>
      <c r="C112" s="856">
        <v>9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Tõnu Piik, Ülo Piik</v>
      </c>
      <c r="F113" s="860"/>
      <c r="G113" s="851">
        <v>9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417</v>
      </c>
      <c r="B114" s="850" t="str">
        <f>IF(A114="-","-",IFERROR(INDEX(B$1:B$100,MATCH(A114,I$1:I$100,0)),""))</f>
        <v>Mait Metsla, Matti Vinni</v>
      </c>
      <c r="C114" s="851">
        <v>13</v>
      </c>
      <c r="D114" s="858"/>
      <c r="E114" s="859"/>
      <c r="F114" s="807"/>
      <c r="G114" s="807"/>
      <c r="H114" s="951" t="str">
        <f>IF(COUNT(G105,G113)=2,IF(G105&lt;G113,E105,E113),"")</f>
        <v>Tõnu Piik, Ülo Piik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Mait Metsla, Matti Vinni</v>
      </c>
      <c r="D115" s="860"/>
      <c r="E115" s="962">
        <v>6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416</v>
      </c>
      <c r="B116" s="855" t="str">
        <f>IF(A116="-","-",IFERROR(INDEX(B$1:B$100,MATCH(A116,I$1:I$100,0)),""))</f>
        <v>Illar Tõnurist, Henri Mitt</v>
      </c>
      <c r="C116" s="856">
        <v>2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Ivar Viljaste, Sirje Viljaste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Ivar Viljaste, Sirje Viljaste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Mait Metsla, Matti Vinni</v>
      </c>
      <c r="F119" s="860"/>
      <c r="G119" s="856">
        <v>6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Mait Metsla, Matti Vinni</v>
      </c>
      <c r="I121" s="938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Kenneth Muusikus, Peep Peenema, Sandra Laura Nõmmeloo</v>
      </c>
      <c r="D123" s="755"/>
      <c r="E123" s="851">
        <v>5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Ljudmila Varendi, Viktor Švarõgin</v>
      </c>
      <c r="F124" s="755"/>
      <c r="G124" s="851">
        <v>4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Ljudmila Varendi, Viktor Švarõgin</v>
      </c>
      <c r="D125" s="868"/>
      <c r="E125" s="856">
        <v>13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951" t="str">
        <f>IF(COUNT(G124,G128)=2,IF(G124&gt;G128,E124,E128),"")</f>
        <v>Johannes Neiland, Kristiin-Marleen Neiland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Johannes Neiland, Kristiin-Marleen Neiland</v>
      </c>
      <c r="D127" s="851"/>
      <c r="E127" s="851">
        <v>13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Johannes Neiland, Kristiin-Marleen Neiland</v>
      </c>
      <c r="F128" s="860"/>
      <c r="G128" s="856">
        <v>13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Illar Tõnurist, Henri Mitt</v>
      </c>
      <c r="D129" s="868"/>
      <c r="E129" s="856">
        <v>10</v>
      </c>
      <c r="F129" s="851"/>
      <c r="G129" s="869"/>
      <c r="H129" s="951" t="str">
        <f>IF(COUNT(G124,G128)=2,IF(G124&lt;G128,E124,E128),"")</f>
        <v>Ljudmila Varendi, Viktor Švarõgin</v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Kenneth Muusikus, Peep Peenema, Sandra Laura Nõmmeloo</v>
      </c>
      <c r="F131" s="755"/>
      <c r="G131" s="851">
        <v>13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>Kenneth Muusikus, Peep Peenema, Sandra Laura Nõmmeloo</v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Illar Tõnurist, Henri Mitt</v>
      </c>
      <c r="F133" s="860"/>
      <c r="G133" s="856">
        <v>3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>Illar Tõnurist, Henri Mitt</v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Klavdia Piik, Melika Lehtla</v>
      </c>
      <c r="C140" s="851">
        <v>13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Klavdia Piik, Melika Lehtla</v>
      </c>
      <c r="D141" s="755"/>
      <c r="E141" s="851">
        <v>11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440</v>
      </c>
      <c r="B142" s="855" t="str">
        <f>IF(A142="-","-",IFERROR(INDEX(B$1:B$100,MATCH(A142,I$1:I$100,0)),""))</f>
        <v>Kaspar Mänd, Reimo Lõhmus</v>
      </c>
      <c r="C142" s="856">
        <v>7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Heili Vasser, Vello Vasser</v>
      </c>
      <c r="F143" s="755"/>
      <c r="G143" s="962">
        <v>1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423</v>
      </c>
      <c r="B144" s="850" t="str">
        <f>IF(A144="-","-",IFERROR(INDEX(B$1:B$100,MATCH(A144,I$1:I$100,0)),""))</f>
        <v>Heili Vasser, Vello Vasser</v>
      </c>
      <c r="C144" s="851"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Heili Vasser, Vello Vasser</v>
      </c>
      <c r="D145" s="860"/>
      <c r="E145" s="851">
        <v>13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422</v>
      </c>
      <c r="B146" s="855" t="str">
        <f>IF(A146="-","-",IFERROR(INDEX(B$1:B$100,MATCH(A146,I$1:I$100,0)),""))</f>
        <v>Ksenija Matšneva, Veroonika Mendes</v>
      </c>
      <c r="C146" s="856">
        <v>10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Janek Tarto, Romek Tarto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425</v>
      </c>
      <c r="B148" s="850" t="str">
        <f>IF(A148="-","-",IFERROR(INDEX(B$1:B$100,MATCH(A148,I$1:I$100,0)),""))</f>
        <v>Enn Tokman, Tarmo Bombe</v>
      </c>
      <c r="C148" s="851"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Enn Tokman, Tarmo Bombe</v>
      </c>
      <c r="D149" s="755"/>
      <c r="E149" s="851">
        <v>8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429</v>
      </c>
      <c r="B150" s="855" t="str">
        <f>IF(A150="-","-",IFERROR(INDEX(B$1:B$100,MATCH(A150,I$1:I$100,0)),""))</f>
        <v>Karla Purgats, Meelis Luud</v>
      </c>
      <c r="C150" s="856">
        <v>5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Janek Tarto, Romek Tarto</v>
      </c>
      <c r="F151" s="860"/>
      <c r="G151" s="851">
        <v>13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427</v>
      </c>
      <c r="B152" s="850" t="str">
        <f>IF(A152="-","-",IFERROR(INDEX(B$1:B$100,MATCH(A152,I$1:I$100,0)),""))</f>
        <v>Janek Tarto, Romek Tarto</v>
      </c>
      <c r="C152" s="851">
        <v>13</v>
      </c>
      <c r="D152" s="858"/>
      <c r="E152" s="859"/>
      <c r="F152" s="807"/>
      <c r="G152" s="807"/>
      <c r="H152" s="951" t="str">
        <f>IF(COUNT(G143,G151)=2,IF(G143&lt;G151,E143,E151),"")</f>
        <v>Heili Vasser, Vello Vasser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Janek Tarto, Romek Tarto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507</v>
      </c>
      <c r="B154" s="855" t="s">
        <v>424</v>
      </c>
      <c r="C154" s="856">
        <v>5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Klavdia Piik, Melika Lehtla</v>
      </c>
      <c r="F155" s="755"/>
      <c r="G155" s="851">
        <v>6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Enn Tokman, Tarmo Bombe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Enn Tokman, Tarmo Bombe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Klavdia Piik, Melika Lehtla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Kaspar Mänd, Reimo Lõhmus</v>
      </c>
      <c r="D161" s="755"/>
      <c r="E161" s="851"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Kaspar Mänd, Reimo Lõhmus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Ksenija Matšneva, Veroonika Mendes</v>
      </c>
      <c r="D163" s="868"/>
      <c r="E163" s="856">
        <v>4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>Kaspar Mänd, Reimo Lõhmus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Karla Purgats, Meelis Luud</v>
      </c>
      <c r="D165" s="851"/>
      <c r="E165" s="851">
        <f>IF(C165="-",0,IF(C167="-",13,""))</f>
        <v>13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Karla Purgats, Meelis Luud</v>
      </c>
      <c r="F166" s="860"/>
      <c r="G166" s="971">
        <v>3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-</v>
      </c>
      <c r="D167" s="868"/>
      <c r="E167" s="856">
        <f>IF(C167="-",0,IF(C165="-",13,""))</f>
        <v>0</v>
      </c>
      <c r="F167" s="851"/>
      <c r="G167" s="869"/>
      <c r="H167" s="951" t="str">
        <f>IF(COUNT(G162,G166)=2,IF(G162&lt;G166,E162,E166),"")</f>
        <v>Karla Purgats, Meelis Luud</v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Ksenija Matšneva, Veroonika Mendes</v>
      </c>
      <c r="F169" s="755"/>
      <c r="G169" s="851">
        <f>IF(E169="-",0,IF(E171="-",13,""))</f>
        <v>13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>Ksenija Matšneva, Veroonika Mendes</v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810" t="s">
        <v>530</v>
      </c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>-</v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 t="s">
        <v>232</v>
      </c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4" si="22">IFERROR(INDEX(H$100:H$300,MATCH(A300&amp;". koht",H$101:H$301,0)),"")</f>
        <v>Jaan Sepp, Oskar Sepp</v>
      </c>
      <c r="C300" s="755">
        <f>IF(16-A300&gt;0,16-A300,1)</f>
        <v>15</v>
      </c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Tõnu Piik, Ülo Piik</v>
      </c>
      <c r="C301" s="755">
        <f t="shared" ref="C301:C314" si="23">IF(16-A301&gt;0,16-A301,1)</f>
        <v>14</v>
      </c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Ivar Viljaste, Sirje Viljaste</v>
      </c>
      <c r="C302" s="755">
        <f t="shared" si="23"/>
        <v>13</v>
      </c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Mait Metsla, Matti Vinni</v>
      </c>
      <c r="C303" s="755">
        <f t="shared" si="23"/>
        <v>12</v>
      </c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Johannes Neiland, Kristiin-Marleen Neiland</v>
      </c>
      <c r="C304" s="755">
        <f t="shared" si="23"/>
        <v>11</v>
      </c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Ljudmila Varendi, Viktor Švarõgin</v>
      </c>
      <c r="C305" s="755">
        <f t="shared" si="23"/>
        <v>10</v>
      </c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ht="25.5" x14ac:dyDescent="0.2">
      <c r="A306" s="1047">
        <v>7</v>
      </c>
      <c r="B306" s="1041" t="str">
        <f t="shared" si="22"/>
        <v>Kenneth Muusikus, Peep Peenema, Sandra Laura Nõmmeloo</v>
      </c>
      <c r="C306" s="1048">
        <f t="shared" si="23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Illar Tõnurist, Henri Mitt</v>
      </c>
      <c r="C307" s="755">
        <f t="shared" si="23"/>
        <v>8</v>
      </c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Janek Tarto, Romek Tarto</v>
      </c>
      <c r="C308" s="755">
        <f t="shared" si="23"/>
        <v>7</v>
      </c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Heili Vasser, Vello Vasser</v>
      </c>
      <c r="C309" s="755">
        <f t="shared" si="23"/>
        <v>6</v>
      </c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x14ac:dyDescent="0.2">
      <c r="A310" s="875">
        <v>11</v>
      </c>
      <c r="B310" s="816" t="str">
        <f t="shared" si="22"/>
        <v>Enn Tokman, Tarmo Bombe</v>
      </c>
      <c r="C310" s="755">
        <f t="shared" si="23"/>
        <v>5</v>
      </c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Klavdia Piik, Melika Lehtla</v>
      </c>
      <c r="C311" s="755">
        <f t="shared" si="23"/>
        <v>4</v>
      </c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Kaspar Mänd, Reimo Lõhmus</v>
      </c>
      <c r="C312" s="755">
        <f t="shared" si="23"/>
        <v>3</v>
      </c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875">
        <v>14</v>
      </c>
      <c r="B313" s="816" t="str">
        <f t="shared" si="22"/>
        <v>Karla Purgats, Meelis Luud</v>
      </c>
      <c r="C313" s="755">
        <f t="shared" si="23"/>
        <v>2</v>
      </c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  <row r="314" spans="1:27" x14ac:dyDescent="0.2">
      <c r="A314" s="875">
        <v>15</v>
      </c>
      <c r="B314" s="816" t="str">
        <f t="shared" si="22"/>
        <v>Ksenija Matšneva, Veroonika Mendes</v>
      </c>
      <c r="C314" s="755">
        <f t="shared" si="23"/>
        <v>1</v>
      </c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</row>
    <row r="315" spans="1:27" x14ac:dyDescent="0.2">
      <c r="A315" s="755"/>
      <c r="B315" s="754"/>
      <c r="C315" s="755"/>
      <c r="D315" s="755"/>
      <c r="E315" s="755"/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</row>
    <row r="316" spans="1:27" x14ac:dyDescent="0.2">
      <c r="A316" s="755"/>
      <c r="B316" s="754"/>
      <c r="C316" s="755"/>
      <c r="D316" s="755"/>
      <c r="E316" s="755"/>
      <c r="F316" s="755"/>
      <c r="G316" s="755"/>
      <c r="H316" s="755"/>
      <c r="I316" s="755"/>
      <c r="J316" s="755"/>
      <c r="K316" s="755"/>
      <c r="L316" s="755"/>
      <c r="M316" s="755"/>
      <c r="N316" s="755"/>
      <c r="O316" s="755"/>
      <c r="P316" s="755"/>
      <c r="Q316" s="755"/>
      <c r="R316" s="755"/>
      <c r="S316" s="755"/>
      <c r="T316" s="755"/>
      <c r="U316" s="755"/>
      <c r="V316" s="755"/>
      <c r="W316" s="755"/>
      <c r="X316" s="755"/>
      <c r="Y316" s="755"/>
      <c r="Z316" s="755"/>
      <c r="AA316" s="755"/>
    </row>
    <row r="317" spans="1:27" x14ac:dyDescent="0.2">
      <c r="A317" s="755"/>
      <c r="B317" s="754"/>
      <c r="C317" s="755"/>
      <c r="D317" s="755"/>
      <c r="E317" s="755"/>
      <c r="F317" s="755"/>
      <c r="G317" s="755"/>
      <c r="H317" s="755"/>
      <c r="I317" s="755"/>
      <c r="J317" s="755"/>
      <c r="K317" s="755"/>
      <c r="L317" s="755"/>
      <c r="M317" s="755"/>
      <c r="N317" s="755"/>
      <c r="O317" s="755"/>
      <c r="P317" s="755"/>
      <c r="Q317" s="755"/>
      <c r="R317" s="755"/>
      <c r="S317" s="755"/>
      <c r="T317" s="755"/>
      <c r="U317" s="755"/>
      <c r="V317" s="755"/>
      <c r="W317" s="755"/>
      <c r="X317" s="755"/>
      <c r="Y317" s="755"/>
      <c r="Z317" s="755"/>
      <c r="AA317" s="755"/>
    </row>
  </sheetData>
  <conditionalFormatting sqref="B313">
    <cfRule type="containsBlanks" dxfId="1305" priority="263">
      <formula>LEN(TRIM(B313))=0</formula>
    </cfRule>
    <cfRule type="duplicateValues" dxfId="1304" priority="264"/>
  </conditionalFormatting>
  <conditionalFormatting sqref="I56:I60">
    <cfRule type="expression" dxfId="1303" priority="102">
      <formula>FIND(2,I56,1)</formula>
    </cfRule>
    <cfRule type="expression" dxfId="1302" priority="103">
      <formula>FIND(1,I56,1)</formula>
    </cfRule>
  </conditionalFormatting>
  <conditionalFormatting sqref="A102:A116">
    <cfRule type="cellIs" dxfId="1301" priority="256" operator="equal">
      <formula>"-"</formula>
    </cfRule>
    <cfRule type="duplicateValues" dxfId="1300" priority="257"/>
  </conditionalFormatting>
  <conditionalFormatting sqref="A140:A154">
    <cfRule type="cellIs" dxfId="1299" priority="254" operator="equal">
      <formula>"-"</formula>
    </cfRule>
    <cfRule type="duplicateValues" dxfId="1298" priority="255"/>
  </conditionalFormatting>
  <conditionalFormatting sqref="D7 C8">
    <cfRule type="aboveAverage" dxfId="1297" priority="253"/>
  </conditionalFormatting>
  <conditionalFormatting sqref="E7 C9">
    <cfRule type="aboveAverage" dxfId="1296" priority="252"/>
  </conditionalFormatting>
  <conditionalFormatting sqref="F7 C10">
    <cfRule type="aboveAverage" dxfId="1295" priority="251"/>
  </conditionalFormatting>
  <conditionalFormatting sqref="E8 D9">
    <cfRule type="aboveAverage" dxfId="1294" priority="250"/>
  </conditionalFormatting>
  <conditionalFormatting sqref="G7 C11">
    <cfRule type="aboveAverage" dxfId="1293" priority="249"/>
  </conditionalFormatting>
  <conditionalFormatting sqref="F8 D10">
    <cfRule type="aboveAverage" dxfId="1292" priority="248"/>
  </conditionalFormatting>
  <conditionalFormatting sqref="G8 D11">
    <cfRule type="aboveAverage" dxfId="1291" priority="247"/>
  </conditionalFormatting>
  <conditionalFormatting sqref="F9 E10">
    <cfRule type="aboveAverage" dxfId="1290" priority="246"/>
  </conditionalFormatting>
  <conditionalFormatting sqref="G9 E11">
    <cfRule type="aboveAverage" dxfId="1289" priority="245"/>
  </conditionalFormatting>
  <conditionalFormatting sqref="F11 G10">
    <cfRule type="aboveAverage" dxfId="1288" priority="244"/>
  </conditionalFormatting>
  <conditionalFormatting sqref="K14:K18">
    <cfRule type="expression" dxfId="1287" priority="236">
      <formula>AND(J14=3,IF(COUNTIF(J$14:J$18,"=3")&gt;=2,TRUE))</formula>
    </cfRule>
    <cfRule type="expression" dxfId="1286" priority="242">
      <formula>AND(J14=1,IF(COUNTIF(J$14:J$18,"=1")&gt;=2,TRUE))</formula>
    </cfRule>
    <cfRule type="expression" dxfId="1285" priority="243">
      <formula>AND(J14=2,IF(COUNTIF(J$14:J$18,"=2")&gt;=2,TRUE))</formula>
    </cfRule>
  </conditionalFormatting>
  <conditionalFormatting sqref="K21:K25">
    <cfRule type="expression" dxfId="1284" priority="235">
      <formula>AND(J21=3,IF(COUNTIF(J$21:J$25,"=3")&gt;=2,TRUE))</formula>
    </cfRule>
    <cfRule type="expression" dxfId="1283" priority="240">
      <formula>AND(J21=1,IF(COUNTIF(J$21:J$25,"=1")&gt;=2,TRUE))</formula>
    </cfRule>
    <cfRule type="expression" dxfId="1282" priority="241">
      <formula>AND(J21=2,IF(COUNTIF(J$21:J$25,"=2")&gt;=2,TRUE))</formula>
    </cfRule>
  </conditionalFormatting>
  <conditionalFormatting sqref="K7:K11">
    <cfRule type="expression" dxfId="1281" priority="237">
      <formula>AND(J7=3,IF(COUNTIF(J$7:J$11,"=3")&gt;=2,TRUE))</formula>
    </cfRule>
    <cfRule type="expression" dxfId="1280" priority="238">
      <formula>AND(J7=1,IF(COUNTIF(J$7:J$11,"=1")&gt;=2,TRUE))</formula>
    </cfRule>
    <cfRule type="expression" dxfId="1279" priority="239">
      <formula>AND(J7=2,IF(COUNTIF(J$7:J$11,"=2")&gt;=2,TRUE))</formula>
    </cfRule>
  </conditionalFormatting>
  <conditionalFormatting sqref="H7:H11">
    <cfRule type="expression" dxfId="1278" priority="226">
      <formula>AND(J7=1,IF(COUNTIF(J$7:J$11,"=1")&gt;=2,TRUE))</formula>
    </cfRule>
    <cfRule type="expression" dxfId="1277" priority="233">
      <formula>AND(J7=3,IF(COUNTIF(J$7:J$11,"=3")&gt;=2,TRUE))</formula>
    </cfRule>
    <cfRule type="expression" dxfId="1276" priority="234">
      <formula>AND(J7=2,IF(COUNTIF(J$7:J$11,"=2")&gt;=2,TRUE))</formula>
    </cfRule>
  </conditionalFormatting>
  <conditionalFormatting sqref="H17:H18">
    <cfRule type="expression" dxfId="1275" priority="227">
      <formula>AND(J17=1,IF(COUNTIF(J$14:J$18,"=1")&gt;=2,TRUE))</formula>
    </cfRule>
    <cfRule type="expression" dxfId="1274" priority="231">
      <formula>AND(J17=3,IF(COUNTIF(J$14:J$18,"=3")&gt;=2,TRUE))</formula>
    </cfRule>
    <cfRule type="expression" dxfId="1273" priority="232">
      <formula>AND(J17=2,IF(COUNTIF(J$14:J$18,"=2")&gt;=2,TRUE))</formula>
    </cfRule>
  </conditionalFormatting>
  <conditionalFormatting sqref="H21:H25">
    <cfRule type="expression" dxfId="1272" priority="228">
      <formula>AND(J21=1,IF(COUNTIF(J$21:J$25,"=1")&gt;=2,TRUE))</formula>
    </cfRule>
    <cfRule type="expression" dxfId="1271" priority="229">
      <formula>AND(J21=3,IF(COUNTIF(J$21:J$25,"=3")&gt;=2,TRUE))</formula>
    </cfRule>
    <cfRule type="expression" dxfId="1270" priority="230">
      <formula>AND(J21=2,IF(COUNTIF(J$21:J$25,"=2")&gt;=2,TRUE))</formula>
    </cfRule>
  </conditionalFormatting>
  <conditionalFormatting sqref="C69 C73:C74">
    <cfRule type="aboveAverage" dxfId="1269" priority="225"/>
  </conditionalFormatting>
  <conditionalFormatting sqref="D69 D73:D74">
    <cfRule type="aboveAverage" dxfId="1268" priority="224"/>
  </conditionalFormatting>
  <conditionalFormatting sqref="K28:K32">
    <cfRule type="expression" dxfId="1267" priority="221">
      <formula>AND(J28=3,IF(COUNTIF(J$28:J$32,"=3")&gt;=2,TRUE))</formula>
    </cfRule>
    <cfRule type="expression" dxfId="1266" priority="222">
      <formula>AND(J28=1,IF(COUNTIF(J$28:J$32,"=1")&gt;=2,TRUE))</formula>
    </cfRule>
    <cfRule type="expression" dxfId="1265" priority="223">
      <formula>AND(J28=2,IF(COUNTIF(J$28:J$32,"=2")&gt;=2,TRUE))</formula>
    </cfRule>
  </conditionalFormatting>
  <conditionalFormatting sqref="H28:H32">
    <cfRule type="expression" dxfId="1264" priority="218">
      <formula>AND(J28=1,IF(COUNTIF(J$28:J$32,"=1")&gt;=2,TRUE))</formula>
    </cfRule>
    <cfRule type="expression" dxfId="1263" priority="219">
      <formula>AND(J28=3,IF(COUNTIF(J$28:J$32,"=3")&gt;=2,TRUE))</formula>
    </cfRule>
    <cfRule type="expression" dxfId="1262" priority="220">
      <formula>AND(J28=2,IF(COUNTIF(J$28:J$32,"=2")&gt;=2,TRUE))</formula>
    </cfRule>
  </conditionalFormatting>
  <conditionalFormatting sqref="D14 C15">
    <cfRule type="aboveAverage" dxfId="1261" priority="217"/>
  </conditionalFormatting>
  <conditionalFormatting sqref="E14 C16">
    <cfRule type="aboveAverage" dxfId="1260" priority="216"/>
  </conditionalFormatting>
  <conditionalFormatting sqref="F14 C17">
    <cfRule type="aboveAverage" dxfId="1259" priority="215"/>
  </conditionalFormatting>
  <conditionalFormatting sqref="E15 D16">
    <cfRule type="aboveAverage" dxfId="1258" priority="214"/>
  </conditionalFormatting>
  <conditionalFormatting sqref="G14 C18">
    <cfRule type="aboveAverage" dxfId="1257" priority="213"/>
  </conditionalFormatting>
  <conditionalFormatting sqref="F15 D17">
    <cfRule type="aboveAverage" dxfId="1256" priority="212"/>
  </conditionalFormatting>
  <conditionalFormatting sqref="G15 D18">
    <cfRule type="aboveAverage" dxfId="1255" priority="211"/>
  </conditionalFormatting>
  <conditionalFormatting sqref="F16 E17">
    <cfRule type="aboveAverage" dxfId="1254" priority="210"/>
  </conditionalFormatting>
  <conditionalFormatting sqref="G16 E18">
    <cfRule type="aboveAverage" dxfId="1253" priority="209"/>
  </conditionalFormatting>
  <conditionalFormatting sqref="F18 G17">
    <cfRule type="aboveAverage" dxfId="1252" priority="208"/>
  </conditionalFormatting>
  <conditionalFormatting sqref="D21 C22">
    <cfRule type="aboveAverage" dxfId="1251" priority="207"/>
  </conditionalFormatting>
  <conditionalFormatting sqref="E21 C23">
    <cfRule type="aboveAverage" dxfId="1250" priority="206"/>
  </conditionalFormatting>
  <conditionalFormatting sqref="F21 C24">
    <cfRule type="aboveAverage" dxfId="1249" priority="205"/>
  </conditionalFormatting>
  <conditionalFormatting sqref="E22 D23">
    <cfRule type="aboveAverage" dxfId="1248" priority="204"/>
  </conditionalFormatting>
  <conditionalFormatting sqref="G21 C25">
    <cfRule type="aboveAverage" dxfId="1247" priority="203"/>
  </conditionalFormatting>
  <conditionalFormatting sqref="F22 D24">
    <cfRule type="aboveAverage" dxfId="1246" priority="202"/>
  </conditionalFormatting>
  <conditionalFormatting sqref="G22 D25">
    <cfRule type="aboveAverage" dxfId="1245" priority="201"/>
  </conditionalFormatting>
  <conditionalFormatting sqref="F23 E24">
    <cfRule type="aboveAverage" dxfId="1244" priority="200"/>
  </conditionalFormatting>
  <conditionalFormatting sqref="G23 E25">
    <cfRule type="aboveAverage" dxfId="1243" priority="199"/>
  </conditionalFormatting>
  <conditionalFormatting sqref="F25 G24">
    <cfRule type="aboveAverage" dxfId="1242" priority="198"/>
  </conditionalFormatting>
  <conditionalFormatting sqref="D28 C29">
    <cfRule type="aboveAverage" dxfId="1241" priority="197"/>
  </conditionalFormatting>
  <conditionalFormatting sqref="E28 C30">
    <cfRule type="aboveAverage" dxfId="1240" priority="196"/>
  </conditionalFormatting>
  <conditionalFormatting sqref="F28 C31">
    <cfRule type="aboveAverage" dxfId="1239" priority="195"/>
  </conditionalFormatting>
  <conditionalFormatting sqref="E29 D30">
    <cfRule type="aboveAverage" dxfId="1238" priority="194"/>
  </conditionalFormatting>
  <conditionalFormatting sqref="G28 C32">
    <cfRule type="aboveAverage" dxfId="1237" priority="193"/>
  </conditionalFormatting>
  <conditionalFormatting sqref="F29 D31">
    <cfRule type="aboveAverage" dxfId="1236" priority="192"/>
  </conditionalFormatting>
  <conditionalFormatting sqref="G29 D32">
    <cfRule type="aboveAverage" dxfId="1235" priority="191"/>
  </conditionalFormatting>
  <conditionalFormatting sqref="F30 E31">
    <cfRule type="aboveAverage" dxfId="1234" priority="190"/>
  </conditionalFormatting>
  <conditionalFormatting sqref="G30 E32">
    <cfRule type="aboveAverage" dxfId="1233" priority="189"/>
  </conditionalFormatting>
  <conditionalFormatting sqref="F32 G31">
    <cfRule type="aboveAverage" dxfId="1232" priority="188"/>
  </conditionalFormatting>
  <conditionalFormatting sqref="D35 C36">
    <cfRule type="aboveAverage" dxfId="1231" priority="186"/>
  </conditionalFormatting>
  <conditionalFormatting sqref="E35 C37">
    <cfRule type="aboveAverage" dxfId="1230" priority="185"/>
  </conditionalFormatting>
  <conditionalFormatting sqref="F35 C38">
    <cfRule type="aboveAverage" dxfId="1229" priority="184"/>
  </conditionalFormatting>
  <conditionalFormatting sqref="E36 D37">
    <cfRule type="aboveAverage" dxfId="1228" priority="183"/>
  </conditionalFormatting>
  <conditionalFormatting sqref="G35 C39">
    <cfRule type="aboveAverage" dxfId="1227" priority="182"/>
  </conditionalFormatting>
  <conditionalFormatting sqref="F36 D38">
    <cfRule type="aboveAverage" dxfId="1226" priority="181"/>
  </conditionalFormatting>
  <conditionalFormatting sqref="G36 D39">
    <cfRule type="aboveAverage" dxfId="1225" priority="180"/>
  </conditionalFormatting>
  <conditionalFormatting sqref="F37 E38">
    <cfRule type="aboveAverage" dxfId="1224" priority="179"/>
  </conditionalFormatting>
  <conditionalFormatting sqref="G37 E39">
    <cfRule type="aboveAverage" dxfId="1223" priority="178"/>
  </conditionalFormatting>
  <conditionalFormatting sqref="F39 G38">
    <cfRule type="aboveAverage" dxfId="1222" priority="177"/>
  </conditionalFormatting>
  <conditionalFormatting sqref="K42:K46">
    <cfRule type="expression" dxfId="1221" priority="169">
      <formula>AND(J42=3,IF(COUNTIF(J$14:J$18,"=3")&gt;=2,TRUE))</formula>
    </cfRule>
    <cfRule type="expression" dxfId="1220" priority="175">
      <formula>AND(J42=1,IF(COUNTIF(J$14:J$18,"=1")&gt;=2,TRUE))</formula>
    </cfRule>
    <cfRule type="expression" dxfId="1219" priority="176">
      <formula>AND(J42=2,IF(COUNTIF(J$14:J$18,"=2")&gt;=2,TRUE))</formula>
    </cfRule>
  </conditionalFormatting>
  <conditionalFormatting sqref="K49:K53">
    <cfRule type="expression" dxfId="1218" priority="168">
      <formula>AND(J49=3,IF(COUNTIF(J$21:J$25,"=3")&gt;=2,TRUE))</formula>
    </cfRule>
    <cfRule type="expression" dxfId="1217" priority="173">
      <formula>AND(J49=1,IF(COUNTIF(J$21:J$25,"=1")&gt;=2,TRUE))</formula>
    </cfRule>
    <cfRule type="expression" dxfId="1216" priority="174">
      <formula>AND(J49=2,IF(COUNTIF(J$21:J$25,"=2")&gt;=2,TRUE))</formula>
    </cfRule>
  </conditionalFormatting>
  <conditionalFormatting sqref="K35:K39">
    <cfRule type="expression" dxfId="1215" priority="170">
      <formula>AND(J35=3,IF(COUNTIF(J$7:J$11,"=3")&gt;=2,TRUE))</formula>
    </cfRule>
    <cfRule type="expression" dxfId="1214" priority="171">
      <formula>AND(J35=1,IF(COUNTIF(J$7:J$11,"=1")&gt;=2,TRUE))</formula>
    </cfRule>
    <cfRule type="expression" dxfId="1213" priority="172">
      <formula>AND(J35=2,IF(COUNTIF(J$7:J$11,"=2")&gt;=2,TRUE))</formula>
    </cfRule>
  </conditionalFormatting>
  <conditionalFormatting sqref="H35:H39">
    <cfRule type="expression" dxfId="1212" priority="159">
      <formula>AND(J35=1,IF(COUNTIF(J$7:J$11,"=1")&gt;=2,TRUE))</formula>
    </cfRule>
    <cfRule type="expression" dxfId="1211" priority="166">
      <formula>AND(J35=3,IF(COUNTIF(J$7:J$11,"=3")&gt;=2,TRUE))</formula>
    </cfRule>
    <cfRule type="expression" dxfId="1210" priority="167">
      <formula>AND(J35=2,IF(COUNTIF(J$7:J$11,"=2")&gt;=2,TRUE))</formula>
    </cfRule>
  </conditionalFormatting>
  <conditionalFormatting sqref="H42:H46">
    <cfRule type="expression" dxfId="1209" priority="160">
      <formula>AND(J42=1,IF(COUNTIF(J$14:J$18,"=1")&gt;=2,TRUE))</formula>
    </cfRule>
    <cfRule type="expression" dxfId="1208" priority="164">
      <formula>AND(J42=3,IF(COUNTIF(J$14:J$18,"=3")&gt;=2,TRUE))</formula>
    </cfRule>
    <cfRule type="expression" dxfId="1207" priority="165">
      <formula>AND(J42=2,IF(COUNTIF(J$14:J$18,"=2")&gt;=2,TRUE))</formula>
    </cfRule>
  </conditionalFormatting>
  <conditionalFormatting sqref="H49:H53">
    <cfRule type="expression" dxfId="1206" priority="161">
      <formula>AND(J49=1,IF(COUNTIF(J$21:J$25,"=1")&gt;=2,TRUE))</formula>
    </cfRule>
    <cfRule type="expression" dxfId="1205" priority="162">
      <formula>AND(J49=3,IF(COUNTIF(J$21:J$25,"=3")&gt;=2,TRUE))</formula>
    </cfRule>
    <cfRule type="expression" dxfId="1204" priority="163">
      <formula>AND(J49=2,IF(COUNTIF(J$21:J$25,"=2")&gt;=2,TRUE))</formula>
    </cfRule>
  </conditionalFormatting>
  <conditionalFormatting sqref="K56:K60">
    <cfRule type="expression" dxfId="1203" priority="156">
      <formula>AND(J56=3,IF(COUNTIF(J$28:J$32,"=3")&gt;=2,TRUE))</formula>
    </cfRule>
    <cfRule type="expression" dxfId="1202" priority="157">
      <formula>AND(J56=1,IF(COUNTIF(J$28:J$32,"=1")&gt;=2,TRUE))</formula>
    </cfRule>
    <cfRule type="expression" dxfId="1201" priority="158">
      <formula>AND(J56=2,IF(COUNTIF(J$28:J$32,"=2")&gt;=2,TRUE))</formula>
    </cfRule>
  </conditionalFormatting>
  <conditionalFormatting sqref="H56:H60">
    <cfRule type="expression" dxfId="1200" priority="153">
      <formula>AND(J56=1,IF(COUNTIF(J$28:J$32,"=1")&gt;=2,TRUE))</formula>
    </cfRule>
    <cfRule type="expression" dxfId="1199" priority="154">
      <formula>AND(J56=3,IF(COUNTIF(J$28:J$32,"=3")&gt;=2,TRUE))</formula>
    </cfRule>
    <cfRule type="expression" dxfId="1198" priority="155">
      <formula>AND(J56=2,IF(COUNTIF(J$28:J$32,"=2")&gt;=2,TRUE))</formula>
    </cfRule>
  </conditionalFormatting>
  <conditionalFormatting sqref="B37">
    <cfRule type="duplicateValues" dxfId="1197" priority="187"/>
  </conditionalFormatting>
  <conditionalFormatting sqref="D42 C43">
    <cfRule type="aboveAverage" dxfId="1196" priority="151"/>
  </conditionalFormatting>
  <conditionalFormatting sqref="E42 C44">
    <cfRule type="aboveAverage" dxfId="1195" priority="150"/>
  </conditionalFormatting>
  <conditionalFormatting sqref="F42 C45">
    <cfRule type="aboveAverage" dxfId="1194" priority="149"/>
  </conditionalFormatting>
  <conditionalFormatting sqref="E43 D44">
    <cfRule type="aboveAverage" dxfId="1193" priority="148"/>
  </conditionalFormatting>
  <conditionalFormatting sqref="G42 C46">
    <cfRule type="aboveAverage" dxfId="1192" priority="147"/>
  </conditionalFormatting>
  <conditionalFormatting sqref="F43 D45">
    <cfRule type="aboveAverage" dxfId="1191" priority="146"/>
  </conditionalFormatting>
  <conditionalFormatting sqref="G43 D46">
    <cfRule type="aboveAverage" dxfId="1190" priority="145"/>
  </conditionalFormatting>
  <conditionalFormatting sqref="F44 E45">
    <cfRule type="aboveAverage" dxfId="1189" priority="144"/>
  </conditionalFormatting>
  <conditionalFormatting sqref="G44 E46">
    <cfRule type="aboveAverage" dxfId="1188" priority="143"/>
  </conditionalFormatting>
  <conditionalFormatting sqref="F46 G45">
    <cfRule type="aboveAverage" dxfId="1187" priority="142"/>
  </conditionalFormatting>
  <conditionalFormatting sqref="B44">
    <cfRule type="duplicateValues" dxfId="1186" priority="152"/>
  </conditionalFormatting>
  <conditionalFormatting sqref="D49 C50">
    <cfRule type="aboveAverage" dxfId="1185" priority="140"/>
  </conditionalFormatting>
  <conditionalFormatting sqref="E49 C51">
    <cfRule type="aboveAverage" dxfId="1184" priority="139"/>
  </conditionalFormatting>
  <conditionalFormatting sqref="F49 C52">
    <cfRule type="aboveAverage" dxfId="1183" priority="138"/>
  </conditionalFormatting>
  <conditionalFormatting sqref="E50 D51">
    <cfRule type="aboveAverage" dxfId="1182" priority="137"/>
  </conditionalFormatting>
  <conditionalFormatting sqref="G49 C53">
    <cfRule type="aboveAverage" dxfId="1181" priority="136"/>
  </conditionalFormatting>
  <conditionalFormatting sqref="F50 D52">
    <cfRule type="aboveAverage" dxfId="1180" priority="135"/>
  </conditionalFormatting>
  <conditionalFormatting sqref="G50 D53">
    <cfRule type="aboveAverage" dxfId="1179" priority="134"/>
  </conditionalFormatting>
  <conditionalFormatting sqref="F51 E52">
    <cfRule type="aboveAverage" dxfId="1178" priority="133"/>
  </conditionalFormatting>
  <conditionalFormatting sqref="G51 E53">
    <cfRule type="aboveAverage" dxfId="1177" priority="132"/>
  </conditionalFormatting>
  <conditionalFormatting sqref="F53 G52">
    <cfRule type="aboveAverage" dxfId="1176" priority="131"/>
  </conditionalFormatting>
  <conditionalFormatting sqref="B51">
    <cfRule type="duplicateValues" dxfId="1175" priority="141"/>
  </conditionalFormatting>
  <conditionalFormatting sqref="D56 C57">
    <cfRule type="aboveAverage" dxfId="1174" priority="129"/>
  </conditionalFormatting>
  <conditionalFormatting sqref="E56 C58">
    <cfRule type="aboveAverage" dxfId="1173" priority="128"/>
  </conditionalFormatting>
  <conditionalFormatting sqref="F56 C59">
    <cfRule type="aboveAverage" dxfId="1172" priority="127"/>
  </conditionalFormatting>
  <conditionalFormatting sqref="E57 D58">
    <cfRule type="aboveAverage" dxfId="1171" priority="126"/>
  </conditionalFormatting>
  <conditionalFormatting sqref="G56 C60">
    <cfRule type="aboveAverage" dxfId="1170" priority="125"/>
  </conditionalFormatting>
  <conditionalFormatting sqref="F57 D59">
    <cfRule type="aboveAverage" dxfId="1169" priority="124"/>
  </conditionalFormatting>
  <conditionalFormatting sqref="G57 D60">
    <cfRule type="aboveAverage" dxfId="1168" priority="123"/>
  </conditionalFormatting>
  <conditionalFormatting sqref="F58 E59">
    <cfRule type="aboveAverage" dxfId="1167" priority="122"/>
  </conditionalFormatting>
  <conditionalFormatting sqref="G58 E60">
    <cfRule type="aboveAverage" dxfId="1166" priority="121"/>
  </conditionalFormatting>
  <conditionalFormatting sqref="F60 G59">
    <cfRule type="aboveAverage" dxfId="1165" priority="120"/>
  </conditionalFormatting>
  <conditionalFormatting sqref="B58">
    <cfRule type="duplicateValues" dxfId="1164" priority="130"/>
  </conditionalFormatting>
  <conditionalFormatting sqref="I10:I11">
    <cfRule type="expression" dxfId="1163" priority="118">
      <formula>FIND(2,I10,1)</formula>
    </cfRule>
    <cfRule type="expression" dxfId="1162" priority="119">
      <formula>FIND(1,I10,1)</formula>
    </cfRule>
  </conditionalFormatting>
  <conditionalFormatting sqref="I7:I9">
    <cfRule type="expression" dxfId="1161" priority="116">
      <formula>FIND(2,I7,1)</formula>
    </cfRule>
    <cfRule type="expression" dxfId="1160" priority="117">
      <formula>FIND(1,I7,1)</formula>
    </cfRule>
  </conditionalFormatting>
  <conditionalFormatting sqref="I28:I32">
    <cfRule type="expression" dxfId="1159" priority="112">
      <formula>FIND(2,I28,1)</formula>
    </cfRule>
    <cfRule type="expression" dxfId="1158" priority="113">
      <formula>FIND(1,I28,1)</formula>
    </cfRule>
  </conditionalFormatting>
  <conditionalFormatting sqref="I21:I25">
    <cfRule type="expression" dxfId="1157" priority="114">
      <formula>FIND(2,I21,1)</formula>
    </cfRule>
    <cfRule type="expression" dxfId="1156" priority="115">
      <formula>FIND(1,I21,1)</formula>
    </cfRule>
  </conditionalFormatting>
  <conditionalFormatting sqref="I38:I39">
    <cfRule type="expression" dxfId="1155" priority="110">
      <formula>FIND(2,I38,1)</formula>
    </cfRule>
    <cfRule type="expression" dxfId="1154" priority="111">
      <formula>FIND(1,I38,1)</formula>
    </cfRule>
  </conditionalFormatting>
  <conditionalFormatting sqref="I35:I37">
    <cfRule type="expression" dxfId="1153" priority="108">
      <formula>FIND(2,I35,1)</formula>
    </cfRule>
    <cfRule type="expression" dxfId="1152" priority="109">
      <formula>FIND(1,I35,1)</formula>
    </cfRule>
  </conditionalFormatting>
  <conditionalFormatting sqref="I42:I46">
    <cfRule type="expression" dxfId="1151" priority="106">
      <formula>FIND(2,I42,1)</formula>
    </cfRule>
    <cfRule type="expression" dxfId="1150" priority="107">
      <formula>FIND(1,I42,1)</formula>
    </cfRule>
  </conditionalFormatting>
  <conditionalFormatting sqref="I49:I53">
    <cfRule type="expression" dxfId="1149" priority="104">
      <formula>FIND(2,I49,1)</formula>
    </cfRule>
    <cfRule type="expression" dxfId="1148" priority="105">
      <formula>FIND(1,I49,1)</formula>
    </cfRule>
  </conditionalFormatting>
  <conditionalFormatting sqref="L15:L18">
    <cfRule type="expression" dxfId="1147" priority="96">
      <formula>OR(J15=0,J15=4)</formula>
    </cfRule>
    <cfRule type="expression" dxfId="1146" priority="100">
      <formula>AND(J15=1,IF(COUNTIF(J$14:J$18,"=1")=1,TRUE))</formula>
    </cfRule>
    <cfRule type="expression" dxfId="1145" priority="101">
      <formula>AND(J15=3,IF(COUNTIF(J$14:J$18,"=3")=1,TRUE))</formula>
    </cfRule>
  </conditionalFormatting>
  <conditionalFormatting sqref="L21:L25">
    <cfRule type="expression" dxfId="1144" priority="97">
      <formula>OR(J21=0,J21=4)</formula>
    </cfRule>
    <cfRule type="expression" dxfId="1143" priority="98">
      <formula>AND(J21=1,IF(COUNTIF(J$21:J$25,"=1")=1,TRUE))</formula>
    </cfRule>
    <cfRule type="expression" dxfId="1142" priority="99">
      <formula>AND(J21=3,IF(COUNTIF(J$21:J$25,"=3")=1,TRUE))</formula>
    </cfRule>
  </conditionalFormatting>
  <conditionalFormatting sqref="L7:L11">
    <cfRule type="expression" dxfId="1141" priority="93">
      <formula>OR(J7=0,J7=4)</formula>
    </cfRule>
    <cfRule type="expression" dxfId="1140" priority="94">
      <formula>AND(J7=1,IF(COUNTIF(J$7:J$11,"=1")=1,TRUE))</formula>
    </cfRule>
    <cfRule type="expression" dxfId="1139" priority="95">
      <formula>AND(J7=3,IF(COUNTIF(J$7:J$11,"=3")=1,TRUE))</formula>
    </cfRule>
  </conditionalFormatting>
  <conditionalFormatting sqref="L28:L32">
    <cfRule type="expression" dxfId="1138" priority="90">
      <formula>OR(J28=0,J28=4)</formula>
    </cfRule>
    <cfRule type="expression" dxfId="1137" priority="91">
      <formula>AND(J28=1,IF(COUNTIF(J$28:J$32,"=1")=1,TRUE))</formula>
    </cfRule>
    <cfRule type="expression" dxfId="1136" priority="92">
      <formula>AND(J28=3,IF(COUNTIF(J$28:J$32,"=3")=1,TRUE))</formula>
    </cfRule>
  </conditionalFormatting>
  <conditionalFormatting sqref="L43:L46">
    <cfRule type="expression" dxfId="1135" priority="84">
      <formula>OR(J43=0,J43=4)</formula>
    </cfRule>
    <cfRule type="expression" dxfId="1134" priority="88">
      <formula>AND(J43=1,IF(COUNTIF(J$14:J$18,"=1")=1,TRUE))</formula>
    </cfRule>
    <cfRule type="expression" dxfId="1133" priority="89">
      <formula>AND(J43=3,IF(COUNTIF(J$14:J$18,"=3")=1,TRUE))</formula>
    </cfRule>
  </conditionalFormatting>
  <conditionalFormatting sqref="L49:L53">
    <cfRule type="expression" dxfId="1132" priority="85">
      <formula>OR(J49=0,J49=4)</formula>
    </cfRule>
    <cfRule type="expression" dxfId="1131" priority="86">
      <formula>AND(J49=1,IF(COUNTIF(J$21:J$25,"=1")=1,TRUE))</formula>
    </cfRule>
    <cfRule type="expression" dxfId="1130" priority="87">
      <formula>AND(J49=3,IF(COUNTIF(J$21:J$25,"=3")=1,TRUE))</formula>
    </cfRule>
  </conditionalFormatting>
  <conditionalFormatting sqref="L35:L39">
    <cfRule type="expression" dxfId="1129" priority="81">
      <formula>OR(J35=0,J35=4)</formula>
    </cfRule>
    <cfRule type="expression" dxfId="1128" priority="82">
      <formula>AND(J35=1,IF(COUNTIF(J$7:J$11,"=1")=1,TRUE))</formula>
    </cfRule>
    <cfRule type="expression" dxfId="1127" priority="83">
      <formula>AND(J35=3,IF(COUNTIF(J$7:J$11,"=3")=1,TRUE))</formula>
    </cfRule>
  </conditionalFormatting>
  <conditionalFormatting sqref="L56:L60">
    <cfRule type="expression" dxfId="1126" priority="78">
      <formula>OR(J56=0,J56=4)</formula>
    </cfRule>
    <cfRule type="expression" dxfId="1125" priority="79">
      <formula>AND(J56=1,IF(COUNTIF(J$28:J$32,"=1")=1,TRUE))</formula>
    </cfRule>
    <cfRule type="expression" dxfId="1124" priority="80">
      <formula>AND(J56=3,IF(COUNTIF(J$28:J$32,"=3")=1,TRUE))</formula>
    </cfRule>
  </conditionalFormatting>
  <conditionalFormatting sqref="L42">
    <cfRule type="expression" dxfId="1123" priority="75">
      <formula>OR(J42=0,J42=4)</formula>
    </cfRule>
    <cfRule type="expression" dxfId="1122" priority="76">
      <formula>AND(J42=1,IF(COUNTIF(J$7:J$11,"=1")=1,TRUE))</formula>
    </cfRule>
    <cfRule type="expression" dxfId="1121" priority="77">
      <formula>AND(J42=3,IF(COUNTIF(J$7:J$11,"=3")=1,TRUE))</formula>
    </cfRule>
  </conditionalFormatting>
  <conditionalFormatting sqref="E123 E125">
    <cfRule type="aboveAverage" dxfId="1120" priority="74"/>
  </conditionalFormatting>
  <conditionalFormatting sqref="E127 E129">
    <cfRule type="aboveAverage" dxfId="1119" priority="73"/>
  </conditionalFormatting>
  <conditionalFormatting sqref="G124 G128">
    <cfRule type="aboveAverage" dxfId="1118" priority="72"/>
  </conditionalFormatting>
  <conditionalFormatting sqref="G131 G133">
    <cfRule type="aboveAverage" dxfId="1117" priority="71"/>
  </conditionalFormatting>
  <conditionalFormatting sqref="E123 E125 E127 E129 G124 G128 G131 G133">
    <cfRule type="containsBlanks" dxfId="1116" priority="70">
      <formula>LEN(TRIM(E123))=0</formula>
    </cfRule>
  </conditionalFormatting>
  <conditionalFormatting sqref="C102 C104">
    <cfRule type="aboveAverage" dxfId="1115" priority="69"/>
  </conditionalFormatting>
  <conditionalFormatting sqref="E103 E107">
    <cfRule type="aboveAverage" dxfId="1114" priority="68"/>
  </conditionalFormatting>
  <conditionalFormatting sqref="C110 C112">
    <cfRule type="aboveAverage" dxfId="1113" priority="67"/>
  </conditionalFormatting>
  <conditionalFormatting sqref="G105 G113">
    <cfRule type="aboveAverage" dxfId="1112" priority="66"/>
  </conditionalFormatting>
  <conditionalFormatting sqref="C102 C104 C110 C112 E103 G105 E107 G113">
    <cfRule type="containsBlanks" dxfId="1111" priority="65">
      <formula>LEN(TRIM(C102))=0</formula>
    </cfRule>
  </conditionalFormatting>
  <conditionalFormatting sqref="C106 C108">
    <cfRule type="aboveAverage" dxfId="1110" priority="64"/>
  </conditionalFormatting>
  <conditionalFormatting sqref="C106 C108">
    <cfRule type="containsBlanks" dxfId="1109" priority="63">
      <formula>LEN(TRIM(C106))=0</formula>
    </cfRule>
  </conditionalFormatting>
  <conditionalFormatting sqref="C114 C116">
    <cfRule type="aboveAverage" dxfId="1108" priority="62"/>
  </conditionalFormatting>
  <conditionalFormatting sqref="C114 C116">
    <cfRule type="containsBlanks" dxfId="1107" priority="61">
      <formula>LEN(TRIM(C114))=0</formula>
    </cfRule>
  </conditionalFormatting>
  <conditionalFormatting sqref="E103">
    <cfRule type="aboveAverage" dxfId="1106" priority="60"/>
  </conditionalFormatting>
  <conditionalFormatting sqref="E107">
    <cfRule type="aboveAverage" dxfId="1105" priority="59"/>
  </conditionalFormatting>
  <conditionalFormatting sqref="G105">
    <cfRule type="aboveAverage" dxfId="1104" priority="58"/>
  </conditionalFormatting>
  <conditionalFormatting sqref="G105">
    <cfRule type="aboveAverage" dxfId="1103" priority="57"/>
  </conditionalFormatting>
  <conditionalFormatting sqref="G113">
    <cfRule type="aboveAverage" dxfId="1102" priority="56"/>
  </conditionalFormatting>
  <conditionalFormatting sqref="G113">
    <cfRule type="aboveAverage" dxfId="1101" priority="55"/>
  </conditionalFormatting>
  <conditionalFormatting sqref="G117 G119">
    <cfRule type="aboveAverage" dxfId="1100" priority="54"/>
  </conditionalFormatting>
  <conditionalFormatting sqref="G117 G119">
    <cfRule type="containsBlanks" dxfId="1099" priority="53">
      <formula>LEN(TRIM(G117))=0</formula>
    </cfRule>
  </conditionalFormatting>
  <conditionalFormatting sqref="E107">
    <cfRule type="aboveAverage" dxfId="1098" priority="52"/>
  </conditionalFormatting>
  <conditionalFormatting sqref="E111 E115">
    <cfRule type="aboveAverage" dxfId="1097" priority="51"/>
  </conditionalFormatting>
  <conditionalFormatting sqref="E111 E115">
    <cfRule type="containsBlanks" dxfId="1096" priority="50">
      <formula>LEN(TRIM(E111))=0</formula>
    </cfRule>
  </conditionalFormatting>
  <conditionalFormatting sqref="E111">
    <cfRule type="aboveAverage" dxfId="1095" priority="49"/>
  </conditionalFormatting>
  <conditionalFormatting sqref="E115">
    <cfRule type="aboveAverage" dxfId="1094" priority="48"/>
  </conditionalFormatting>
  <conditionalFormatting sqref="E115">
    <cfRule type="aboveAverage" dxfId="1093" priority="47"/>
  </conditionalFormatting>
  <conditionalFormatting sqref="G113">
    <cfRule type="aboveAverage" dxfId="1092" priority="46"/>
  </conditionalFormatting>
  <conditionalFormatting sqref="G113">
    <cfRule type="aboveAverage" dxfId="1091" priority="45"/>
  </conditionalFormatting>
  <conditionalFormatting sqref="E161 E163">
    <cfRule type="aboveAverage" dxfId="1090" priority="44"/>
  </conditionalFormatting>
  <conditionalFormatting sqref="E165 E167">
    <cfRule type="aboveAverage" dxfId="1089" priority="43"/>
  </conditionalFormatting>
  <conditionalFormatting sqref="G162 G166">
    <cfRule type="aboveAverage" dxfId="1088" priority="42"/>
  </conditionalFormatting>
  <conditionalFormatting sqref="G169 G171">
    <cfRule type="aboveAverage" dxfId="1087" priority="41"/>
  </conditionalFormatting>
  <conditionalFormatting sqref="E161 E163 E165 E167 G162 G166 G169 G171">
    <cfRule type="containsBlanks" dxfId="1086" priority="40">
      <formula>LEN(TRIM(E161))=0</formula>
    </cfRule>
  </conditionalFormatting>
  <conditionalFormatting sqref="C140 C142">
    <cfRule type="aboveAverage" dxfId="1085" priority="39"/>
  </conditionalFormatting>
  <conditionalFormatting sqref="E141 E145">
    <cfRule type="aboveAverage" dxfId="1084" priority="38"/>
  </conditionalFormatting>
  <conditionalFormatting sqref="C148 C150">
    <cfRule type="aboveAverage" dxfId="1083" priority="37"/>
  </conditionalFormatting>
  <conditionalFormatting sqref="G143 G151">
    <cfRule type="aboveAverage" dxfId="1082" priority="36"/>
  </conditionalFormatting>
  <conditionalFormatting sqref="C140 C142 C148 C150 E141 G143 E145 G151">
    <cfRule type="containsBlanks" dxfId="1081" priority="35">
      <formula>LEN(TRIM(C140))=0</formula>
    </cfRule>
  </conditionalFormatting>
  <conditionalFormatting sqref="C144 C146">
    <cfRule type="aboveAverage" dxfId="1080" priority="34"/>
  </conditionalFormatting>
  <conditionalFormatting sqref="C144 C146">
    <cfRule type="containsBlanks" dxfId="1079" priority="33">
      <formula>LEN(TRIM(C144))=0</formula>
    </cfRule>
  </conditionalFormatting>
  <conditionalFormatting sqref="E141">
    <cfRule type="aboveAverage" dxfId="1078" priority="32"/>
  </conditionalFormatting>
  <conditionalFormatting sqref="E145">
    <cfRule type="aboveAverage" dxfId="1077" priority="31"/>
  </conditionalFormatting>
  <conditionalFormatting sqref="G143">
    <cfRule type="aboveAverage" dxfId="1076" priority="30"/>
  </conditionalFormatting>
  <conditionalFormatting sqref="G143">
    <cfRule type="aboveAverage" dxfId="1075" priority="29"/>
  </conditionalFormatting>
  <conditionalFormatting sqref="G151">
    <cfRule type="aboveAverage" dxfId="1074" priority="28"/>
  </conditionalFormatting>
  <conditionalFormatting sqref="G151">
    <cfRule type="aboveAverage" dxfId="1073" priority="27"/>
  </conditionalFormatting>
  <conditionalFormatting sqref="G155 G157">
    <cfRule type="aboveAverage" dxfId="1072" priority="26"/>
  </conditionalFormatting>
  <conditionalFormatting sqref="G155 G157">
    <cfRule type="containsBlanks" dxfId="1071" priority="25">
      <formula>LEN(TRIM(G155))=0</formula>
    </cfRule>
  </conditionalFormatting>
  <conditionalFormatting sqref="E145">
    <cfRule type="aboveAverage" dxfId="1070" priority="24"/>
  </conditionalFormatting>
  <conditionalFormatting sqref="E149 E153">
    <cfRule type="aboveAverage" dxfId="1069" priority="23"/>
  </conditionalFormatting>
  <conditionalFormatting sqref="E149 E153">
    <cfRule type="containsBlanks" dxfId="1068" priority="22">
      <formula>LEN(TRIM(E149))=0</formula>
    </cfRule>
  </conditionalFormatting>
  <conditionalFormatting sqref="E149">
    <cfRule type="aboveAverage" dxfId="1067" priority="21"/>
  </conditionalFormatting>
  <conditionalFormatting sqref="E153">
    <cfRule type="aboveAverage" dxfId="1066" priority="20"/>
  </conditionalFormatting>
  <conditionalFormatting sqref="E153">
    <cfRule type="aboveAverage" dxfId="1065" priority="19"/>
  </conditionalFormatting>
  <conditionalFormatting sqref="G151">
    <cfRule type="aboveAverage" dxfId="1064" priority="18"/>
  </conditionalFormatting>
  <conditionalFormatting sqref="G151">
    <cfRule type="aboveAverage" dxfId="1063" priority="17"/>
  </conditionalFormatting>
  <conditionalFormatting sqref="B301:B317">
    <cfRule type="containsBlanks" dxfId="1062" priority="261">
      <formula>LEN(TRIM(B301))=0</formula>
    </cfRule>
    <cfRule type="duplicateValues" dxfId="1061" priority="262"/>
  </conditionalFormatting>
  <conditionalFormatting sqref="B300:B317">
    <cfRule type="expression" dxfId="1060" priority="12">
      <formula>A300=3</formula>
    </cfRule>
    <cfRule type="expression" dxfId="1059" priority="13">
      <formula>A300=2</formula>
    </cfRule>
    <cfRule type="expression" dxfId="1058" priority="14">
      <formula>A300=1</formula>
    </cfRule>
    <cfRule type="containsBlanks" dxfId="1057" priority="15">
      <formula>LEN(TRIM(B300))=0</formula>
    </cfRule>
    <cfRule type="duplicateValues" dxfId="1056" priority="16"/>
  </conditionalFormatting>
  <conditionalFormatting sqref="L14">
    <cfRule type="expression" dxfId="1055" priority="10">
      <formula>OR(J14=0,J14=4)</formula>
    </cfRule>
    <cfRule type="expression" dxfId="1054" priority="11">
      <formula>AND(J14=3,IF(COUNTIF(J$7:J$11,"=3")=1,TRUE))</formula>
    </cfRule>
  </conditionalFormatting>
  <conditionalFormatting sqref="H14:H16">
    <cfRule type="expression" dxfId="1053" priority="7">
      <formula>AND(J14=1,IF(COUNTIF(J$7:J$11,"=1")&gt;=2,TRUE))</formula>
    </cfRule>
    <cfRule type="expression" dxfId="1052" priority="8">
      <formula>AND(J14=3,IF(COUNTIF(J$7:J$11,"=3")&gt;=2,TRUE))</formula>
    </cfRule>
    <cfRule type="expression" dxfId="1051" priority="9">
      <formula>AND(J14=2,IF(COUNTIF(J$7:J$11,"=2")&gt;=2,TRUE))</formula>
    </cfRule>
  </conditionalFormatting>
  <conditionalFormatting sqref="I17:I18">
    <cfRule type="expression" dxfId="1050" priority="5">
      <formula>FIND(2,I17,1)</formula>
    </cfRule>
    <cfRule type="expression" dxfId="1049" priority="6">
      <formula>FIND(1,I17,1)</formula>
    </cfRule>
  </conditionalFormatting>
  <conditionalFormatting sqref="I14:I16">
    <cfRule type="expression" dxfId="1048" priority="3">
      <formula>FIND(2,I14,1)</formula>
    </cfRule>
    <cfRule type="expression" dxfId="1047" priority="4">
      <formula>FIND(1,I14,1)</formula>
    </cfRule>
  </conditionalFormatting>
  <conditionalFormatting sqref="C152 C154">
    <cfRule type="aboveAverage" dxfId="1046" priority="2"/>
  </conditionalFormatting>
  <conditionalFormatting sqref="C152 C154">
    <cfRule type="containsBlanks" dxfId="1045" priority="1">
      <formula>LEN(TRIM(C152))=0</formula>
    </cfRule>
  </conditionalFormatting>
  <conditionalFormatting sqref="T7:T60 X7:X60 Z7:Z60">
    <cfRule type="expression" dxfId="1044" priority="297">
      <formula>AND(S7="",COUNTIF(T7,"*,*")=0)</formula>
    </cfRule>
  </conditionalFormatting>
  <conditionalFormatting sqref="V7:V60">
    <cfRule type="expression" dxfId="1043" priority="298">
      <formula>AND(U7="",FIND(",",V7))</formula>
    </cfRule>
    <cfRule type="expression" dxfId="1042" priority="299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3" manualBreakCount="3">
    <brk id="98" max="16383" man="1"/>
    <brk id="136" max="16383" man="1"/>
    <brk id="297" max="16383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A317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7.140625" style="1" bestFit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7" width="9.140625" style="1"/>
    <col min="18" max="18" width="0" style="1" hidden="1" customWidth="1"/>
    <col min="19" max="19" width="6" style="1" hidden="1" customWidth="1"/>
    <col min="20" max="20" width="20.85546875" style="1" hidden="1" customWidth="1"/>
    <col min="21" max="21" width="6" style="1" hidden="1" customWidth="1"/>
    <col min="22" max="22" width="15.7109375" style="1" hidden="1" customWidth="1"/>
    <col min="23" max="23" width="0" style="1" hidden="1" customWidth="1"/>
    <col min="24" max="24" width="17.28515625" style="1" hidden="1" customWidth="1"/>
    <col min="25" max="25" width="0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UPPER((Kalend!E49)&amp;" - "&amp;(Kalend!C49)&amp;" - "&amp;(Kalend!D49))</f>
        <v>IV-D - IDA-VIRUMAA SISE-MV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Q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"&amp;(Kalend!A49)&amp;" kell "&amp;(Kalend!B49)</f>
        <v>Toimumisaeg: P, 24.03.2019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"&amp;(Kalend!F49)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Q3" s="757"/>
      <c r="R3" s="889" t="s">
        <v>444</v>
      </c>
      <c r="S3" s="760"/>
      <c r="T3" s="760"/>
      <c r="U3" s="760"/>
      <c r="V3" s="760"/>
      <c r="W3" s="760"/>
      <c r="X3" s="760"/>
      <c r="Y3" s="760"/>
      <c r="Z3" s="760"/>
      <c r="AA3" s="757"/>
    </row>
    <row r="4" spans="1:27" x14ac:dyDescent="0.2">
      <c r="A4" s="757" t="str">
        <f>"Korraldaja: "&amp;(Kalend!G49)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61" t="s">
        <v>49</v>
      </c>
      <c r="S4" s="773"/>
      <c r="T4" s="772"/>
      <c r="U4" s="773"/>
      <c r="V4" s="892"/>
      <c r="W4" s="773"/>
      <c r="X4" s="773"/>
      <c r="Y4" s="773"/>
      <c r="Z4" s="773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358</v>
      </c>
      <c r="S5" s="762"/>
      <c r="T5" s="762" t="s">
        <v>359</v>
      </c>
      <c r="U5" s="762"/>
      <c r="V5" s="763" t="s">
        <v>360</v>
      </c>
      <c r="W5" s="762"/>
      <c r="X5" s="762" t="s">
        <v>361</v>
      </c>
      <c r="Y5" s="764"/>
      <c r="Z5" s="762" t="s">
        <v>362</v>
      </c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>
        <v>4</v>
      </c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366</v>
      </c>
      <c r="S6" s="773"/>
      <c r="T6" s="772"/>
      <c r="U6" s="773"/>
      <c r="V6" s="772"/>
      <c r="W6" s="774"/>
      <c r="X6" s="774"/>
      <c r="Y6" s="774"/>
      <c r="Z6" s="774"/>
      <c r="AA6" s="212"/>
    </row>
    <row r="7" spans="1:27" x14ac:dyDescent="0.2">
      <c r="A7" s="765">
        <v>1</v>
      </c>
      <c r="B7" s="940" t="s">
        <v>370</v>
      </c>
      <c r="C7" s="776"/>
      <c r="D7" s="778">
        <v>13</v>
      </c>
      <c r="E7" s="778">
        <v>13</v>
      </c>
      <c r="F7" s="778">
        <v>13</v>
      </c>
      <c r="G7" s="778"/>
      <c r="H7" s="796" t="str">
        <f>(IF(D7-C8&gt;0,1)+IF(E7-C9&gt;0,1)+IF(F7-C10&gt;0,1)+IF(G7-C11&gt;0,1))&amp;"-"&amp;(IF(D7-C8&lt;0,1)+IF(E7-C9&lt;0,1)+IF(F7-C10&lt;0,1)+IF(G7-C11&lt;0,1))</f>
        <v>3-0</v>
      </c>
      <c r="I7" s="778" t="str">
        <f>IF(AND(B7&lt;&gt;"",M$6=TRUE),A$6&amp;RANK(M7,M$7:M$11,0),"")</f>
        <v>A1</v>
      </c>
      <c r="J7" s="821">
        <f>VALUE(LEFT(H7,1))</f>
        <v>3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30000</v>
      </c>
      <c r="N7" s="212"/>
      <c r="O7" s="212"/>
      <c r="P7" s="212"/>
      <c r="Q7" s="212"/>
      <c r="R7" s="764">
        <f t="shared" ref="R7:R38" si="0">SUM(S7:AB7)</f>
        <v>240</v>
      </c>
      <c r="S7" s="784">
        <f>IFERROR(INDEX(V!$R:$R,MATCH(T7,V!$L:$L,0)),"")</f>
        <v>117</v>
      </c>
      <c r="T7" s="783" t="str">
        <f t="shared" ref="T7:T60" si="1">IFERROR(LEFT($B7,(FIND(",",$B7,1)-1)),"")</f>
        <v>Elmo Lageda</v>
      </c>
      <c r="U7" s="784">
        <f>IFERROR(INDEX(V!$R:$R,MATCH(V7,V!$L:$L,0)),"")</f>
        <v>123</v>
      </c>
      <c r="V7" s="783" t="str">
        <f t="shared" ref="V7:V60" si="2">IFERROR(MID($B7,FIND(", ",$B7)+2,256),"")</f>
        <v>Tõnu Piik</v>
      </c>
      <c r="W7" s="784" t="str">
        <f>IFERROR(INDEX(V!$R:$R,MATCH(X7,V!$L:$L,0)),"")</f>
        <v/>
      </c>
      <c r="X7" s="785" t="str">
        <f t="shared" ref="X7:X60" si="3">IFERROR(MID($B7,FIND("^",SUBSTITUTE($B7,", ","^",1))+2,FIND("^",SUBSTITUTE($B7,", ","^",2))-FIND("^",SUBSTITUTE($B7,", ","^",1))-2),"")</f>
        <v/>
      </c>
      <c r="Y7" s="784" t="str">
        <f>IFERROR(INDEX(V!$R:$R,MATCH(Z7,V!$L:$L,0)),"")</f>
        <v/>
      </c>
      <c r="Z7" s="785" t="str">
        <f t="shared" ref="Z7:Z60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404</v>
      </c>
      <c r="C8" s="778">
        <v>10</v>
      </c>
      <c r="D8" s="776"/>
      <c r="E8" s="778">
        <v>10</v>
      </c>
      <c r="F8" s="778">
        <v>5</v>
      </c>
      <c r="G8" s="778"/>
      <c r="H8" s="796" t="str">
        <f>(IF(C8-D7&gt;0,1)+IF(E8-D9&gt;0,1)+IF(F8-D10&gt;0,1)+IF(G8-D11&gt;0,1))&amp;"-"&amp;(IF(C8-D7&lt;0,1)+IF(E8-D9&lt;0,1)+IF(F8-D10&lt;0,1)+IF(G8-D11&lt;0,1))</f>
        <v>0-3</v>
      </c>
      <c r="I8" s="778" t="str">
        <f>IF(AND(B8&lt;&gt;"",M$6=TRUE),A$6&amp;RANK(M8,M$7:M$11,0),"")</f>
        <v>A4</v>
      </c>
      <c r="J8" s="821">
        <f t="shared" ref="J8:J11" si="5">VALUE(LEFT(H8,1))</f>
        <v>0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6">10000*J8+K8*100+L8</f>
        <v>0</v>
      </c>
      <c r="N8" s="212"/>
      <c r="O8" s="212"/>
      <c r="P8" s="212"/>
      <c r="Q8" s="212"/>
      <c r="R8" s="764">
        <f t="shared" si="0"/>
        <v>190.5</v>
      </c>
      <c r="S8" s="784">
        <f>IFERROR(INDEX(V!$R:$R,MATCH(T8,V!$L:$L,0)),"")</f>
        <v>98.5</v>
      </c>
      <c r="T8" s="783" t="str">
        <f t="shared" si="1"/>
        <v>Illar Tõnurist</v>
      </c>
      <c r="U8" s="784">
        <f>IFERROR(INDEX(V!$R:$R,MATCH(V8,V!$L:$L,0)),"")</f>
        <v>92</v>
      </c>
      <c r="V8" s="783" t="str">
        <f t="shared" si="2"/>
        <v>Jaan Saar</v>
      </c>
      <c r="W8" s="784" t="str">
        <f>IFERROR(INDEX(V!$R:$R,MATCH(X8,V!$L:$L,0)),"")</f>
        <v/>
      </c>
      <c r="X8" s="785" t="str">
        <f t="shared" si="3"/>
        <v/>
      </c>
      <c r="Y8" s="78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557</v>
      </c>
      <c r="C9" s="778">
        <v>2</v>
      </c>
      <c r="D9" s="787">
        <v>13</v>
      </c>
      <c r="E9" s="776"/>
      <c r="F9" s="778">
        <v>9</v>
      </c>
      <c r="G9" s="778"/>
      <c r="H9" s="796" t="str">
        <f>(IF(C9-E7&gt;0,1)+IF(D9-E8&gt;0,1)+IF(F9-E10&gt;0,1)+IF(G9-E11&gt;0,1))&amp;"-"&amp;(IF(C9-E7&lt;0,1)+IF(D9-E8&lt;0,1)+IF(F9-E10&lt;0,1)+IF(G9-E11&lt;0,1))</f>
        <v>1-2</v>
      </c>
      <c r="I9" s="778" t="str">
        <f>IF(AND(B9&lt;&gt;"",M$6=TRUE),A$6&amp;RANK(M9,M$7:M$11,0),"")</f>
        <v>A3</v>
      </c>
      <c r="J9" s="821">
        <f t="shared" si="5"/>
        <v>1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6"/>
        <v>10000</v>
      </c>
      <c r="N9" s="212"/>
      <c r="O9" s="212"/>
      <c r="P9" s="803"/>
      <c r="Q9" s="212"/>
      <c r="R9" s="764">
        <f t="shared" si="0"/>
        <v>97.5</v>
      </c>
      <c r="S9" s="784">
        <f>IFERROR(INDEX(V!$R:$R,MATCH(T9,V!$L:$L,0)),"")</f>
        <v>97.5</v>
      </c>
      <c r="T9" s="783" t="str">
        <f t="shared" si="1"/>
        <v>Klavdia Piik</v>
      </c>
      <c r="U9" s="784" t="str">
        <f>IFERROR(INDEX(V!$R:$R,MATCH(V9,V!$L:$L,0)),"")</f>
        <v/>
      </c>
      <c r="V9" s="783" t="str">
        <f t="shared" si="2"/>
        <v>Väino Aul</v>
      </c>
      <c r="W9" s="784" t="str">
        <f>IFERROR(INDEX(V!$R:$R,MATCH(X9,V!$L:$L,0)),"")</f>
        <v/>
      </c>
      <c r="X9" s="785" t="str">
        <f t="shared" si="3"/>
        <v/>
      </c>
      <c r="Y9" s="784" t="str">
        <f>IFERROR(INDEX(V!$R:$R,MATCH(Z9,V!$L:$L,0)),"")</f>
        <v/>
      </c>
      <c r="Z9" s="785" t="str">
        <f t="shared" si="4"/>
        <v/>
      </c>
      <c r="AA9" s="212"/>
    </row>
    <row r="10" spans="1:27" x14ac:dyDescent="0.2">
      <c r="A10" s="765">
        <v>4</v>
      </c>
      <c r="B10" s="792" t="s">
        <v>401</v>
      </c>
      <c r="C10" s="778">
        <v>11</v>
      </c>
      <c r="D10" s="787">
        <v>13</v>
      </c>
      <c r="E10" s="778">
        <v>13</v>
      </c>
      <c r="F10" s="776"/>
      <c r="G10" s="779"/>
      <c r="H10" s="796" t="str">
        <f>(IF(C10-F7&gt;0,1)+IF(D10-F8&gt;0,1)+IF(E10-F9&gt;0,1)+IF(G10-F11&gt;0,1))&amp;"-"&amp;(IF(C10-F7&lt;0,1)+IF(D10-F8&lt;0,1)+IF(E10-F9&lt;0,1)+IF(G10-F11&lt;0,1))</f>
        <v>2-1</v>
      </c>
      <c r="I10" s="778" t="str">
        <f>IF(AND(B10&lt;&gt;"",M$6=TRUE),A$6&amp;RANK(M10,M$7:M$11,0),"")</f>
        <v>A2</v>
      </c>
      <c r="J10" s="821">
        <f t="shared" si="5"/>
        <v>2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6"/>
        <v>20000</v>
      </c>
      <c r="N10" s="212"/>
      <c r="O10" s="212"/>
      <c r="P10" s="212"/>
      <c r="Q10" s="212"/>
      <c r="R10" s="764">
        <f t="shared" si="0"/>
        <v>82</v>
      </c>
      <c r="S10" s="784">
        <f>IFERROR(INDEX(V!$R:$R,MATCH(T10,V!$L:$L,0)),"")</f>
        <v>15.5</v>
      </c>
      <c r="T10" s="783" t="str">
        <f t="shared" si="1"/>
        <v>Oksana Rõndenkova</v>
      </c>
      <c r="U10" s="784">
        <f>IFERROR(INDEX(V!$R:$R,MATCH(V10,V!$L:$L,0)),"")</f>
        <v>66.5</v>
      </c>
      <c r="V10" s="783" t="str">
        <f t="shared" si="2"/>
        <v>Oleg Rõndenkov</v>
      </c>
      <c r="W10" s="784" t="str">
        <f>IFERROR(INDEX(V!$R:$R,MATCH(X10,V!$L:$L,0)),"")</f>
        <v/>
      </c>
      <c r="X10" s="785" t="str">
        <f t="shared" si="3"/>
        <v/>
      </c>
      <c r="Y10" s="784" t="str">
        <f>IFERROR(INDEX(V!$R:$R,MATCH(Z10,V!$L:$L,0)),"")</f>
        <v/>
      </c>
      <c r="Z10" s="785" t="str">
        <f t="shared" si="4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5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6"/>
        <v>0</v>
      </c>
      <c r="O11" s="212"/>
      <c r="P11" s="212"/>
      <c r="Q11" s="212"/>
      <c r="R11" s="764">
        <f t="shared" si="0"/>
        <v>0</v>
      </c>
      <c r="S11" s="784" t="str">
        <f>IFERROR(INDEX(V!$R:$R,MATCH(T11,V!$L:$L,0)),"")</f>
        <v/>
      </c>
      <c r="T11" s="783" t="str">
        <f t="shared" si="1"/>
        <v/>
      </c>
      <c r="U11" s="784" t="str">
        <f>IFERROR(INDEX(V!$R:$R,MATCH(V11,V!$L:$L,0)),"")</f>
        <v/>
      </c>
      <c r="V11" s="783" t="str">
        <f t="shared" si="2"/>
        <v/>
      </c>
      <c r="W11" s="784" t="str">
        <f>IFERROR(INDEX(V!$R:$R,MATCH(X11,V!$L:$L,0)),"")</f>
        <v/>
      </c>
      <c r="X11" s="785" t="str">
        <f t="shared" si="3"/>
        <v/>
      </c>
      <c r="Y11" s="78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0"/>
        <v>0</v>
      </c>
      <c r="S12" s="784" t="str">
        <f>IFERROR(INDEX(V!$R:$R,MATCH(T12,V!$L:$L,0)),"")</f>
        <v/>
      </c>
      <c r="T12" s="783" t="str">
        <f t="shared" si="1"/>
        <v/>
      </c>
      <c r="U12" s="784" t="str">
        <f>IFERROR(INDEX(V!$R:$R,MATCH(V12,V!$L:$L,0)),"")</f>
        <v/>
      </c>
      <c r="V12" s="783" t="str">
        <f t="shared" si="2"/>
        <v/>
      </c>
      <c r="W12" s="784" t="str">
        <f>IFERROR(INDEX(V!$R:$R,MATCH(X12,V!$L:$L,0)),"")</f>
        <v/>
      </c>
      <c r="X12" s="785" t="str">
        <f t="shared" si="3"/>
        <v/>
      </c>
      <c r="Y12" s="78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>
        <v>4</v>
      </c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64">
        <f t="shared" si="0"/>
        <v>0</v>
      </c>
      <c r="S13" s="784" t="str">
        <f>IFERROR(INDEX(V!$R:$R,MATCH(T13,V!$L:$L,0)),"")</f>
        <v/>
      </c>
      <c r="T13" s="783" t="str">
        <f t="shared" si="1"/>
        <v/>
      </c>
      <c r="U13" s="784" t="str">
        <f>IFERROR(INDEX(V!$R:$R,MATCH(V13,V!$L:$L,0)),"")</f>
        <v/>
      </c>
      <c r="V13" s="783" t="str">
        <f t="shared" si="2"/>
        <v/>
      </c>
      <c r="W13" s="784" t="str">
        <f>IFERROR(INDEX(V!$R:$R,MATCH(X13,V!$L:$L,0)),"")</f>
        <v/>
      </c>
      <c r="X13" s="785" t="str">
        <f t="shared" si="3"/>
        <v/>
      </c>
      <c r="Y13" s="78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65">
        <v>1</v>
      </c>
      <c r="B14" s="948" t="s">
        <v>459</v>
      </c>
      <c r="C14" s="776"/>
      <c r="D14" s="778">
        <v>13</v>
      </c>
      <c r="E14" s="778">
        <v>13</v>
      </c>
      <c r="F14" s="778">
        <v>13</v>
      </c>
      <c r="G14" s="778"/>
      <c r="H14" s="796" t="str">
        <f>(IF(D14-C15&gt;0,1)+IF(E14-C16&gt;0,1)+IF(F14-C17&gt;0,1)+IF(G14-C18&gt;0,1))&amp;"-"&amp;(IF(D14-C15&lt;0,1)+IF(E14-C16&lt;0,1)+IF(F14-C17&lt;0,1)+IF(G14-C18&lt;0,1))</f>
        <v>3-0</v>
      </c>
      <c r="I14" s="778" t="str">
        <f>IF(AND(B14&lt;&gt;"",M$6=TRUE),A$13&amp;RANK(M14,M$14:M$18,0),"")</f>
        <v>B1</v>
      </c>
      <c r="J14" s="821">
        <f>VALUE(LEFT(H14,1))</f>
        <v>3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0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0</v>
      </c>
      <c r="M14" s="824">
        <f>10000*J14+K14*100+L14</f>
        <v>30000</v>
      </c>
      <c r="N14" s="950"/>
      <c r="O14" s="770"/>
      <c r="P14" s="770"/>
      <c r="Q14" s="770"/>
      <c r="R14" s="764">
        <f t="shared" si="0"/>
        <v>215.5</v>
      </c>
      <c r="S14" s="784">
        <f>IFERROR(INDEX(V!$R:$R,MATCH(T14,V!$L:$L,0)),"")</f>
        <v>105.5</v>
      </c>
      <c r="T14" s="783" t="str">
        <f t="shared" si="1"/>
        <v>Mait Metsla</v>
      </c>
      <c r="U14" s="784">
        <f>IFERROR(INDEX(V!$R:$R,MATCH(V14,V!$L:$L,0)),"")</f>
        <v>110</v>
      </c>
      <c r="V14" s="783" t="str">
        <f t="shared" si="2"/>
        <v>Matti Vinni</v>
      </c>
      <c r="W14" s="784" t="str">
        <f>IFERROR(INDEX(V!$R:$R,MATCH(X14,V!$L:$L,0)),"")</f>
        <v/>
      </c>
      <c r="X14" s="785" t="str">
        <f t="shared" si="3"/>
        <v/>
      </c>
      <c r="Y14" s="784" t="str">
        <f>IFERROR(INDEX(V!$R:$R,MATCH(Z14,V!$L:$L,0)),"")</f>
        <v/>
      </c>
      <c r="Z14" s="785" t="str">
        <f t="shared" si="4"/>
        <v/>
      </c>
      <c r="AA14" s="757"/>
    </row>
    <row r="15" spans="1:27" x14ac:dyDescent="0.2">
      <c r="A15" s="765">
        <v>2</v>
      </c>
      <c r="B15" s="940" t="s">
        <v>369</v>
      </c>
      <c r="C15" s="778">
        <v>7</v>
      </c>
      <c r="D15" s="776"/>
      <c r="E15" s="778">
        <v>6</v>
      </c>
      <c r="F15" s="778">
        <v>13</v>
      </c>
      <c r="G15" s="778"/>
      <c r="H15" s="796" t="str">
        <f>(IF(C15-D14&gt;0,1)+IF(E15-D16&gt;0,1)+IF(F15-D17&gt;0,1)+IF(G15-D18&gt;0,1))&amp;"-"&amp;(IF(C15-D14&lt;0,1)+IF(E15-D16&lt;0,1)+IF(F15-D17&lt;0,1)+IF(G15-D18&lt;0,1))</f>
        <v>1-2</v>
      </c>
      <c r="I15" s="778" t="str">
        <f>IF(AND(B15&lt;&gt;"",M$6=TRUE),A$13&amp;RANK(M15,M$14:M$18,0),"")</f>
        <v>B3</v>
      </c>
      <c r="J15" s="821">
        <f t="shared" ref="J15:J18" si="7">VALUE(LEFT(H15,1))</f>
        <v>1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0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0</v>
      </c>
      <c r="M15" s="824">
        <f t="shared" ref="M15:M18" si="8">10000*J15+K15*100+L15</f>
        <v>10000</v>
      </c>
      <c r="O15" s="770"/>
      <c r="P15" s="770"/>
      <c r="Q15" s="770"/>
      <c r="R15" s="764">
        <f t="shared" si="0"/>
        <v>164</v>
      </c>
      <c r="S15" s="784">
        <f>IFERROR(INDEX(V!$R:$R,MATCH(T15,V!$L:$L,0)),"")</f>
        <v>88</v>
      </c>
      <c r="T15" s="783" t="str">
        <f t="shared" si="1"/>
        <v>Enn Tokman</v>
      </c>
      <c r="U15" s="784">
        <f>IFERROR(INDEX(V!$R:$R,MATCH(V15,V!$L:$L,0)),"")</f>
        <v>76</v>
      </c>
      <c r="V15" s="783" t="str">
        <f t="shared" si="2"/>
        <v>Tarmo Bombe</v>
      </c>
      <c r="W15" s="784" t="str">
        <f>IFERROR(INDEX(V!$R:$R,MATCH(X15,V!$L:$L,0)),"")</f>
        <v/>
      </c>
      <c r="X15" s="785" t="str">
        <f t="shared" si="3"/>
        <v/>
      </c>
      <c r="Y15" s="784" t="str">
        <f>IFERROR(INDEX(V!$R:$R,MATCH(Z15,V!$L:$L,0)),"")</f>
        <v/>
      </c>
      <c r="Z15" s="785" t="str">
        <f t="shared" si="4"/>
        <v/>
      </c>
      <c r="AA15" s="757"/>
    </row>
    <row r="16" spans="1:27" x14ac:dyDescent="0.2">
      <c r="A16" s="765">
        <v>3</v>
      </c>
      <c r="B16" s="775" t="s">
        <v>558</v>
      </c>
      <c r="C16" s="778">
        <v>3</v>
      </c>
      <c r="D16" s="787">
        <v>13</v>
      </c>
      <c r="E16" s="776"/>
      <c r="F16" s="778">
        <v>13</v>
      </c>
      <c r="G16" s="778"/>
      <c r="H16" s="796" t="str">
        <f>(IF(C16-E14&gt;0,1)+IF(D16-E15&gt;0,1)+IF(F16-E17&gt;0,1)+IF(G16-E18&gt;0,1))&amp;"-"&amp;(IF(C16-E14&lt;0,1)+IF(D16-E15&lt;0,1)+IF(F16-E17&lt;0,1)+IF(G16-E18&lt;0,1))</f>
        <v>2-1</v>
      </c>
      <c r="I16" s="778" t="str">
        <f>IF(AND(B16&lt;&gt;"",M$6=TRUE),A$13&amp;RANK(M16,M$14:M$18,0),"")</f>
        <v>B2</v>
      </c>
      <c r="J16" s="821">
        <f t="shared" si="7"/>
        <v>2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8"/>
        <v>20000</v>
      </c>
      <c r="O16" s="771"/>
      <c r="P16" s="770"/>
      <c r="Q16" s="770"/>
      <c r="R16" s="764">
        <f t="shared" si="0"/>
        <v>118</v>
      </c>
      <c r="S16" s="784">
        <f>IFERROR(INDEX(V!$R:$R,MATCH(T16,V!$L:$L,0)),"")</f>
        <v>24</v>
      </c>
      <c r="T16" s="783" t="str">
        <f t="shared" si="1"/>
        <v>Kristiin-Marleen Neiland</v>
      </c>
      <c r="U16" s="784">
        <f>IFERROR(INDEX(V!$R:$R,MATCH(V16,V!$L:$L,0)),"")</f>
        <v>94</v>
      </c>
      <c r="V16" s="783" t="str">
        <f t="shared" si="2"/>
        <v>Johannes Neiland</v>
      </c>
      <c r="W16" s="784" t="str">
        <f>IFERROR(INDEX(V!$R:$R,MATCH(X16,V!$L:$L,0)),"")</f>
        <v/>
      </c>
      <c r="X16" s="785" t="str">
        <f t="shared" si="3"/>
        <v/>
      </c>
      <c r="Y16" s="784" t="str">
        <f>IFERROR(INDEX(V!$R:$R,MATCH(Z16,V!$L:$L,0)),"")</f>
        <v/>
      </c>
      <c r="Z16" s="785" t="str">
        <f t="shared" si="4"/>
        <v/>
      </c>
      <c r="AA16" s="757"/>
    </row>
    <row r="17" spans="1:27" x14ac:dyDescent="0.2">
      <c r="A17" s="765">
        <v>4</v>
      </c>
      <c r="B17" s="792" t="s">
        <v>489</v>
      </c>
      <c r="C17" s="778">
        <v>7</v>
      </c>
      <c r="D17" s="787">
        <v>2</v>
      </c>
      <c r="E17" s="778">
        <v>9</v>
      </c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0-3</v>
      </c>
      <c r="I17" s="778" t="str">
        <f>IF(AND(B17&lt;&gt;"",M$6=TRUE),A$13&amp;RANK(M17,M$14:M$18,0),"")</f>
        <v>B4</v>
      </c>
      <c r="J17" s="821">
        <f t="shared" si="7"/>
        <v>0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8"/>
        <v>0</v>
      </c>
      <c r="O17" s="770"/>
      <c r="P17" s="757"/>
      <c r="Q17" s="770"/>
      <c r="R17" s="764">
        <f t="shared" si="0"/>
        <v>42</v>
      </c>
      <c r="S17" s="784">
        <f>IFERROR(INDEX(V!$R:$R,MATCH(T17,V!$L:$L,0)),"")</f>
        <v>22</v>
      </c>
      <c r="T17" s="783" t="str">
        <f t="shared" si="1"/>
        <v>Kaspar Mänd</v>
      </c>
      <c r="U17" s="784">
        <f>IFERROR(INDEX(V!$R:$R,MATCH(V17,V!$L:$L,0)),"")</f>
        <v>20</v>
      </c>
      <c r="V17" s="783" t="str">
        <f t="shared" si="2"/>
        <v>Reimo Lõhmus</v>
      </c>
      <c r="W17" s="784" t="str">
        <f>IFERROR(INDEX(V!$R:$R,MATCH(X17,V!$L:$L,0)),"")</f>
        <v/>
      </c>
      <c r="X17" s="785" t="str">
        <f t="shared" si="3"/>
        <v/>
      </c>
      <c r="Y17" s="784" t="str">
        <f>IFERROR(INDEX(V!$R:$R,MATCH(Z17,V!$L:$L,0)),"")</f>
        <v/>
      </c>
      <c r="Z17" s="785" t="str">
        <f t="shared" si="4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IF(AND(B18&lt;&gt;"",M$6=TRUE),A$13&amp;RANK(M18,M$14:M$18,0),"")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0"/>
        <v>0</v>
      </c>
      <c r="S18" s="784" t="str">
        <f>IFERROR(INDEX(V!$R:$R,MATCH(T18,V!$L:$L,0)),"")</f>
        <v/>
      </c>
      <c r="T18" s="783" t="str">
        <f t="shared" si="1"/>
        <v/>
      </c>
      <c r="U18" s="784" t="str">
        <f>IFERROR(INDEX(V!$R:$R,MATCH(V18,V!$L:$L,0)),"")</f>
        <v/>
      </c>
      <c r="V18" s="783" t="str">
        <f t="shared" si="2"/>
        <v/>
      </c>
      <c r="W18" s="784" t="str">
        <f>IFERROR(INDEX(V!$R:$R,MATCH(X18,V!$L:$L,0)),"")</f>
        <v/>
      </c>
      <c r="X18" s="785" t="str">
        <f t="shared" si="3"/>
        <v/>
      </c>
      <c r="Y18" s="784" t="str">
        <f>IFERROR(INDEX(V!$R:$R,MATCH(Z18,V!$L:$L,0)),"")</f>
        <v/>
      </c>
      <c r="Z18" s="785" t="str">
        <f t="shared" si="4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0"/>
        <v>0</v>
      </c>
      <c r="S19" s="784" t="str">
        <f>IFERROR(INDEX(V!$R:$R,MATCH(T19,V!$L:$L,0)),"")</f>
        <v/>
      </c>
      <c r="T19" s="783" t="str">
        <f t="shared" si="1"/>
        <v/>
      </c>
      <c r="U19" s="784" t="str">
        <f>IFERROR(INDEX(V!$R:$R,MATCH(V19,V!$L:$L,0)),"")</f>
        <v/>
      </c>
      <c r="V19" s="783" t="str">
        <f t="shared" si="2"/>
        <v/>
      </c>
      <c r="W19" s="784" t="str">
        <f>IFERROR(INDEX(V!$R:$R,MATCH(X19,V!$L:$L,0)),"")</f>
        <v/>
      </c>
      <c r="X19" s="785" t="str">
        <f t="shared" si="3"/>
        <v/>
      </c>
      <c r="Y19" s="784" t="str">
        <f>IFERROR(INDEX(V!$R:$R,MATCH(Z19,V!$L:$L,0)),"")</f>
        <v/>
      </c>
      <c r="Z19" s="785" t="str">
        <f t="shared" si="4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0"/>
        <v>0</v>
      </c>
      <c r="S20" s="784" t="str">
        <f>IFERROR(INDEX(V!$R:$R,MATCH(T20,V!$L:$L,0)),"")</f>
        <v/>
      </c>
      <c r="T20" s="783" t="str">
        <f t="shared" si="1"/>
        <v/>
      </c>
      <c r="U20" s="784" t="str">
        <f>IFERROR(INDEX(V!$R:$R,MATCH(V20,V!$L:$L,0)),"")</f>
        <v/>
      </c>
      <c r="V20" s="783" t="str">
        <f t="shared" si="2"/>
        <v/>
      </c>
      <c r="W20" s="784" t="str">
        <f>IFERROR(INDEX(V!$R:$R,MATCH(X20,V!$L:$L,0)),"")</f>
        <v/>
      </c>
      <c r="X20" s="785" t="str">
        <f t="shared" si="3"/>
        <v/>
      </c>
      <c r="Y20" s="784" t="str">
        <f>IFERROR(INDEX(V!$R:$R,MATCH(Z20,V!$L:$L,0)),"")</f>
        <v/>
      </c>
      <c r="Z20" s="785" t="str">
        <f t="shared" si="4"/>
        <v/>
      </c>
      <c r="AA20" s="755"/>
    </row>
    <row r="21" spans="1:27" x14ac:dyDescent="0.2">
      <c r="A21" s="765">
        <v>1</v>
      </c>
      <c r="B21" s="940" t="s">
        <v>368</v>
      </c>
      <c r="C21" s="776"/>
      <c r="D21" s="778">
        <v>13</v>
      </c>
      <c r="E21" s="778">
        <v>8</v>
      </c>
      <c r="F21" s="778">
        <v>11</v>
      </c>
      <c r="G21" s="778"/>
      <c r="H21" s="796" t="str">
        <f>(IF(D21-C22&gt;0,1)+IF(E21-C23&gt;0,1)+IF(F21-C24&gt;0,1)+IF(G21-C25&gt;0,1))&amp;"-"&amp;(IF(D21-C22&lt;0,1)+IF(E21-C23&lt;0,1)+IF(F21-C24&lt;0,1)+IF(G21-C25&lt;0,1))</f>
        <v>1-2</v>
      </c>
      <c r="I21" s="778" t="str">
        <f>IF(AND(B21&lt;&gt;"",M$20=TRUE),A$20&amp;RANK(M21,M$21:M$25,0),"")</f>
        <v>C4</v>
      </c>
      <c r="J21" s="821">
        <f>VALUE(LEFT(H21,1))</f>
        <v>1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98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-2</v>
      </c>
      <c r="M21" s="824">
        <f>10000*J21+K21*100+L21</f>
        <v>9998</v>
      </c>
      <c r="O21" s="771"/>
      <c r="P21" s="770"/>
      <c r="Q21" s="770"/>
      <c r="R21" s="764">
        <f t="shared" si="0"/>
        <v>317</v>
      </c>
      <c r="S21" s="784">
        <f>IFERROR(INDEX(V!$R:$R,MATCH(T21,V!$L:$L,0)),"")</f>
        <v>159</v>
      </c>
      <c r="T21" s="783" t="str">
        <f t="shared" si="1"/>
        <v>Jaan Sepp</v>
      </c>
      <c r="U21" s="784">
        <f>IFERROR(INDEX(V!$R:$R,MATCH(V21,V!$L:$L,0)),"")</f>
        <v>158</v>
      </c>
      <c r="V21" s="783" t="str">
        <f t="shared" si="2"/>
        <v>Oskar Sepp</v>
      </c>
      <c r="W21" s="784" t="str">
        <f>IFERROR(INDEX(V!$R:$R,MATCH(X21,V!$L:$L,0)),"")</f>
        <v/>
      </c>
      <c r="X21" s="785" t="str">
        <f t="shared" si="3"/>
        <v/>
      </c>
      <c r="Y21" s="784" t="str">
        <f>IFERROR(INDEX(V!$R:$R,MATCH(Z21,V!$L:$L,0)),"")</f>
        <v/>
      </c>
      <c r="Z21" s="785" t="str">
        <f t="shared" si="4"/>
        <v/>
      </c>
      <c r="AA21" s="757"/>
    </row>
    <row r="22" spans="1:27" x14ac:dyDescent="0.2">
      <c r="A22" s="765">
        <v>2</v>
      </c>
      <c r="B22" s="775" t="s">
        <v>559</v>
      </c>
      <c r="C22" s="778">
        <v>3</v>
      </c>
      <c r="D22" s="776"/>
      <c r="E22" s="778">
        <v>13</v>
      </c>
      <c r="F22" s="778">
        <v>13</v>
      </c>
      <c r="G22" s="778"/>
      <c r="H22" s="796" t="str">
        <f>(IF(C22-D21&gt;0,1)+IF(E22-D23&gt;0,1)+IF(F22-D24&gt;0,1)+IF(G22-D25&gt;0,1))&amp;"-"&amp;(IF(C22-D21&lt;0,1)+IF(E22-D23&lt;0,1)+IF(F22-D24&lt;0,1)+IF(G22-D25&lt;0,1))</f>
        <v>2-1</v>
      </c>
      <c r="I22" s="778" t="str">
        <f>IF(AND(B22&lt;&gt;"",M$20=TRUE),A$20&amp;RANK(M22,M$21:M$25,0),"")</f>
        <v>C1</v>
      </c>
      <c r="J22" s="821">
        <f t="shared" ref="J22:J25" si="9">VALUE(LEFT(H22,1))</f>
        <v>2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1</v>
      </c>
      <c r="L22" s="98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12</v>
      </c>
      <c r="M22" s="824">
        <f t="shared" ref="M22:M25" si="10">10000*J22+K22*100+L22</f>
        <v>20112</v>
      </c>
      <c r="O22" s="770"/>
      <c r="P22" s="770"/>
      <c r="Q22" s="770"/>
      <c r="R22" s="764">
        <f t="shared" si="0"/>
        <v>181</v>
      </c>
      <c r="S22" s="784">
        <f>IFERROR(INDEX(V!$R:$R,MATCH(T22,V!$L:$L,0)),"")</f>
        <v>61</v>
      </c>
      <c r="T22" s="783" t="str">
        <f t="shared" si="1"/>
        <v>Henri Mitt</v>
      </c>
      <c r="U22" s="784">
        <f>IFERROR(INDEX(V!$R:$R,MATCH(V22,V!$L:$L,0)),"")</f>
        <v>120</v>
      </c>
      <c r="V22" s="783" t="str">
        <f t="shared" si="2"/>
        <v>Ivar Viljaste</v>
      </c>
      <c r="W22" s="784" t="str">
        <f>IFERROR(INDEX(V!$R:$R,MATCH(X22,V!$L:$L,0)),"")</f>
        <v/>
      </c>
      <c r="X22" s="785" t="str">
        <f t="shared" si="3"/>
        <v/>
      </c>
      <c r="Y22" s="784" t="str">
        <f>IFERROR(INDEX(V!$R:$R,MATCH(Z22,V!$L:$L,0)),"")</f>
        <v/>
      </c>
      <c r="Z22" s="785" t="str">
        <f t="shared" si="4"/>
        <v/>
      </c>
      <c r="AA22" s="757"/>
    </row>
    <row r="23" spans="1:27" x14ac:dyDescent="0.2">
      <c r="A23" s="765">
        <v>3</v>
      </c>
      <c r="B23" s="775" t="s">
        <v>560</v>
      </c>
      <c r="C23" s="778">
        <v>13</v>
      </c>
      <c r="D23" s="787">
        <v>1</v>
      </c>
      <c r="E23" s="776"/>
      <c r="F23" s="778">
        <v>13</v>
      </c>
      <c r="G23" s="778"/>
      <c r="H23" s="796" t="str">
        <f>(IF(C23-E21&gt;0,1)+IF(D23-E22&gt;0,1)+IF(F23-E24&gt;0,1)+IF(G23-E25&gt;0,1))&amp;"-"&amp;(IF(C23-E21&lt;0,1)+IF(D23-E22&lt;0,1)+IF(F23-E24&lt;0,1)+IF(G23-E25&lt;0,1))</f>
        <v>2-1</v>
      </c>
      <c r="I23" s="778" t="str">
        <f>IF(AND(B23&lt;&gt;"",M$20=TRUE),A$20&amp;RANK(M23,M$21:M$25,0),"")</f>
        <v>C2</v>
      </c>
      <c r="J23" s="821">
        <f t="shared" si="9"/>
        <v>2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98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-12</v>
      </c>
      <c r="M23" s="824">
        <f t="shared" si="10"/>
        <v>19988</v>
      </c>
      <c r="O23" s="771"/>
      <c r="P23" s="770"/>
      <c r="Q23" s="770"/>
      <c r="R23" s="764">
        <f t="shared" si="0"/>
        <v>151.5</v>
      </c>
      <c r="S23" s="784">
        <f>IFERROR(INDEX(V!$R:$R,MATCH(T23,V!$L:$L,0)),"")</f>
        <v>28</v>
      </c>
      <c r="T23" s="783" t="str">
        <f t="shared" si="1"/>
        <v>Argo Sepp</v>
      </c>
      <c r="U23" s="784">
        <f>IFERROR(INDEX(V!$R:$R,MATCH(V23,V!$L:$L,0)),"")</f>
        <v>123.5</v>
      </c>
      <c r="V23" s="783" t="str">
        <f t="shared" si="2"/>
        <v>Karla Purgats</v>
      </c>
      <c r="W23" s="784" t="str">
        <f>IFERROR(INDEX(V!$R:$R,MATCH(X23,V!$L:$L,0)),"")</f>
        <v/>
      </c>
      <c r="X23" s="785" t="str">
        <f t="shared" si="3"/>
        <v/>
      </c>
      <c r="Y23" s="784" t="str">
        <f>IFERROR(INDEX(V!$R:$R,MATCH(Z23,V!$L:$L,0)),"")</f>
        <v/>
      </c>
      <c r="Z23" s="785" t="str">
        <f t="shared" si="4"/>
        <v/>
      </c>
      <c r="AA23" s="757"/>
    </row>
    <row r="24" spans="1:27" x14ac:dyDescent="0.2">
      <c r="A24" s="765">
        <v>4</v>
      </c>
      <c r="B24" s="775" t="s">
        <v>460</v>
      </c>
      <c r="C24" s="778">
        <v>13</v>
      </c>
      <c r="D24" s="787">
        <v>3</v>
      </c>
      <c r="E24" s="778">
        <v>4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1-2</v>
      </c>
      <c r="I24" s="778" t="str">
        <f>IF(AND(B24&lt;&gt;"",M$20=TRUE),A$20&amp;RANK(M24,M$21:M$25,0),"")</f>
        <v>C3</v>
      </c>
      <c r="J24" s="821">
        <f t="shared" si="9"/>
        <v>1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1</v>
      </c>
      <c r="L24" s="98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2</v>
      </c>
      <c r="M24" s="824">
        <f t="shared" si="10"/>
        <v>10102</v>
      </c>
      <c r="O24" s="770"/>
      <c r="P24" s="770"/>
      <c r="Q24" s="770"/>
      <c r="R24" s="764">
        <f t="shared" si="0"/>
        <v>93</v>
      </c>
      <c r="S24" s="784">
        <f>IFERROR(INDEX(V!$R:$R,MATCH(T24,V!$L:$L,0)),"")</f>
        <v>46.5</v>
      </c>
      <c r="T24" s="783" t="str">
        <f t="shared" si="1"/>
        <v>Ljudmila Varendi</v>
      </c>
      <c r="U24" s="784">
        <f>IFERROR(INDEX(V!$R:$R,MATCH(V24,V!$L:$L,0)),"")</f>
        <v>46.5</v>
      </c>
      <c r="V24" s="783" t="str">
        <f t="shared" si="2"/>
        <v>Viktor Švarõgin</v>
      </c>
      <c r="W24" s="784" t="str">
        <f>IFERROR(INDEX(V!$R:$R,MATCH(X24,V!$L:$L,0)),"")</f>
        <v/>
      </c>
      <c r="X24" s="785" t="str">
        <f t="shared" si="3"/>
        <v/>
      </c>
      <c r="Y24" s="784" t="str">
        <f>IFERROR(INDEX(V!$R:$R,MATCH(Z24,V!$L:$L,0)),"")</f>
        <v/>
      </c>
      <c r="Z24" s="785" t="str">
        <f t="shared" si="4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0"/>
        <v>0</v>
      </c>
      <c r="S25" s="784" t="str">
        <f>IFERROR(INDEX(V!$R:$R,MATCH(T25,V!$L:$L,0)),"")</f>
        <v/>
      </c>
      <c r="T25" s="783" t="str">
        <f t="shared" si="1"/>
        <v/>
      </c>
      <c r="U25" s="784" t="str">
        <f>IFERROR(INDEX(V!$R:$R,MATCH(V25,V!$L:$L,0)),"")</f>
        <v/>
      </c>
      <c r="V25" s="783" t="str">
        <f t="shared" si="2"/>
        <v/>
      </c>
      <c r="W25" s="784" t="str">
        <f>IFERROR(INDEX(V!$R:$R,MATCH(X25,V!$L:$L,0)),"")</f>
        <v/>
      </c>
      <c r="X25" s="785" t="str">
        <f t="shared" si="3"/>
        <v/>
      </c>
      <c r="Y25" s="784" t="str">
        <f>IFERROR(INDEX(V!$R:$R,MATCH(Z25,V!$L:$L,0)),"")</f>
        <v/>
      </c>
      <c r="Z25" s="785" t="str">
        <f t="shared" si="4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0"/>
        <v>0</v>
      </c>
      <c r="S26" s="784" t="str">
        <f>IFERROR(INDEX(V!$R:$R,MATCH(T26,V!$L:$L,0)),"")</f>
        <v/>
      </c>
      <c r="T26" s="783" t="str">
        <f t="shared" si="1"/>
        <v/>
      </c>
      <c r="U26" s="784" t="str">
        <f>IFERROR(INDEX(V!$R:$R,MATCH(V26,V!$L:$L,0)),"")</f>
        <v/>
      </c>
      <c r="V26" s="783" t="str">
        <f t="shared" si="2"/>
        <v/>
      </c>
      <c r="W26" s="784" t="str">
        <f>IFERROR(INDEX(V!$R:$R,MATCH(X26,V!$L:$L,0)),"")</f>
        <v/>
      </c>
      <c r="X26" s="785" t="str">
        <f t="shared" si="3"/>
        <v/>
      </c>
      <c r="Y26" s="784" t="str">
        <f>IFERROR(INDEX(V!$R:$R,MATCH(Z26,V!$L:$L,0)),"")</f>
        <v/>
      </c>
      <c r="Z26" s="785" t="str">
        <f t="shared" si="4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/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0"/>
        <v>0</v>
      </c>
      <c r="S27" s="784" t="str">
        <f>IFERROR(INDEX(V!$R:$R,MATCH(T27,V!$L:$L,0)),"")</f>
        <v/>
      </c>
      <c r="T27" s="783" t="str">
        <f t="shared" si="1"/>
        <v/>
      </c>
      <c r="U27" s="784" t="str">
        <f>IFERROR(INDEX(V!$R:$R,MATCH(V27,V!$L:$L,0)),"")</f>
        <v/>
      </c>
      <c r="V27" s="783" t="str">
        <f t="shared" si="2"/>
        <v/>
      </c>
      <c r="W27" s="784" t="str">
        <f>IFERROR(INDEX(V!$R:$R,MATCH(X27,V!$L:$L,0)),"")</f>
        <v/>
      </c>
      <c r="X27" s="785" t="str">
        <f t="shared" si="3"/>
        <v/>
      </c>
      <c r="Y27" s="784" t="str">
        <f>IFERROR(INDEX(V!$R:$R,MATCH(Z27,V!$L:$L,0)),"")</f>
        <v/>
      </c>
      <c r="Z27" s="785" t="str">
        <f t="shared" si="4"/>
        <v/>
      </c>
      <c r="AA27" s="760"/>
    </row>
    <row r="28" spans="1:27" x14ac:dyDescent="0.2">
      <c r="A28" s="765">
        <v>1</v>
      </c>
      <c r="B28" s="820" t="s">
        <v>561</v>
      </c>
      <c r="C28" s="776"/>
      <c r="D28" s="778">
        <v>13</v>
      </c>
      <c r="E28" s="778">
        <v>13</v>
      </c>
      <c r="F28" s="778"/>
      <c r="G28" s="778"/>
      <c r="H28" s="796" t="str">
        <f>(IF(D28-C29&gt;0,1)+IF(E28-C30&gt;0,1)+IF(F28-C31&gt;0,1)+IF(G28-C32&gt;0,1))&amp;"-"&amp;(IF(D28-C29&lt;0,1)+IF(E28-C30&lt;0,1)+IF(F28-C31&lt;0,1)+IF(G28-C32&lt;0,1))</f>
        <v>2-0</v>
      </c>
      <c r="I28" s="778" t="str">
        <f>IF(AND(B28&lt;&gt;"",M$27=TRUE),A$27&amp;RANK(M28,M$28:M$32,0),"")</f>
        <v>D1</v>
      </c>
      <c r="J28" s="821">
        <f>VALUE(LEFT(H28,1))</f>
        <v>2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20000</v>
      </c>
      <c r="O28" s="803"/>
      <c r="P28" s="212"/>
      <c r="Q28" s="212"/>
      <c r="R28" s="764">
        <f t="shared" si="0"/>
        <v>237.5</v>
      </c>
      <c r="S28" s="784">
        <f>IFERROR(INDEX(V!$R:$R,MATCH(T28,V!$L:$L,0)),"")</f>
        <v>131</v>
      </c>
      <c r="T28" s="783" t="str">
        <f t="shared" si="1"/>
        <v>Kenneth Muusikus</v>
      </c>
      <c r="U28" s="784">
        <f>IFERROR(INDEX(V!$R:$R,MATCH(V28,V!$L:$L,0)),"")</f>
        <v>106.5</v>
      </c>
      <c r="V28" s="783" t="str">
        <f t="shared" si="2"/>
        <v>Ülo Piik</v>
      </c>
      <c r="W28" s="784" t="str">
        <f>IFERROR(INDEX(V!$R:$R,MATCH(X28,V!$L:$L,0)),"")</f>
        <v/>
      </c>
      <c r="X28" s="785" t="str">
        <f t="shared" si="3"/>
        <v/>
      </c>
      <c r="Y28" s="784" t="str">
        <f>IFERROR(INDEX(V!$R:$R,MATCH(Z28,V!$L:$L,0)),"")</f>
        <v/>
      </c>
      <c r="Z28" s="785" t="str">
        <f t="shared" si="4"/>
        <v/>
      </c>
      <c r="AA28" s="760"/>
    </row>
    <row r="29" spans="1:27" x14ac:dyDescent="0.2">
      <c r="A29" s="765">
        <v>2</v>
      </c>
      <c r="B29" s="775" t="s">
        <v>486</v>
      </c>
      <c r="C29" s="778">
        <v>5</v>
      </c>
      <c r="D29" s="776"/>
      <c r="E29" s="778">
        <v>13</v>
      </c>
      <c r="F29" s="778"/>
      <c r="G29" s="778"/>
      <c r="H29" s="796" t="str">
        <f>(IF(C29-D28&gt;0,1)+IF(E29-D30&gt;0,1)+IF(F29-D31&gt;0,1)+IF(G29-D32&gt;0,1))&amp;"-"&amp;(IF(C29-D28&lt;0,1)+IF(E29-D30&lt;0,1)+IF(F29-D31&lt;0,1)+IF(G29-D32&lt;0,1))</f>
        <v>1-1</v>
      </c>
      <c r="I29" s="778" t="str">
        <f>IF(AND(B29&lt;&gt;"",M$27=TRUE),A$27&amp;RANK(M29,M$28:M$32,0),"")</f>
        <v>D2</v>
      </c>
      <c r="J29" s="821">
        <f t="shared" ref="J29:J32" si="11">VALUE(LEFT(H29,1))</f>
        <v>1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10000</v>
      </c>
      <c r="O29" s="212"/>
      <c r="P29" s="212"/>
      <c r="Q29" s="212"/>
      <c r="R29" s="764">
        <f t="shared" si="0"/>
        <v>176</v>
      </c>
      <c r="S29" s="784">
        <f>IFERROR(INDEX(V!$R:$R,MATCH(T29,V!$L:$L,0)),"")</f>
        <v>51</v>
      </c>
      <c r="T29" s="783" t="str">
        <f t="shared" si="1"/>
        <v>Janek Tarto</v>
      </c>
      <c r="U29" s="784">
        <f>IFERROR(INDEX(V!$R:$R,MATCH(V29,V!$L:$L,0)),"")</f>
        <v>125</v>
      </c>
      <c r="V29" s="783" t="str">
        <f t="shared" si="2"/>
        <v>Meelis Luud</v>
      </c>
      <c r="W29" s="784" t="str">
        <f>IFERROR(INDEX(V!$R:$R,MATCH(X29,V!$L:$L,0)),"")</f>
        <v/>
      </c>
      <c r="X29" s="785" t="str">
        <f t="shared" si="3"/>
        <v/>
      </c>
      <c r="Y29" s="784" t="str">
        <f>IFERROR(INDEX(V!$R:$R,MATCH(Z29,V!$L:$L,0)),"")</f>
        <v/>
      </c>
      <c r="Z29" s="785" t="str">
        <f t="shared" si="4"/>
        <v/>
      </c>
      <c r="AA29" s="760"/>
    </row>
    <row r="30" spans="1:27" x14ac:dyDescent="0.2">
      <c r="A30" s="765">
        <v>3</v>
      </c>
      <c r="B30" s="775" t="s">
        <v>513</v>
      </c>
      <c r="C30" s="778">
        <v>1</v>
      </c>
      <c r="D30" s="787">
        <v>3</v>
      </c>
      <c r="E30" s="776"/>
      <c r="F30" s="778"/>
      <c r="G30" s="778"/>
      <c r="H30" s="796" t="str">
        <f>(IF(C30-E28&gt;0,1)+IF(D30-E29&gt;0,1)+IF(F30-E31&gt;0,1)+IF(G30-E32&gt;0,1))&amp;"-"&amp;(IF(C30-E28&lt;0,1)+IF(D30-E29&lt;0,1)+IF(F30-E31&lt;0,1)+IF(G30-E32&lt;0,1))</f>
        <v>0-2</v>
      </c>
      <c r="I30" s="778" t="str">
        <f>IF(AND(B30&lt;&gt;"",M$27=TRUE),A$27&amp;RANK(M30,M$28:M$32,0),"")</f>
        <v>D3</v>
      </c>
      <c r="J30" s="821">
        <f t="shared" si="11"/>
        <v>0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0</v>
      </c>
      <c r="O30" s="212"/>
      <c r="P30" s="212"/>
      <c r="Q30" s="212"/>
      <c r="R30" s="764">
        <f t="shared" si="0"/>
        <v>88.5</v>
      </c>
      <c r="S30" s="784">
        <f>IFERROR(INDEX(V!$R:$R,MATCH(T30,V!$L:$L,0)),"")</f>
        <v>40.5</v>
      </c>
      <c r="T30" s="783" t="str">
        <f t="shared" si="1"/>
        <v>Aigi Orro</v>
      </c>
      <c r="U30" s="784">
        <f>IFERROR(INDEX(V!$R:$R,MATCH(V30,V!$L:$L,0)),"")</f>
        <v>48</v>
      </c>
      <c r="V30" s="783" t="str">
        <f t="shared" si="2"/>
        <v>Andres Veski</v>
      </c>
      <c r="W30" s="784" t="str">
        <f>IFERROR(INDEX(V!$R:$R,MATCH(X30,V!$L:$L,0)),"")</f>
        <v/>
      </c>
      <c r="X30" s="785" t="str">
        <f t="shared" si="3"/>
        <v/>
      </c>
      <c r="Y30" s="784" t="str">
        <f>IFERROR(INDEX(V!$R:$R,MATCH(Z30,V!$L:$L,0)),"")</f>
        <v/>
      </c>
      <c r="Z30" s="785" t="str">
        <f t="shared" si="4"/>
        <v/>
      </c>
      <c r="AA30" s="760"/>
    </row>
    <row r="31" spans="1:27" hidden="1" x14ac:dyDescent="0.2">
      <c r="A31" s="765">
        <v>4</v>
      </c>
      <c r="B31" s="792"/>
      <c r="C31" s="778"/>
      <c r="D31" s="787"/>
      <c r="E31" s="778"/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0-0</v>
      </c>
      <c r="I31" s="778" t="str">
        <f>IF(AND(B31&lt;&gt;"",M$27=TRUE),A$27&amp;RANK(M31,M$28:M$32,0),"")</f>
        <v/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802"/>
      <c r="P31" s="212"/>
      <c r="Q31" s="212"/>
      <c r="R31" s="764">
        <f t="shared" si="0"/>
        <v>0</v>
      </c>
      <c r="S31" s="784" t="str">
        <f>IFERROR(INDEX(V!$R:$R,MATCH(T31,V!$L:$L,0)),"")</f>
        <v/>
      </c>
      <c r="T31" s="783" t="str">
        <f t="shared" si="1"/>
        <v/>
      </c>
      <c r="U31" s="784" t="str">
        <f>IFERROR(INDEX(V!$R:$R,MATCH(V31,V!$L:$L,0)),"")</f>
        <v/>
      </c>
      <c r="V31" s="783" t="str">
        <f t="shared" si="2"/>
        <v/>
      </c>
      <c r="W31" s="784" t="str">
        <f>IFERROR(INDEX(V!$R:$R,MATCH(X31,V!$L:$L,0)),"")</f>
        <v/>
      </c>
      <c r="X31" s="785" t="str">
        <f t="shared" si="3"/>
        <v/>
      </c>
      <c r="Y31" s="784" t="str">
        <f>IFERROR(INDEX(V!$R:$R,MATCH(Z31,V!$L:$L,0)),"")</f>
        <v/>
      </c>
      <c r="Z31" s="785" t="str">
        <f t="shared" si="4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0"/>
        <v>0</v>
      </c>
      <c r="S32" s="784" t="str">
        <f>IFERROR(INDEX(V!$R:$R,MATCH(T32,V!$L:$L,0)),"")</f>
        <v/>
      </c>
      <c r="T32" s="783" t="str">
        <f t="shared" si="1"/>
        <v/>
      </c>
      <c r="U32" s="784" t="str">
        <f>IFERROR(INDEX(V!$R:$R,MATCH(V32,V!$L:$L,0)),"")</f>
        <v/>
      </c>
      <c r="V32" s="783" t="str">
        <f t="shared" si="2"/>
        <v/>
      </c>
      <c r="W32" s="784" t="str">
        <f>IFERROR(INDEX(V!$R:$R,MATCH(X32,V!$L:$L,0)),"")</f>
        <v/>
      </c>
      <c r="X32" s="785" t="str">
        <f t="shared" si="3"/>
        <v/>
      </c>
      <c r="Y32" s="784" t="str">
        <f>IFERROR(INDEX(V!$R:$R,MATCH(Z32,V!$L:$L,0)),"")</f>
        <v/>
      </c>
      <c r="Z32" s="785" t="str">
        <f t="shared" si="4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0"/>
        <v>0</v>
      </c>
      <c r="S33" s="784" t="str">
        <f>IFERROR(INDEX(V!$R:$R,MATCH(T33,V!$L:$L,0)),"")</f>
        <v/>
      </c>
      <c r="T33" s="783" t="str">
        <f t="shared" si="1"/>
        <v/>
      </c>
      <c r="U33" s="784" t="str">
        <f>IFERROR(INDEX(V!$R:$R,MATCH(V33,V!$L:$L,0)),"")</f>
        <v/>
      </c>
      <c r="V33" s="783" t="str">
        <f t="shared" si="2"/>
        <v/>
      </c>
      <c r="W33" s="784" t="str">
        <f>IFERROR(INDEX(V!$R:$R,MATCH(X33,V!$L:$L,0)),"")</f>
        <v/>
      </c>
      <c r="X33" s="785" t="str">
        <f t="shared" si="3"/>
        <v/>
      </c>
      <c r="Y33" s="784" t="str">
        <f>IFERROR(INDEX(V!$R:$R,MATCH(Z33,V!$L:$L,0)),"")</f>
        <v/>
      </c>
      <c r="Z33" s="785" t="str">
        <f t="shared" si="4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0"/>
        <v>0</v>
      </c>
      <c r="S34" s="784" t="str">
        <f>IFERROR(INDEX(V!$R:$R,MATCH(T34,V!$L:$L,0)),"")</f>
        <v/>
      </c>
      <c r="T34" s="783" t="str">
        <f t="shared" si="1"/>
        <v/>
      </c>
      <c r="U34" s="784" t="str">
        <f>IFERROR(INDEX(V!$R:$R,MATCH(V34,V!$L:$L,0)),"")</f>
        <v/>
      </c>
      <c r="V34" s="783" t="str">
        <f t="shared" si="2"/>
        <v/>
      </c>
      <c r="W34" s="784" t="str">
        <f>IFERROR(INDEX(V!$R:$R,MATCH(X34,V!$L:$L,0)),"")</f>
        <v/>
      </c>
      <c r="X34" s="785" t="str">
        <f t="shared" si="3"/>
        <v/>
      </c>
      <c r="Y34" s="784" t="str">
        <f>IFERROR(INDEX(V!$R:$R,MATCH(Z34,V!$L:$L,0)),"")</f>
        <v/>
      </c>
      <c r="Z34" s="785" t="str">
        <f t="shared" si="4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0"/>
        <v>0</v>
      </c>
      <c r="S35" s="784" t="str">
        <f>IFERROR(INDEX(V!$R:$R,MATCH(T35,V!$L:$L,0)),"")</f>
        <v/>
      </c>
      <c r="T35" s="783" t="str">
        <f t="shared" si="1"/>
        <v/>
      </c>
      <c r="U35" s="784" t="str">
        <f>IFERROR(INDEX(V!$R:$R,MATCH(V35,V!$L:$L,0)),"")</f>
        <v/>
      </c>
      <c r="V35" s="783" t="str">
        <f t="shared" si="2"/>
        <v/>
      </c>
      <c r="W35" s="784" t="str">
        <f>IFERROR(INDEX(V!$R:$R,MATCH(X35,V!$L:$L,0)),"")</f>
        <v/>
      </c>
      <c r="X35" s="785" t="str">
        <f t="shared" si="3"/>
        <v/>
      </c>
      <c r="Y35" s="784" t="str">
        <f>IFERROR(INDEX(V!$R:$R,MATCH(Z35,V!$L:$L,0)),"")</f>
        <v/>
      </c>
      <c r="Z35" s="785" t="str">
        <f t="shared" si="4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0"/>
        <v>0</v>
      </c>
      <c r="S36" s="784" t="str">
        <f>IFERROR(INDEX(V!$R:$R,MATCH(T36,V!$L:$L,0)),"")</f>
        <v/>
      </c>
      <c r="T36" s="783" t="str">
        <f t="shared" si="1"/>
        <v/>
      </c>
      <c r="U36" s="784" t="str">
        <f>IFERROR(INDEX(V!$R:$R,MATCH(V36,V!$L:$L,0)),"")</f>
        <v/>
      </c>
      <c r="V36" s="783" t="str">
        <f t="shared" si="2"/>
        <v/>
      </c>
      <c r="W36" s="784" t="str">
        <f>IFERROR(INDEX(V!$R:$R,MATCH(X36,V!$L:$L,0)),"")</f>
        <v/>
      </c>
      <c r="X36" s="785" t="str">
        <f t="shared" si="3"/>
        <v/>
      </c>
      <c r="Y36" s="784" t="str">
        <f>IFERROR(INDEX(V!$R:$R,MATCH(Z36,V!$L:$L,0)),"")</f>
        <v/>
      </c>
      <c r="Z36" s="785" t="str">
        <f t="shared" si="4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0"/>
        <v>0</v>
      </c>
      <c r="S37" s="784" t="str">
        <f>IFERROR(INDEX(V!$R:$R,MATCH(T37,V!$L:$L,0)),"")</f>
        <v/>
      </c>
      <c r="T37" s="783" t="str">
        <f t="shared" si="1"/>
        <v/>
      </c>
      <c r="U37" s="784" t="str">
        <f>IFERROR(INDEX(V!$R:$R,MATCH(V37,V!$L:$L,0)),"")</f>
        <v/>
      </c>
      <c r="V37" s="783" t="str">
        <f t="shared" si="2"/>
        <v/>
      </c>
      <c r="W37" s="784" t="str">
        <f>IFERROR(INDEX(V!$R:$R,MATCH(X37,V!$L:$L,0)),"")</f>
        <v/>
      </c>
      <c r="X37" s="785" t="str">
        <f t="shared" si="3"/>
        <v/>
      </c>
      <c r="Y37" s="784" t="str">
        <f>IFERROR(INDEX(V!$R:$R,MATCH(Z37,V!$L:$L,0)),"")</f>
        <v/>
      </c>
      <c r="Z37" s="785" t="str">
        <f t="shared" si="4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0"/>
        <v>0</v>
      </c>
      <c r="S38" s="784" t="str">
        <f>IFERROR(INDEX(V!$R:$R,MATCH(T38,V!$L:$L,0)),"")</f>
        <v/>
      </c>
      <c r="T38" s="783" t="str">
        <f t="shared" si="1"/>
        <v/>
      </c>
      <c r="U38" s="784" t="str">
        <f>IFERROR(INDEX(V!$R:$R,MATCH(V38,V!$L:$L,0)),"")</f>
        <v/>
      </c>
      <c r="V38" s="783" t="str">
        <f t="shared" si="2"/>
        <v/>
      </c>
      <c r="W38" s="784" t="str">
        <f>IFERROR(INDEX(V!$R:$R,MATCH(X38,V!$L:$L,0)),"")</f>
        <v/>
      </c>
      <c r="X38" s="785" t="str">
        <f t="shared" si="3"/>
        <v/>
      </c>
      <c r="Y38" s="784" t="str">
        <f>IFERROR(INDEX(V!$R:$R,MATCH(Z38,V!$L:$L,0)),"")</f>
        <v/>
      </c>
      <c r="Z38" s="785" t="str">
        <f t="shared" si="4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ref="R39:R60" si="15">SUM(S39:AB39)</f>
        <v>0</v>
      </c>
      <c r="S39" s="784" t="str">
        <f>IFERROR(INDEX(V!$R:$R,MATCH(T39,V!$L:$L,0)),"")</f>
        <v/>
      </c>
      <c r="T39" s="783" t="str">
        <f t="shared" si="1"/>
        <v/>
      </c>
      <c r="U39" s="784" t="str">
        <f>IFERROR(INDEX(V!$R:$R,MATCH(V39,V!$L:$L,0)),"")</f>
        <v/>
      </c>
      <c r="V39" s="783" t="str">
        <f t="shared" si="2"/>
        <v/>
      </c>
      <c r="W39" s="784" t="str">
        <f>IFERROR(INDEX(V!$R:$R,MATCH(X39,V!$L:$L,0)),"")</f>
        <v/>
      </c>
      <c r="X39" s="785" t="str">
        <f t="shared" si="3"/>
        <v/>
      </c>
      <c r="Y39" s="784" t="str">
        <f>IFERROR(INDEX(V!$R:$R,MATCH(Z39,V!$L:$L,0)),"")</f>
        <v/>
      </c>
      <c r="Z39" s="785" t="str">
        <f t="shared" si="4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si="15"/>
        <v>0</v>
      </c>
      <c r="S40" s="784" t="str">
        <f>IFERROR(INDEX(V!$R:$R,MATCH(T40,V!$L:$L,0)),"")</f>
        <v/>
      </c>
      <c r="T40" s="783" t="str">
        <f t="shared" si="1"/>
        <v/>
      </c>
      <c r="U40" s="784" t="str">
        <f>IFERROR(INDEX(V!$R:$R,MATCH(V40,V!$L:$L,0)),"")</f>
        <v/>
      </c>
      <c r="V40" s="783" t="str">
        <f t="shared" si="2"/>
        <v/>
      </c>
      <c r="W40" s="784" t="str">
        <f>IFERROR(INDEX(V!$R:$R,MATCH(X40,V!$L:$L,0)),"")</f>
        <v/>
      </c>
      <c r="X40" s="785" t="str">
        <f t="shared" si="3"/>
        <v/>
      </c>
      <c r="Y40" s="784" t="str">
        <f>IFERROR(INDEX(V!$R:$R,MATCH(Z40,V!$L:$L,0)),"")</f>
        <v/>
      </c>
      <c r="Z40" s="785" t="str">
        <f t="shared" si="4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1"/>
        <v/>
      </c>
      <c r="U41" s="784" t="str">
        <f>IFERROR(INDEX(V!$R:$R,MATCH(V41,V!$L:$L,0)),"")</f>
        <v/>
      </c>
      <c r="V41" s="783" t="str">
        <f t="shared" si="2"/>
        <v/>
      </c>
      <c r="W41" s="784" t="str">
        <f>IFERROR(INDEX(V!$R:$R,MATCH(X41,V!$L:$L,0)),"")</f>
        <v/>
      </c>
      <c r="X41" s="785" t="str">
        <f t="shared" si="3"/>
        <v/>
      </c>
      <c r="Y41" s="784" t="str">
        <f>IFERROR(INDEX(V!$R:$R,MATCH(Z41,V!$L:$L,0)),"")</f>
        <v/>
      </c>
      <c r="Z41" s="785" t="str">
        <f t="shared" si="4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1"/>
        <v/>
      </c>
      <c r="U42" s="784" t="str">
        <f>IFERROR(INDEX(V!$R:$R,MATCH(V42,V!$L:$L,0)),"")</f>
        <v/>
      </c>
      <c r="V42" s="783" t="str">
        <f t="shared" si="2"/>
        <v/>
      </c>
      <c r="W42" s="784" t="str">
        <f>IFERROR(INDEX(V!$R:$R,MATCH(X42,V!$L:$L,0)),"")</f>
        <v/>
      </c>
      <c r="X42" s="785" t="str">
        <f t="shared" si="3"/>
        <v/>
      </c>
      <c r="Y42" s="784" t="str">
        <f>IFERROR(INDEX(V!$R:$R,MATCH(Z42,V!$L:$L,0)),"")</f>
        <v/>
      </c>
      <c r="Z42" s="785" t="str">
        <f t="shared" si="4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1"/>
        <v/>
      </c>
      <c r="U43" s="784" t="str">
        <f>IFERROR(INDEX(V!$R:$R,MATCH(V43,V!$L:$L,0)),"")</f>
        <v/>
      </c>
      <c r="V43" s="783" t="str">
        <f t="shared" si="2"/>
        <v/>
      </c>
      <c r="W43" s="784" t="str">
        <f>IFERROR(INDEX(V!$R:$R,MATCH(X43,V!$L:$L,0)),"")</f>
        <v/>
      </c>
      <c r="X43" s="785" t="str">
        <f t="shared" si="3"/>
        <v/>
      </c>
      <c r="Y43" s="784" t="str">
        <f>IFERROR(INDEX(V!$R:$R,MATCH(Z43,V!$L:$L,0)),"")</f>
        <v/>
      </c>
      <c r="Z43" s="785" t="str">
        <f t="shared" si="4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1"/>
        <v/>
      </c>
      <c r="U44" s="784" t="str">
        <f>IFERROR(INDEX(V!$R:$R,MATCH(V44,V!$L:$L,0)),"")</f>
        <v/>
      </c>
      <c r="V44" s="783" t="str">
        <f t="shared" si="2"/>
        <v/>
      </c>
      <c r="W44" s="784" t="str">
        <f>IFERROR(INDEX(V!$R:$R,MATCH(X44,V!$L:$L,0)),"")</f>
        <v/>
      </c>
      <c r="X44" s="785" t="str">
        <f t="shared" si="3"/>
        <v/>
      </c>
      <c r="Y44" s="784" t="str">
        <f>IFERROR(INDEX(V!$R:$R,MATCH(Z44,V!$L:$L,0)),"")</f>
        <v/>
      </c>
      <c r="Z44" s="785" t="str">
        <f t="shared" si="4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1"/>
        <v/>
      </c>
      <c r="U45" s="784" t="str">
        <f>IFERROR(INDEX(V!$R:$R,MATCH(V45,V!$L:$L,0)),"")</f>
        <v/>
      </c>
      <c r="V45" s="783" t="str">
        <f t="shared" si="2"/>
        <v/>
      </c>
      <c r="W45" s="784" t="str">
        <f>IFERROR(INDEX(V!$R:$R,MATCH(X45,V!$L:$L,0)),"")</f>
        <v/>
      </c>
      <c r="X45" s="785" t="str">
        <f t="shared" si="3"/>
        <v/>
      </c>
      <c r="Y45" s="784" t="str">
        <f>IFERROR(INDEX(V!$R:$R,MATCH(Z45,V!$L:$L,0)),"")</f>
        <v/>
      </c>
      <c r="Z45" s="785" t="str">
        <f t="shared" si="4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1"/>
        <v/>
      </c>
      <c r="U46" s="784" t="str">
        <f>IFERROR(INDEX(V!$R:$R,MATCH(V46,V!$L:$L,0)),"")</f>
        <v/>
      </c>
      <c r="V46" s="783" t="str">
        <f t="shared" si="2"/>
        <v/>
      </c>
      <c r="W46" s="784" t="str">
        <f>IFERROR(INDEX(V!$R:$R,MATCH(X46,V!$L:$L,0)),"")</f>
        <v/>
      </c>
      <c r="X46" s="785" t="str">
        <f t="shared" si="3"/>
        <v/>
      </c>
      <c r="Y46" s="784" t="str">
        <f>IFERROR(INDEX(V!$R:$R,MATCH(Z46,V!$L:$L,0)),"")</f>
        <v/>
      </c>
      <c r="Z46" s="785" t="str">
        <f t="shared" si="4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1"/>
        <v/>
      </c>
      <c r="U47" s="784" t="str">
        <f>IFERROR(INDEX(V!$R:$R,MATCH(V47,V!$L:$L,0)),"")</f>
        <v/>
      </c>
      <c r="V47" s="783" t="str">
        <f t="shared" si="2"/>
        <v/>
      </c>
      <c r="W47" s="784" t="str">
        <f>IFERROR(INDEX(V!$R:$R,MATCH(X47,V!$L:$L,0)),"")</f>
        <v/>
      </c>
      <c r="X47" s="785" t="str">
        <f t="shared" si="3"/>
        <v/>
      </c>
      <c r="Y47" s="784" t="str">
        <f>IFERROR(INDEX(V!$R:$R,MATCH(Z47,V!$L:$L,0)),"")</f>
        <v/>
      </c>
      <c r="Z47" s="785" t="str">
        <f t="shared" si="4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1"/>
        <v/>
      </c>
      <c r="U48" s="784" t="str">
        <f>IFERROR(INDEX(V!$R:$R,MATCH(V48,V!$L:$L,0)),"")</f>
        <v/>
      </c>
      <c r="V48" s="783" t="str">
        <f t="shared" si="2"/>
        <v/>
      </c>
      <c r="W48" s="784" t="str">
        <f>IFERROR(INDEX(V!$R:$R,MATCH(X48,V!$L:$L,0)),"")</f>
        <v/>
      </c>
      <c r="X48" s="785" t="str">
        <f t="shared" si="3"/>
        <v/>
      </c>
      <c r="Y48" s="784" t="str">
        <f>IFERROR(INDEX(V!$R:$R,MATCH(Z48,V!$L:$L,0)),"")</f>
        <v/>
      </c>
      <c r="Z48" s="785" t="str">
        <f t="shared" si="4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1"/>
        <v/>
      </c>
      <c r="U49" s="784" t="str">
        <f>IFERROR(INDEX(V!$R:$R,MATCH(V49,V!$L:$L,0)),"")</f>
        <v/>
      </c>
      <c r="V49" s="783" t="str">
        <f t="shared" si="2"/>
        <v/>
      </c>
      <c r="W49" s="784" t="str">
        <f>IFERROR(INDEX(V!$R:$R,MATCH(X49,V!$L:$L,0)),"")</f>
        <v/>
      </c>
      <c r="X49" s="785" t="str">
        <f t="shared" si="3"/>
        <v/>
      </c>
      <c r="Y49" s="784" t="str">
        <f>IFERROR(INDEX(V!$R:$R,MATCH(Z49,V!$L:$L,0)),"")</f>
        <v/>
      </c>
      <c r="Z49" s="785" t="str">
        <f t="shared" si="4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1"/>
        <v/>
      </c>
      <c r="U50" s="784" t="str">
        <f>IFERROR(INDEX(V!$R:$R,MATCH(V50,V!$L:$L,0)),"")</f>
        <v/>
      </c>
      <c r="V50" s="783" t="str">
        <f t="shared" si="2"/>
        <v/>
      </c>
      <c r="W50" s="784" t="str">
        <f>IFERROR(INDEX(V!$R:$R,MATCH(X50,V!$L:$L,0)),"")</f>
        <v/>
      </c>
      <c r="X50" s="785" t="str">
        <f t="shared" si="3"/>
        <v/>
      </c>
      <c r="Y50" s="784" t="str">
        <f>IFERROR(INDEX(V!$R:$R,MATCH(Z50,V!$L:$L,0)),"")</f>
        <v/>
      </c>
      <c r="Z50" s="785" t="str">
        <f t="shared" si="4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1"/>
        <v/>
      </c>
      <c r="U51" s="784" t="str">
        <f>IFERROR(INDEX(V!$R:$R,MATCH(V51,V!$L:$L,0)),"")</f>
        <v/>
      </c>
      <c r="V51" s="783" t="str">
        <f t="shared" si="2"/>
        <v/>
      </c>
      <c r="W51" s="784" t="str">
        <f>IFERROR(INDEX(V!$R:$R,MATCH(X51,V!$L:$L,0)),"")</f>
        <v/>
      </c>
      <c r="X51" s="785" t="str">
        <f t="shared" si="3"/>
        <v/>
      </c>
      <c r="Y51" s="784" t="str">
        <f>IFERROR(INDEX(V!$R:$R,MATCH(Z51,V!$L:$L,0)),"")</f>
        <v/>
      </c>
      <c r="Z51" s="785" t="str">
        <f t="shared" si="4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1"/>
        <v/>
      </c>
      <c r="U52" s="784" t="str">
        <f>IFERROR(INDEX(V!$R:$R,MATCH(V52,V!$L:$L,0)),"")</f>
        <v/>
      </c>
      <c r="V52" s="783" t="str">
        <f t="shared" si="2"/>
        <v/>
      </c>
      <c r="W52" s="784" t="str">
        <f>IFERROR(INDEX(V!$R:$R,MATCH(X52,V!$L:$L,0)),"")</f>
        <v/>
      </c>
      <c r="X52" s="785" t="str">
        <f t="shared" si="3"/>
        <v/>
      </c>
      <c r="Y52" s="784" t="str">
        <f>IFERROR(INDEX(V!$R:$R,MATCH(Z52,V!$L:$L,0)),"")</f>
        <v/>
      </c>
      <c r="Z52" s="785" t="str">
        <f t="shared" si="4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1"/>
        <v/>
      </c>
      <c r="U53" s="784" t="str">
        <f>IFERROR(INDEX(V!$R:$R,MATCH(V53,V!$L:$L,0)),"")</f>
        <v/>
      </c>
      <c r="V53" s="783" t="str">
        <f t="shared" si="2"/>
        <v/>
      </c>
      <c r="W53" s="784" t="str">
        <f>IFERROR(INDEX(V!$R:$R,MATCH(X53,V!$L:$L,0)),"")</f>
        <v/>
      </c>
      <c r="X53" s="785" t="str">
        <f t="shared" si="3"/>
        <v/>
      </c>
      <c r="Y53" s="784" t="str">
        <f>IFERROR(INDEX(V!$R:$R,MATCH(Z53,V!$L:$L,0)),"")</f>
        <v/>
      </c>
      <c r="Z53" s="785" t="str">
        <f t="shared" si="4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1"/>
        <v/>
      </c>
      <c r="U54" s="784" t="str">
        <f>IFERROR(INDEX(V!$R:$R,MATCH(V54,V!$L:$L,0)),"")</f>
        <v/>
      </c>
      <c r="V54" s="783" t="str">
        <f t="shared" si="2"/>
        <v/>
      </c>
      <c r="W54" s="784" t="str">
        <f>IFERROR(INDEX(V!$R:$R,MATCH(X54,V!$L:$L,0)),"")</f>
        <v/>
      </c>
      <c r="X54" s="785" t="str">
        <f t="shared" si="3"/>
        <v/>
      </c>
      <c r="Y54" s="784" t="str">
        <f>IFERROR(INDEX(V!$R:$R,MATCH(Z54,V!$L:$L,0)),"")</f>
        <v/>
      </c>
      <c r="Z54" s="785" t="str">
        <f t="shared" si="4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1"/>
        <v/>
      </c>
      <c r="U55" s="784" t="str">
        <f>IFERROR(INDEX(V!$R:$R,MATCH(V55,V!$L:$L,0)),"")</f>
        <v/>
      </c>
      <c r="V55" s="783" t="str">
        <f t="shared" si="2"/>
        <v/>
      </c>
      <c r="W55" s="784" t="str">
        <f>IFERROR(INDEX(V!$R:$R,MATCH(X55,V!$L:$L,0)),"")</f>
        <v/>
      </c>
      <c r="X55" s="785" t="str">
        <f t="shared" si="3"/>
        <v/>
      </c>
      <c r="Y55" s="784" t="str">
        <f>IFERROR(INDEX(V!$R:$R,MATCH(Z55,V!$L:$L,0)),"")</f>
        <v/>
      </c>
      <c r="Z55" s="785" t="str">
        <f t="shared" si="4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1"/>
        <v/>
      </c>
      <c r="U56" s="784" t="str">
        <f>IFERROR(INDEX(V!$R:$R,MATCH(V56,V!$L:$L,0)),"")</f>
        <v/>
      </c>
      <c r="V56" s="783" t="str">
        <f t="shared" si="2"/>
        <v/>
      </c>
      <c r="W56" s="784" t="str">
        <f>IFERROR(INDEX(V!$R:$R,MATCH(X56,V!$L:$L,0)),"")</f>
        <v/>
      </c>
      <c r="X56" s="785" t="str">
        <f t="shared" si="3"/>
        <v/>
      </c>
      <c r="Y56" s="784" t="str">
        <f>IFERROR(INDEX(V!$R:$R,MATCH(Z56,V!$L:$L,0)),"")</f>
        <v/>
      </c>
      <c r="Z56" s="785" t="str">
        <f t="shared" si="4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1"/>
        <v/>
      </c>
      <c r="U57" s="784" t="str">
        <f>IFERROR(INDEX(V!$R:$R,MATCH(V57,V!$L:$L,0)),"")</f>
        <v/>
      </c>
      <c r="V57" s="783" t="str">
        <f t="shared" si="2"/>
        <v/>
      </c>
      <c r="W57" s="784" t="str">
        <f>IFERROR(INDEX(V!$R:$R,MATCH(X57,V!$L:$L,0)),"")</f>
        <v/>
      </c>
      <c r="X57" s="785" t="str">
        <f t="shared" si="3"/>
        <v/>
      </c>
      <c r="Y57" s="784" t="str">
        <f>IFERROR(INDEX(V!$R:$R,MATCH(Z57,V!$L:$L,0)),"")</f>
        <v/>
      </c>
      <c r="Z57" s="785" t="str">
        <f t="shared" si="4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1"/>
        <v/>
      </c>
      <c r="U58" s="784" t="str">
        <f>IFERROR(INDEX(V!$R:$R,MATCH(V58,V!$L:$L,0)),"")</f>
        <v/>
      </c>
      <c r="V58" s="783" t="str">
        <f t="shared" si="2"/>
        <v/>
      </c>
      <c r="W58" s="784" t="str">
        <f>IFERROR(INDEX(V!$R:$R,MATCH(X58,V!$L:$L,0)),"")</f>
        <v/>
      </c>
      <c r="X58" s="785" t="str">
        <f t="shared" si="3"/>
        <v/>
      </c>
      <c r="Y58" s="784" t="str">
        <f>IFERROR(INDEX(V!$R:$R,MATCH(Z58,V!$L:$L,0)),"")</f>
        <v/>
      </c>
      <c r="Z58" s="785" t="str">
        <f t="shared" si="4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1"/>
        <v/>
      </c>
      <c r="U59" s="784" t="str">
        <f>IFERROR(INDEX(V!$R:$R,MATCH(V59,V!$L:$L,0)),"")</f>
        <v/>
      </c>
      <c r="V59" s="783" t="str">
        <f t="shared" si="2"/>
        <v/>
      </c>
      <c r="W59" s="784" t="str">
        <f>IFERROR(INDEX(V!$R:$R,MATCH(X59,V!$L:$L,0)),"")</f>
        <v/>
      </c>
      <c r="X59" s="785" t="str">
        <f t="shared" si="3"/>
        <v/>
      </c>
      <c r="Y59" s="784" t="str">
        <f>IFERROR(INDEX(V!$R:$R,MATCH(Z59,V!$L:$L,0)),"")</f>
        <v/>
      </c>
      <c r="Z59" s="785" t="str">
        <f t="shared" si="4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1"/>
        <v/>
      </c>
      <c r="U60" s="784" t="str">
        <f>IFERROR(INDEX(V!$R:$R,MATCH(V60,V!$L:$L,0)),"")</f>
        <v/>
      </c>
      <c r="V60" s="783" t="str">
        <f t="shared" si="2"/>
        <v/>
      </c>
      <c r="W60" s="784" t="str">
        <f>IFERROR(INDEX(V!$R:$R,MATCH(X60,V!$L:$L,0)),"")</f>
        <v/>
      </c>
      <c r="X60" s="785" t="str">
        <f t="shared" si="3"/>
        <v/>
      </c>
      <c r="Y60" s="784" t="str">
        <f>IFERROR(INDEX(V!$R:$R,MATCH(Z60,V!$L:$L,0)),"")</f>
        <v/>
      </c>
      <c r="Z60" s="785" t="str">
        <f t="shared" si="4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212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Elmo Lageda, Tõnu Piik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Elmo Lageda, Tõnu Piik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Janek Tarto, Meelis Luud</v>
      </c>
      <c r="C104" s="856">
        <v>11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Elmo Lageda, Tõnu Piik</v>
      </c>
      <c r="F105" s="755"/>
      <c r="G105" s="851">
        <v>5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Mait Metsla, Matti Vinni</v>
      </c>
      <c r="C106" s="851">
        <v>9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Argo Sepp, Karla Purgats</v>
      </c>
      <c r="D107" s="860"/>
      <c r="E107" s="851">
        <v>11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Argo Sepp, Karla Purgats</v>
      </c>
      <c r="C108" s="856">
        <v>13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Kenneth Muusikus, Ülo Piik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414</v>
      </c>
      <c r="B110" s="850" t="str">
        <f>IF(A110="-","-",IFERROR(INDEX(B$1:B$100,MATCH(A110,I$1:I$100,0)),""))</f>
        <v>Henri Mitt, Ivar Viljaste</v>
      </c>
      <c r="C110" s="851">
        <v>13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Henri Mitt, Ivar Viljaste</v>
      </c>
      <c r="D111" s="755"/>
      <c r="E111" s="851">
        <v>5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415</v>
      </c>
      <c r="B112" s="855" t="str">
        <f>IF(A112="-","-",IFERROR(INDEX(B$1:B$100,MATCH(A112,I$1:I$100,0)),""))</f>
        <v>Kristiin-Marleen Neiland, Johannes Neiland</v>
      </c>
      <c r="C112" s="856">
        <v>1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Kenneth Muusikus, Ülo Piik</v>
      </c>
      <c r="F113" s="860"/>
      <c r="G113" s="851">
        <v>13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417</v>
      </c>
      <c r="B114" s="850" t="str">
        <f>IF(A114="-","-",IFERROR(INDEX(B$1:B$100,MATCH(A114,I$1:I$100,0)),""))</f>
        <v>Kenneth Muusikus, Ülo Piik</v>
      </c>
      <c r="C114" s="851">
        <v>13</v>
      </c>
      <c r="D114" s="858"/>
      <c r="E114" s="859"/>
      <c r="F114" s="807"/>
      <c r="G114" s="807"/>
      <c r="H114" s="951" t="str">
        <f>IF(COUNT(G105,G113)=2,IF(G105&lt;G113,E105,E113),"")</f>
        <v>Elmo Lageda, Tõnu Piik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Kenneth Muusikus, Ülo Piik</v>
      </c>
      <c r="D115" s="860"/>
      <c r="E115" s="962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416</v>
      </c>
      <c r="B116" s="855" t="str">
        <f>IF(A116="-","-",IFERROR(INDEX(B$1:B$100,MATCH(A116,I$1:I$100,0)),""))</f>
        <v>Oksana Rõndenkova, Oleg Rõndenkov</v>
      </c>
      <c r="C116" s="856">
        <v>9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Argo Sepp, Karla Purgats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Argo Sepp, Karla Purgats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Henri Mitt, Ivar Viljaste</v>
      </c>
      <c r="F119" s="860"/>
      <c r="G119" s="856">
        <v>10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Henri Mitt, Ivar Viljaste</v>
      </c>
      <c r="I121" s="938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Janek Tarto, Meelis Luud</v>
      </c>
      <c r="D123" s="755"/>
      <c r="E123" s="851">
        <v>11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Mait Metsla, Matti Vinni</v>
      </c>
      <c r="F124" s="755"/>
      <c r="G124" s="851">
        <v>13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Mait Metsla, Matti Vinni</v>
      </c>
      <c r="D125" s="868"/>
      <c r="E125" s="856">
        <v>13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951" t="str">
        <f>IF(COUNT(G124,G128)=2,IF(G124&gt;G128,E124,E128),"")</f>
        <v>Mait Metsla, Matti Vinni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Kristiin-Marleen Neiland, Johannes Neiland</v>
      </c>
      <c r="D127" s="851"/>
      <c r="E127" s="851">
        <v>13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Kristiin-Marleen Neiland, Johannes Neiland</v>
      </c>
      <c r="F128" s="860"/>
      <c r="G128" s="856">
        <v>2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Oksana Rõndenkova, Oleg Rõndenkov</v>
      </c>
      <c r="D129" s="868"/>
      <c r="E129" s="856">
        <v>10</v>
      </c>
      <c r="F129" s="851"/>
      <c r="G129" s="869"/>
      <c r="H129" s="951" t="str">
        <f>IF(COUNT(G124,G128)=2,IF(G124&lt;G128,E124,E128),"")</f>
        <v>Kristiin-Marleen Neiland, Johannes Neiland</v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Janek Tarto, Meelis Luud</v>
      </c>
      <c r="F131" s="755"/>
      <c r="G131" s="851">
        <v>6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>Oksana Rõndenkova, Oleg Rõndenkov</v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Oksana Rõndenkova, Oleg Rõndenkov</v>
      </c>
      <c r="F133" s="860"/>
      <c r="G133" s="856">
        <v>13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>Janek Tarto, Meelis Luud</v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Klavdia Piik, Väino Aul</v>
      </c>
      <c r="C140" s="851">
        <v>13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Klavdia Piik, Väino Aul</v>
      </c>
      <c r="D141" s="755"/>
      <c r="E141" s="851">
        <v>3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440</v>
      </c>
      <c r="B142" s="855" t="s">
        <v>424</v>
      </c>
      <c r="C142" s="856">
        <f>IF(B142="-",0,IF(B140="-",13,""))</f>
        <v>0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Jaan Sepp, Oskar Sepp</v>
      </c>
      <c r="F143" s="755"/>
      <c r="G143" s="962">
        <v>13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423</v>
      </c>
      <c r="B144" s="850" t="str">
        <f>IF(A144="-","-",IFERROR(INDEX(B$1:B$100,MATCH(A144,I$1:I$100,0)),""))</f>
        <v>Enn Tokman, Tarmo Bombe</v>
      </c>
      <c r="C144" s="851">
        <v>1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Jaan Sepp, Oskar Sepp</v>
      </c>
      <c r="D145" s="860"/>
      <c r="E145" s="851">
        <v>13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422</v>
      </c>
      <c r="B146" s="855" t="str">
        <f>IF(A146="-","-",IFERROR(INDEX(B$1:B$100,MATCH(A146,I$1:I$100,0)),""))</f>
        <v>Jaan Sepp, Oskar Sepp</v>
      </c>
      <c r="C146" s="856">
        <v>13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Jaan Sepp, Oskar Sepp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425</v>
      </c>
      <c r="B148" s="850" t="str">
        <f>IF(A148="-","-",IFERROR(INDEX(B$1:B$100,MATCH(A148,I$1:I$100,0)),""))</f>
        <v>Ljudmila Varendi, Viktor Švarõgin</v>
      </c>
      <c r="C148" s="851">
        <v>8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Kaspar Mänd, Reimo Lõhmus</v>
      </c>
      <c r="D149" s="755"/>
      <c r="E149" s="851">
        <v>8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429</v>
      </c>
      <c r="B150" s="855" t="str">
        <f>IF(A150="-","-",IFERROR(INDEX(B$1:B$100,MATCH(A150,I$1:I$100,0)),""))</f>
        <v>Kaspar Mänd, Reimo Lõhmus</v>
      </c>
      <c r="C150" s="856">
        <v>13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Illar Tõnurist, Jaan Saar</v>
      </c>
      <c r="F151" s="860"/>
      <c r="G151" s="851">
        <v>2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427</v>
      </c>
      <c r="B152" s="850" t="str">
        <f>IF(A152="-","-",IFERROR(INDEX(B$1:B$100,MATCH(A152,I$1:I$100,0)),""))</f>
        <v>Aigi Orro, Andres Veski</v>
      </c>
      <c r="C152" s="851">
        <v>11</v>
      </c>
      <c r="D152" s="858"/>
      <c r="E152" s="859"/>
      <c r="F152" s="807"/>
      <c r="G152" s="807"/>
      <c r="H152" s="951" t="str">
        <f>IF(COUNT(G143,G151)=2,IF(G143&lt;G151,E143,E151),"")</f>
        <v>Illar Tõnurist, Jaan Saar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Illar Tõnurist, Jaan Saar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507</v>
      </c>
      <c r="B154" s="855" t="str">
        <f>IF(A154="-","-",IFERROR(INDEX(B$1:B$100,MATCH(A154,I$1:I$100,0)),""))</f>
        <v>Illar Tõnurist, Jaan Saar</v>
      </c>
      <c r="C154" s="856">
        <v>13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Klavdia Piik, Väino Aul</v>
      </c>
      <c r="F155" s="755"/>
      <c r="G155" s="851">
        <v>5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Kaspar Mänd, Reimo Lõhmus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Kaspar Mänd, Reimo Lõhmus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Klavdia Piik, Väino Aul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-</v>
      </c>
      <c r="D161" s="755"/>
      <c r="E161" s="851">
        <f>IF(C161="-",0,IF(C163="-",13,""))</f>
        <v>0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Enn Tokman, Tarmo Bombe</v>
      </c>
      <c r="F162" s="755"/>
      <c r="G162" s="851">
        <v>6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Enn Tokman, Tarmo Bombe</v>
      </c>
      <c r="D163" s="868"/>
      <c r="E163" s="856">
        <f>IF(C163="-",0,IF(C161="-",13,""))</f>
        <v>13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>Aigi Orro, Andres Veski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Ljudmila Varendi, Viktor Švarõgin</v>
      </c>
      <c r="D165" s="851"/>
      <c r="E165" s="851">
        <v>12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Aigi Orro, Andres Veski</v>
      </c>
      <c r="F166" s="860"/>
      <c r="G166" s="971">
        <v>13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Aigi Orro, Andres Veski</v>
      </c>
      <c r="D167" s="868"/>
      <c r="E167" s="856">
        <v>13</v>
      </c>
      <c r="F167" s="851"/>
      <c r="G167" s="869"/>
      <c r="H167" s="951" t="str">
        <f>IF(COUNT(G162,G166)=2,IF(G162&lt;G166,E162,E166),"")</f>
        <v>Enn Tokman, Tarmo Bombe</v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>Ljudmila Varendi, Viktor Švarõgin</v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Ljudmila Varendi, Viktor Švarõgin</v>
      </c>
      <c r="F171" s="860"/>
      <c r="G171" s="856">
        <f>IF(E171="-",0,IF(E169="-",13,""))</f>
        <v>13</v>
      </c>
      <c r="H171" s="810" t="s">
        <v>530</v>
      </c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>-</v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hidden="1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/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4" si="22">IFERROR(INDEX(H$100:H$300,MATCH(A300&amp;". koht",H$101:H$301,0)),"")</f>
        <v>Kenneth Muusikus, Ülo Piik</v>
      </c>
      <c r="C300" s="755"/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Elmo Lageda, Tõnu Piik</v>
      </c>
      <c r="C301" s="755"/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Argo Sepp, Karla Purgats</v>
      </c>
      <c r="C302" s="755"/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Henri Mitt, Ivar Viljaste</v>
      </c>
      <c r="C303" s="755"/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Mait Metsla, Matti Vinni</v>
      </c>
      <c r="C304" s="755"/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Kristiin-Marleen Neiland, Johannes Neiland</v>
      </c>
      <c r="C305" s="755"/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75">
        <v>7</v>
      </c>
      <c r="B306" s="816" t="str">
        <f t="shared" si="22"/>
        <v>Oksana Rõndenkova, Oleg Rõndenkov</v>
      </c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Janek Tarto, Meelis Luud</v>
      </c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Jaan Sepp, Oskar Sepp</v>
      </c>
      <c r="C308" s="755"/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Illar Tõnurist, Jaan Saar</v>
      </c>
      <c r="C309" s="755"/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x14ac:dyDescent="0.2">
      <c r="A310" s="875">
        <v>11</v>
      </c>
      <c r="B310" s="816" t="str">
        <f t="shared" si="22"/>
        <v>Kaspar Mänd, Reimo Lõhmus</v>
      </c>
      <c r="C310" s="755"/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Klavdia Piik, Väino Aul</v>
      </c>
      <c r="C311" s="755"/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Aigi Orro, Andres Veski</v>
      </c>
      <c r="C312" s="755"/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875">
        <v>14</v>
      </c>
      <c r="B313" s="816" t="str">
        <f t="shared" si="22"/>
        <v>Enn Tokman, Tarmo Bombe</v>
      </c>
      <c r="C313" s="755"/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  <row r="314" spans="1:27" x14ac:dyDescent="0.2">
      <c r="A314" s="875">
        <v>15</v>
      </c>
      <c r="B314" s="816" t="str">
        <f t="shared" si="22"/>
        <v>Ljudmila Varendi, Viktor Švarõgin</v>
      </c>
      <c r="C314" s="755"/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</row>
    <row r="315" spans="1:27" x14ac:dyDescent="0.2">
      <c r="A315" s="755"/>
      <c r="B315" s="754"/>
      <c r="C315" s="755"/>
      <c r="D315" s="755"/>
      <c r="E315" s="755"/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</row>
    <row r="316" spans="1:27" x14ac:dyDescent="0.2">
      <c r="A316" s="755"/>
      <c r="B316" s="754"/>
      <c r="C316" s="755"/>
      <c r="D316" s="755"/>
      <c r="E316" s="755"/>
      <c r="F316" s="755"/>
      <c r="G316" s="755"/>
      <c r="H316" s="755"/>
      <c r="I316" s="755"/>
      <c r="J316" s="755"/>
      <c r="K316" s="755"/>
      <c r="L316" s="755"/>
      <c r="M316" s="755"/>
      <c r="N316" s="755"/>
      <c r="O316" s="755"/>
      <c r="P316" s="755"/>
      <c r="Q316" s="755"/>
      <c r="R316" s="755"/>
      <c r="S316" s="755"/>
      <c r="T316" s="755"/>
      <c r="U316" s="755"/>
      <c r="V316" s="755"/>
      <c r="W316" s="755"/>
      <c r="X316" s="755"/>
      <c r="Y316" s="755"/>
      <c r="Z316" s="755"/>
      <c r="AA316" s="755"/>
    </row>
    <row r="317" spans="1:27" x14ac:dyDescent="0.2">
      <c r="A317" s="755"/>
      <c r="B317" s="754"/>
      <c r="C317" s="755"/>
      <c r="D317" s="755"/>
      <c r="E317" s="755"/>
      <c r="F317" s="755"/>
      <c r="G317" s="755"/>
      <c r="H317" s="755"/>
      <c r="I317" s="755"/>
      <c r="J317" s="755"/>
      <c r="K317" s="755"/>
      <c r="L317" s="755"/>
      <c r="M317" s="755"/>
      <c r="N317" s="755"/>
      <c r="O317" s="755"/>
      <c r="P317" s="755"/>
      <c r="Q317" s="755"/>
      <c r="R317" s="755"/>
      <c r="S317" s="755"/>
      <c r="T317" s="755"/>
      <c r="U317" s="755"/>
      <c r="V317" s="755"/>
      <c r="W317" s="755"/>
      <c r="X317" s="755"/>
      <c r="Y317" s="755"/>
      <c r="Z317" s="755"/>
      <c r="AA317" s="755"/>
    </row>
  </sheetData>
  <conditionalFormatting sqref="B313">
    <cfRule type="containsBlanks" dxfId="1041" priority="265">
      <formula>LEN(TRIM(B313))=0</formula>
    </cfRule>
    <cfRule type="duplicateValues" dxfId="1040" priority="266"/>
  </conditionalFormatting>
  <conditionalFormatting sqref="I56:I60">
    <cfRule type="expression" dxfId="1039" priority="104">
      <formula>FIND(2,I56,1)</formula>
    </cfRule>
    <cfRule type="expression" dxfId="1038" priority="105">
      <formula>FIND(1,I56,1)</formula>
    </cfRule>
  </conditionalFormatting>
  <conditionalFormatting sqref="A102:A116">
    <cfRule type="cellIs" dxfId="1037" priority="258" operator="equal">
      <formula>"-"</formula>
    </cfRule>
    <cfRule type="duplicateValues" dxfId="1036" priority="259"/>
  </conditionalFormatting>
  <conditionalFormatting sqref="A140:A154">
    <cfRule type="cellIs" dxfId="1035" priority="256" operator="equal">
      <formula>"-"</formula>
    </cfRule>
    <cfRule type="duplicateValues" dxfId="1034" priority="257"/>
  </conditionalFormatting>
  <conditionalFormatting sqref="D7 C8">
    <cfRule type="aboveAverage" dxfId="1033" priority="255"/>
  </conditionalFormatting>
  <conditionalFormatting sqref="E7 C9">
    <cfRule type="aboveAverage" dxfId="1032" priority="254"/>
  </conditionalFormatting>
  <conditionalFormatting sqref="F7 C10">
    <cfRule type="aboveAverage" dxfId="1031" priority="253"/>
  </conditionalFormatting>
  <conditionalFormatting sqref="E8 D9">
    <cfRule type="aboveAverage" dxfId="1030" priority="252"/>
  </conditionalFormatting>
  <conditionalFormatting sqref="G7 C11">
    <cfRule type="aboveAverage" dxfId="1029" priority="251"/>
  </conditionalFormatting>
  <conditionalFormatting sqref="F8 D10">
    <cfRule type="aboveAverage" dxfId="1028" priority="250"/>
  </conditionalFormatting>
  <conditionalFormatting sqref="G8 D11">
    <cfRule type="aboveAverage" dxfId="1027" priority="249"/>
  </conditionalFormatting>
  <conditionalFormatting sqref="F9 E10">
    <cfRule type="aboveAverage" dxfId="1026" priority="248"/>
  </conditionalFormatting>
  <conditionalFormatting sqref="G9 E11">
    <cfRule type="aboveAverage" dxfId="1025" priority="247"/>
  </conditionalFormatting>
  <conditionalFormatting sqref="F11 G10">
    <cfRule type="aboveAverage" dxfId="1024" priority="246"/>
  </conditionalFormatting>
  <conditionalFormatting sqref="K14:K18">
    <cfRule type="expression" dxfId="1023" priority="238">
      <formula>AND(J14=3,IF(COUNTIF(J$14:J$18,"=3")&gt;=2,TRUE))</formula>
    </cfRule>
    <cfRule type="expression" dxfId="1022" priority="244">
      <formula>AND(J14=1,IF(COUNTIF(J$14:J$18,"=1")&gt;=2,TRUE))</formula>
    </cfRule>
    <cfRule type="expression" dxfId="1021" priority="245">
      <formula>AND(J14=2,IF(COUNTIF(J$14:J$18,"=2")&gt;=2,TRUE))</formula>
    </cfRule>
  </conditionalFormatting>
  <conditionalFormatting sqref="K21:K25">
    <cfRule type="expression" dxfId="1020" priority="237">
      <formula>AND(J21=3,IF(COUNTIF(J$21:J$25,"=3")&gt;=2,TRUE))</formula>
    </cfRule>
    <cfRule type="expression" dxfId="1019" priority="242">
      <formula>AND(J21=1,IF(COUNTIF(J$21:J$25,"=1")&gt;=2,TRUE))</formula>
    </cfRule>
    <cfRule type="expression" dxfId="1018" priority="243">
      <formula>AND(J21=2,IF(COUNTIF(J$21:J$25,"=2")&gt;=2,TRUE))</formula>
    </cfRule>
  </conditionalFormatting>
  <conditionalFormatting sqref="K7:K11">
    <cfRule type="expression" dxfId="1017" priority="239">
      <formula>AND(J7=3,IF(COUNTIF(J$7:J$11,"=3")&gt;=2,TRUE))</formula>
    </cfRule>
    <cfRule type="expression" dxfId="1016" priority="240">
      <formula>AND(J7=1,IF(COUNTIF(J$7:J$11,"=1")&gt;=2,TRUE))</formula>
    </cfRule>
    <cfRule type="expression" dxfId="1015" priority="241">
      <formula>AND(J7=2,IF(COUNTIF(J$7:J$11,"=2")&gt;=2,TRUE))</formula>
    </cfRule>
  </conditionalFormatting>
  <conditionalFormatting sqref="H7:H11">
    <cfRule type="expression" dxfId="1014" priority="228">
      <formula>AND(J7=1,IF(COUNTIF(J$7:J$11,"=1")&gt;=2,TRUE))</formula>
    </cfRule>
    <cfRule type="expression" dxfId="1013" priority="235">
      <formula>AND(J7=3,IF(COUNTIF(J$7:J$11,"=3")&gt;=2,TRUE))</formula>
    </cfRule>
    <cfRule type="expression" dxfId="1012" priority="236">
      <formula>AND(J7=2,IF(COUNTIF(J$7:J$11,"=2")&gt;=2,TRUE))</formula>
    </cfRule>
  </conditionalFormatting>
  <conditionalFormatting sqref="H17:H18">
    <cfRule type="expression" dxfId="1011" priority="229">
      <formula>AND(J17=1,IF(COUNTIF(J$14:J$18,"=1")&gt;=2,TRUE))</formula>
    </cfRule>
    <cfRule type="expression" dxfId="1010" priority="233">
      <formula>AND(J17=3,IF(COUNTIF(J$14:J$18,"=3")&gt;=2,TRUE))</formula>
    </cfRule>
    <cfRule type="expression" dxfId="1009" priority="234">
      <formula>AND(J17=2,IF(COUNTIF(J$14:J$18,"=2")&gt;=2,TRUE))</formula>
    </cfRule>
  </conditionalFormatting>
  <conditionalFormatting sqref="H21:H25">
    <cfRule type="expression" dxfId="1008" priority="230">
      <formula>AND(J21=1,IF(COUNTIF(J$21:J$25,"=1")&gt;=2,TRUE))</formula>
    </cfRule>
    <cfRule type="expression" dxfId="1007" priority="231">
      <formula>AND(J21=3,IF(COUNTIF(J$21:J$25,"=3")&gt;=2,TRUE))</formula>
    </cfRule>
    <cfRule type="expression" dxfId="1006" priority="232">
      <formula>AND(J21=2,IF(COUNTIF(J$21:J$25,"=2")&gt;=2,TRUE))</formula>
    </cfRule>
  </conditionalFormatting>
  <conditionalFormatting sqref="C69 C73:C74">
    <cfRule type="aboveAverage" dxfId="1005" priority="227"/>
  </conditionalFormatting>
  <conditionalFormatting sqref="D69 D73:D74">
    <cfRule type="aboveAverage" dxfId="1004" priority="226"/>
  </conditionalFormatting>
  <conditionalFormatting sqref="K28:K32">
    <cfRule type="expression" dxfId="1003" priority="223">
      <formula>AND(J28=3,IF(COUNTIF(J$28:J$32,"=3")&gt;=2,TRUE))</formula>
    </cfRule>
    <cfRule type="expression" dxfId="1002" priority="224">
      <formula>AND(J28=1,IF(COUNTIF(J$28:J$32,"=1")&gt;=2,TRUE))</formula>
    </cfRule>
    <cfRule type="expression" dxfId="1001" priority="225">
      <formula>AND(J28=2,IF(COUNTIF(J$28:J$32,"=2")&gt;=2,TRUE))</formula>
    </cfRule>
  </conditionalFormatting>
  <conditionalFormatting sqref="H28:H32">
    <cfRule type="expression" dxfId="1000" priority="220">
      <formula>AND(J28=1,IF(COUNTIF(J$28:J$32,"=1")&gt;=2,TRUE))</formula>
    </cfRule>
    <cfRule type="expression" dxfId="999" priority="221">
      <formula>AND(J28=3,IF(COUNTIF(J$28:J$32,"=3")&gt;=2,TRUE))</formula>
    </cfRule>
    <cfRule type="expression" dxfId="998" priority="222">
      <formula>AND(J28=2,IF(COUNTIF(J$28:J$32,"=2")&gt;=2,TRUE))</formula>
    </cfRule>
  </conditionalFormatting>
  <conditionalFormatting sqref="D14 C15">
    <cfRule type="aboveAverage" dxfId="997" priority="219"/>
  </conditionalFormatting>
  <conditionalFormatting sqref="E14 C16">
    <cfRule type="aboveAverage" dxfId="996" priority="218"/>
  </conditionalFormatting>
  <conditionalFormatting sqref="F14 C17">
    <cfRule type="aboveAverage" dxfId="995" priority="217"/>
  </conditionalFormatting>
  <conditionalFormatting sqref="E15 D16">
    <cfRule type="aboveAverage" dxfId="994" priority="216"/>
  </conditionalFormatting>
  <conditionalFormatting sqref="G14 C18">
    <cfRule type="aboveAverage" dxfId="993" priority="215"/>
  </conditionalFormatting>
  <conditionalFormatting sqref="F15 D17">
    <cfRule type="aboveAverage" dxfId="992" priority="214"/>
  </conditionalFormatting>
  <conditionalFormatting sqref="G15 D18">
    <cfRule type="aboveAverage" dxfId="991" priority="213"/>
  </conditionalFormatting>
  <conditionalFormatting sqref="F16 E17">
    <cfRule type="aboveAverage" dxfId="990" priority="212"/>
  </conditionalFormatting>
  <conditionalFormatting sqref="G16 E18">
    <cfRule type="aboveAverage" dxfId="989" priority="211"/>
  </conditionalFormatting>
  <conditionalFormatting sqref="F18 G17">
    <cfRule type="aboveAverage" dxfId="988" priority="210"/>
  </conditionalFormatting>
  <conditionalFormatting sqref="D21 C22">
    <cfRule type="aboveAverage" dxfId="987" priority="209"/>
  </conditionalFormatting>
  <conditionalFormatting sqref="E21 C23">
    <cfRule type="aboveAverage" dxfId="986" priority="208"/>
  </conditionalFormatting>
  <conditionalFormatting sqref="F21 C24">
    <cfRule type="aboveAverage" dxfId="985" priority="207"/>
  </conditionalFormatting>
  <conditionalFormatting sqref="E22 D23">
    <cfRule type="aboveAverage" dxfId="984" priority="206"/>
  </conditionalFormatting>
  <conditionalFormatting sqref="G21 C25">
    <cfRule type="aboveAverage" dxfId="983" priority="205"/>
  </conditionalFormatting>
  <conditionalFormatting sqref="F22 D24">
    <cfRule type="aboveAverage" dxfId="982" priority="204"/>
  </conditionalFormatting>
  <conditionalFormatting sqref="G22 D25">
    <cfRule type="aboveAverage" dxfId="981" priority="203"/>
  </conditionalFormatting>
  <conditionalFormatting sqref="F23 E24">
    <cfRule type="aboveAverage" dxfId="980" priority="202"/>
  </conditionalFormatting>
  <conditionalFormatting sqref="G23 E25">
    <cfRule type="aboveAverage" dxfId="979" priority="201"/>
  </conditionalFormatting>
  <conditionalFormatting sqref="F25 G24">
    <cfRule type="aboveAverage" dxfId="978" priority="200"/>
  </conditionalFormatting>
  <conditionalFormatting sqref="D28 C29">
    <cfRule type="aboveAverage" dxfId="977" priority="199"/>
  </conditionalFormatting>
  <conditionalFormatting sqref="E28 C30">
    <cfRule type="aboveAverage" dxfId="976" priority="198"/>
  </conditionalFormatting>
  <conditionalFormatting sqref="F28 C31">
    <cfRule type="aboveAverage" dxfId="975" priority="197"/>
  </conditionalFormatting>
  <conditionalFormatting sqref="E29 D30">
    <cfRule type="aboveAverage" dxfId="974" priority="196"/>
  </conditionalFormatting>
  <conditionalFormatting sqref="G28 C32">
    <cfRule type="aboveAverage" dxfId="973" priority="195"/>
  </conditionalFormatting>
  <conditionalFormatting sqref="F29 D31">
    <cfRule type="aboveAverage" dxfId="972" priority="194"/>
  </conditionalFormatting>
  <conditionalFormatting sqref="G29 D32">
    <cfRule type="aboveAverage" dxfId="971" priority="193"/>
  </conditionalFormatting>
  <conditionalFormatting sqref="F30 E31">
    <cfRule type="aboveAverage" dxfId="970" priority="192"/>
  </conditionalFormatting>
  <conditionalFormatting sqref="G30 E32">
    <cfRule type="aboveAverage" dxfId="969" priority="191"/>
  </conditionalFormatting>
  <conditionalFormatting sqref="F32 G31">
    <cfRule type="aboveAverage" dxfId="968" priority="190"/>
  </conditionalFormatting>
  <conditionalFormatting sqref="D35 C36">
    <cfRule type="aboveAverage" dxfId="967" priority="188"/>
  </conditionalFormatting>
  <conditionalFormatting sqref="E35 C37">
    <cfRule type="aboveAverage" dxfId="966" priority="187"/>
  </conditionalFormatting>
  <conditionalFormatting sqref="F35 C38">
    <cfRule type="aboveAverage" dxfId="965" priority="186"/>
  </conditionalFormatting>
  <conditionalFormatting sqref="E36 D37">
    <cfRule type="aboveAverage" dxfId="964" priority="185"/>
  </conditionalFormatting>
  <conditionalFormatting sqref="G35 C39">
    <cfRule type="aboveAverage" dxfId="963" priority="184"/>
  </conditionalFormatting>
  <conditionalFormatting sqref="F36 D38">
    <cfRule type="aboveAverage" dxfId="962" priority="183"/>
  </conditionalFormatting>
  <conditionalFormatting sqref="G36 D39">
    <cfRule type="aboveAverage" dxfId="961" priority="182"/>
  </conditionalFormatting>
  <conditionalFormatting sqref="F37 E38">
    <cfRule type="aboveAverage" dxfId="960" priority="181"/>
  </conditionalFormatting>
  <conditionalFormatting sqref="G37 E39">
    <cfRule type="aboveAverage" dxfId="959" priority="180"/>
  </conditionalFormatting>
  <conditionalFormatting sqref="F39 G38">
    <cfRule type="aboveAverage" dxfId="958" priority="179"/>
  </conditionalFormatting>
  <conditionalFormatting sqref="K42:K46">
    <cfRule type="expression" dxfId="957" priority="171">
      <formula>AND(J42=3,IF(COUNTIF(J$14:J$18,"=3")&gt;=2,TRUE))</formula>
    </cfRule>
    <cfRule type="expression" dxfId="956" priority="177">
      <formula>AND(J42=1,IF(COUNTIF(J$14:J$18,"=1")&gt;=2,TRUE))</formula>
    </cfRule>
    <cfRule type="expression" dxfId="955" priority="178">
      <formula>AND(J42=2,IF(COUNTIF(J$14:J$18,"=2")&gt;=2,TRUE))</formula>
    </cfRule>
  </conditionalFormatting>
  <conditionalFormatting sqref="K49:K53">
    <cfRule type="expression" dxfId="954" priority="170">
      <formula>AND(J49=3,IF(COUNTIF(J$21:J$25,"=3")&gt;=2,TRUE))</formula>
    </cfRule>
    <cfRule type="expression" dxfId="953" priority="175">
      <formula>AND(J49=1,IF(COUNTIF(J$21:J$25,"=1")&gt;=2,TRUE))</formula>
    </cfRule>
    <cfRule type="expression" dxfId="952" priority="176">
      <formula>AND(J49=2,IF(COUNTIF(J$21:J$25,"=2")&gt;=2,TRUE))</formula>
    </cfRule>
  </conditionalFormatting>
  <conditionalFormatting sqref="K35:K39">
    <cfRule type="expression" dxfId="951" priority="172">
      <formula>AND(J35=3,IF(COUNTIF(J$7:J$11,"=3")&gt;=2,TRUE))</formula>
    </cfRule>
    <cfRule type="expression" dxfId="950" priority="173">
      <formula>AND(J35=1,IF(COUNTIF(J$7:J$11,"=1")&gt;=2,TRUE))</formula>
    </cfRule>
    <cfRule type="expression" dxfId="949" priority="174">
      <formula>AND(J35=2,IF(COUNTIF(J$7:J$11,"=2")&gt;=2,TRUE))</formula>
    </cfRule>
  </conditionalFormatting>
  <conditionalFormatting sqref="H35:H39">
    <cfRule type="expression" dxfId="948" priority="161">
      <formula>AND(J35=1,IF(COUNTIF(J$7:J$11,"=1")&gt;=2,TRUE))</formula>
    </cfRule>
    <cfRule type="expression" dxfId="947" priority="168">
      <formula>AND(J35=3,IF(COUNTIF(J$7:J$11,"=3")&gt;=2,TRUE))</formula>
    </cfRule>
    <cfRule type="expression" dxfId="946" priority="169">
      <formula>AND(J35=2,IF(COUNTIF(J$7:J$11,"=2")&gt;=2,TRUE))</formula>
    </cfRule>
  </conditionalFormatting>
  <conditionalFormatting sqref="H42:H46">
    <cfRule type="expression" dxfId="945" priority="162">
      <formula>AND(J42=1,IF(COUNTIF(J$14:J$18,"=1")&gt;=2,TRUE))</formula>
    </cfRule>
    <cfRule type="expression" dxfId="944" priority="166">
      <formula>AND(J42=3,IF(COUNTIF(J$14:J$18,"=3")&gt;=2,TRUE))</formula>
    </cfRule>
    <cfRule type="expression" dxfId="943" priority="167">
      <formula>AND(J42=2,IF(COUNTIF(J$14:J$18,"=2")&gt;=2,TRUE))</formula>
    </cfRule>
  </conditionalFormatting>
  <conditionalFormatting sqref="H49:H53">
    <cfRule type="expression" dxfId="942" priority="163">
      <formula>AND(J49=1,IF(COUNTIF(J$21:J$25,"=1")&gt;=2,TRUE))</formula>
    </cfRule>
    <cfRule type="expression" dxfId="941" priority="164">
      <formula>AND(J49=3,IF(COUNTIF(J$21:J$25,"=3")&gt;=2,TRUE))</formula>
    </cfRule>
    <cfRule type="expression" dxfId="940" priority="165">
      <formula>AND(J49=2,IF(COUNTIF(J$21:J$25,"=2")&gt;=2,TRUE))</formula>
    </cfRule>
  </conditionalFormatting>
  <conditionalFormatting sqref="K56:K60">
    <cfRule type="expression" dxfId="939" priority="158">
      <formula>AND(J56=3,IF(COUNTIF(J$28:J$32,"=3")&gt;=2,TRUE))</formula>
    </cfRule>
    <cfRule type="expression" dxfId="938" priority="159">
      <formula>AND(J56=1,IF(COUNTIF(J$28:J$32,"=1")&gt;=2,TRUE))</formula>
    </cfRule>
    <cfRule type="expression" dxfId="937" priority="160">
      <formula>AND(J56=2,IF(COUNTIF(J$28:J$32,"=2")&gt;=2,TRUE))</formula>
    </cfRule>
  </conditionalFormatting>
  <conditionalFormatting sqref="H56:H60">
    <cfRule type="expression" dxfId="936" priority="155">
      <formula>AND(J56=1,IF(COUNTIF(J$28:J$32,"=1")&gt;=2,TRUE))</formula>
    </cfRule>
    <cfRule type="expression" dxfId="935" priority="156">
      <formula>AND(J56=3,IF(COUNTIF(J$28:J$32,"=3")&gt;=2,TRUE))</formula>
    </cfRule>
    <cfRule type="expression" dxfId="934" priority="157">
      <formula>AND(J56=2,IF(COUNTIF(J$28:J$32,"=2")&gt;=2,TRUE))</formula>
    </cfRule>
  </conditionalFormatting>
  <conditionalFormatting sqref="B37">
    <cfRule type="duplicateValues" dxfId="933" priority="189"/>
  </conditionalFormatting>
  <conditionalFormatting sqref="D42 C43">
    <cfRule type="aboveAverage" dxfId="932" priority="153"/>
  </conditionalFormatting>
  <conditionalFormatting sqref="E42 C44">
    <cfRule type="aboveAverage" dxfId="931" priority="152"/>
  </conditionalFormatting>
  <conditionalFormatting sqref="F42 C45">
    <cfRule type="aboveAverage" dxfId="930" priority="151"/>
  </conditionalFormatting>
  <conditionalFormatting sqref="E43 D44">
    <cfRule type="aboveAverage" dxfId="929" priority="150"/>
  </conditionalFormatting>
  <conditionalFormatting sqref="G42 C46">
    <cfRule type="aboveAverage" dxfId="928" priority="149"/>
  </conditionalFormatting>
  <conditionalFormatting sqref="F43 D45">
    <cfRule type="aboveAverage" dxfId="927" priority="148"/>
  </conditionalFormatting>
  <conditionalFormatting sqref="G43 D46">
    <cfRule type="aboveAverage" dxfId="926" priority="147"/>
  </conditionalFormatting>
  <conditionalFormatting sqref="F44 E45">
    <cfRule type="aboveAverage" dxfId="925" priority="146"/>
  </conditionalFormatting>
  <conditionalFormatting sqref="G44 E46">
    <cfRule type="aboveAverage" dxfId="924" priority="145"/>
  </conditionalFormatting>
  <conditionalFormatting sqref="F46 G45">
    <cfRule type="aboveAverage" dxfId="923" priority="144"/>
  </conditionalFormatting>
  <conditionalFormatting sqref="B44">
    <cfRule type="duplicateValues" dxfId="922" priority="154"/>
  </conditionalFormatting>
  <conditionalFormatting sqref="D49 C50">
    <cfRule type="aboveAverage" dxfId="921" priority="142"/>
  </conditionalFormatting>
  <conditionalFormatting sqref="E49 C51">
    <cfRule type="aboveAverage" dxfId="920" priority="141"/>
  </conditionalFormatting>
  <conditionalFormatting sqref="F49 C52">
    <cfRule type="aboveAverage" dxfId="919" priority="140"/>
  </conditionalFormatting>
  <conditionalFormatting sqref="E50 D51">
    <cfRule type="aboveAverage" dxfId="918" priority="139"/>
  </conditionalFormatting>
  <conditionalFormatting sqref="G49 C53">
    <cfRule type="aboveAverage" dxfId="917" priority="138"/>
  </conditionalFormatting>
  <conditionalFormatting sqref="F50 D52">
    <cfRule type="aboveAverage" dxfId="916" priority="137"/>
  </conditionalFormatting>
  <conditionalFormatting sqref="G50 D53">
    <cfRule type="aboveAverage" dxfId="915" priority="136"/>
  </conditionalFormatting>
  <conditionalFormatting sqref="F51 E52">
    <cfRule type="aboveAverage" dxfId="914" priority="135"/>
  </conditionalFormatting>
  <conditionalFormatting sqref="G51 E53">
    <cfRule type="aboveAverage" dxfId="913" priority="134"/>
  </conditionalFormatting>
  <conditionalFormatting sqref="F53 G52">
    <cfRule type="aboveAverage" dxfId="912" priority="133"/>
  </conditionalFormatting>
  <conditionalFormatting sqref="B51">
    <cfRule type="duplicateValues" dxfId="911" priority="143"/>
  </conditionalFormatting>
  <conditionalFormatting sqref="D56 C57">
    <cfRule type="aboveAverage" dxfId="910" priority="131"/>
  </conditionalFormatting>
  <conditionalFormatting sqref="E56 C58">
    <cfRule type="aboveAverage" dxfId="909" priority="130"/>
  </conditionalFormatting>
  <conditionalFormatting sqref="F56 C59">
    <cfRule type="aboveAverage" dxfId="908" priority="129"/>
  </conditionalFormatting>
  <conditionalFormatting sqref="E57 D58">
    <cfRule type="aboveAverage" dxfId="907" priority="128"/>
  </conditionalFormatting>
  <conditionalFormatting sqref="G56 C60">
    <cfRule type="aboveAverage" dxfId="906" priority="127"/>
  </conditionalFormatting>
  <conditionalFormatting sqref="F57 D59">
    <cfRule type="aboveAverage" dxfId="905" priority="126"/>
  </conditionalFormatting>
  <conditionalFormatting sqref="G57 D60">
    <cfRule type="aboveAverage" dxfId="904" priority="125"/>
  </conditionalFormatting>
  <conditionalFormatting sqref="F58 E59">
    <cfRule type="aboveAverage" dxfId="903" priority="124"/>
  </conditionalFormatting>
  <conditionalFormatting sqref="G58 E60">
    <cfRule type="aboveAverage" dxfId="902" priority="123"/>
  </conditionalFormatting>
  <conditionalFormatting sqref="F60 G59">
    <cfRule type="aboveAverage" dxfId="901" priority="122"/>
  </conditionalFormatting>
  <conditionalFormatting sqref="B58">
    <cfRule type="duplicateValues" dxfId="900" priority="132"/>
  </conditionalFormatting>
  <conditionalFormatting sqref="I10:I11">
    <cfRule type="expression" dxfId="899" priority="120">
      <formula>FIND(2,I10,1)</formula>
    </cfRule>
    <cfRule type="expression" dxfId="898" priority="121">
      <formula>FIND(1,I10,1)</formula>
    </cfRule>
  </conditionalFormatting>
  <conditionalFormatting sqref="I7:I9">
    <cfRule type="expression" dxfId="897" priority="118">
      <formula>FIND(2,I7,1)</formula>
    </cfRule>
    <cfRule type="expression" dxfId="896" priority="119">
      <formula>FIND(1,I7,1)</formula>
    </cfRule>
  </conditionalFormatting>
  <conditionalFormatting sqref="I28:I32">
    <cfRule type="expression" dxfId="895" priority="114">
      <formula>FIND(2,I28,1)</formula>
    </cfRule>
    <cfRule type="expression" dxfId="894" priority="115">
      <formula>FIND(1,I28,1)</formula>
    </cfRule>
  </conditionalFormatting>
  <conditionalFormatting sqref="I21:I25">
    <cfRule type="expression" dxfId="893" priority="116">
      <formula>FIND(2,I21,1)</formula>
    </cfRule>
    <cfRule type="expression" dxfId="892" priority="117">
      <formula>FIND(1,I21,1)</formula>
    </cfRule>
  </conditionalFormatting>
  <conditionalFormatting sqref="I38:I39">
    <cfRule type="expression" dxfId="891" priority="112">
      <formula>FIND(2,I38,1)</formula>
    </cfRule>
    <cfRule type="expression" dxfId="890" priority="113">
      <formula>FIND(1,I38,1)</formula>
    </cfRule>
  </conditionalFormatting>
  <conditionalFormatting sqref="I35:I37">
    <cfRule type="expression" dxfId="889" priority="110">
      <formula>FIND(2,I35,1)</formula>
    </cfRule>
    <cfRule type="expression" dxfId="888" priority="111">
      <formula>FIND(1,I35,1)</formula>
    </cfRule>
  </conditionalFormatting>
  <conditionalFormatting sqref="I42:I46">
    <cfRule type="expression" dxfId="887" priority="108">
      <formula>FIND(2,I42,1)</formula>
    </cfRule>
    <cfRule type="expression" dxfId="886" priority="109">
      <formula>FIND(1,I42,1)</formula>
    </cfRule>
  </conditionalFormatting>
  <conditionalFormatting sqref="I49:I53">
    <cfRule type="expression" dxfId="885" priority="106">
      <formula>FIND(2,I49,1)</formula>
    </cfRule>
    <cfRule type="expression" dxfId="884" priority="107">
      <formula>FIND(1,I49,1)</formula>
    </cfRule>
  </conditionalFormatting>
  <conditionalFormatting sqref="L15:L18">
    <cfRule type="expression" dxfId="883" priority="98">
      <formula>OR(J15=0,J15=4)</formula>
    </cfRule>
    <cfRule type="expression" dxfId="882" priority="102">
      <formula>AND(J15=1,IF(COUNTIF(J$14:J$18,"=1")=1,TRUE))</formula>
    </cfRule>
    <cfRule type="expression" dxfId="881" priority="103">
      <formula>AND(J15=3,IF(COUNTIF(J$14:J$18,"=3")=1,TRUE))</formula>
    </cfRule>
  </conditionalFormatting>
  <conditionalFormatting sqref="L21:L25">
    <cfRule type="expression" dxfId="880" priority="99">
      <formula>OR(J21=0,J21=4)</formula>
    </cfRule>
    <cfRule type="expression" dxfId="879" priority="100">
      <formula>AND(J21=1,IF(COUNTIF(J$21:J$25,"=1")=1,TRUE))</formula>
    </cfRule>
    <cfRule type="expression" dxfId="878" priority="101">
      <formula>AND(J21=3,IF(COUNTIF(J$21:J$25,"=3")=1,TRUE))</formula>
    </cfRule>
  </conditionalFormatting>
  <conditionalFormatting sqref="L7:L11">
    <cfRule type="expression" dxfId="877" priority="95">
      <formula>OR(J7=0,J7=4)</formula>
    </cfRule>
    <cfRule type="expression" dxfId="876" priority="96">
      <formula>AND(J7=1,IF(COUNTIF(J$7:J$11,"=1")=1,TRUE))</formula>
    </cfRule>
    <cfRule type="expression" dxfId="875" priority="97">
      <formula>AND(J7=3,IF(COUNTIF(J$7:J$11,"=3")=1,TRUE))</formula>
    </cfRule>
  </conditionalFormatting>
  <conditionalFormatting sqref="L28:L32">
    <cfRule type="expression" dxfId="874" priority="92">
      <formula>OR(J28=0,J28=4)</formula>
    </cfRule>
    <cfRule type="expression" dxfId="873" priority="93">
      <formula>AND(J28=1,IF(COUNTIF(J$28:J$32,"=1")=1,TRUE))</formula>
    </cfRule>
    <cfRule type="expression" dxfId="872" priority="94">
      <formula>AND(J28=3,IF(COUNTIF(J$28:J$32,"=3")=1,TRUE))</formula>
    </cfRule>
  </conditionalFormatting>
  <conditionalFormatting sqref="L43:L46">
    <cfRule type="expression" dxfId="871" priority="86">
      <formula>OR(J43=0,J43=4)</formula>
    </cfRule>
    <cfRule type="expression" dxfId="870" priority="90">
      <formula>AND(J43=1,IF(COUNTIF(J$14:J$18,"=1")=1,TRUE))</formula>
    </cfRule>
    <cfRule type="expression" dxfId="869" priority="91">
      <formula>AND(J43=3,IF(COUNTIF(J$14:J$18,"=3")=1,TRUE))</formula>
    </cfRule>
  </conditionalFormatting>
  <conditionalFormatting sqref="L49:L53">
    <cfRule type="expression" dxfId="868" priority="87">
      <formula>OR(J49=0,J49=4)</formula>
    </cfRule>
    <cfRule type="expression" dxfId="867" priority="88">
      <formula>AND(J49=1,IF(COUNTIF(J$21:J$25,"=1")=1,TRUE))</formula>
    </cfRule>
    <cfRule type="expression" dxfId="866" priority="89">
      <formula>AND(J49=3,IF(COUNTIF(J$21:J$25,"=3")=1,TRUE))</formula>
    </cfRule>
  </conditionalFormatting>
  <conditionalFormatting sqref="L35:L39">
    <cfRule type="expression" dxfId="865" priority="83">
      <formula>OR(J35=0,J35=4)</formula>
    </cfRule>
    <cfRule type="expression" dxfId="864" priority="84">
      <formula>AND(J35=1,IF(COUNTIF(J$7:J$11,"=1")=1,TRUE))</formula>
    </cfRule>
    <cfRule type="expression" dxfId="863" priority="85">
      <formula>AND(J35=3,IF(COUNTIF(J$7:J$11,"=3")=1,TRUE))</formula>
    </cfRule>
  </conditionalFormatting>
  <conditionalFormatting sqref="L56:L60">
    <cfRule type="expression" dxfId="862" priority="80">
      <formula>OR(J56=0,J56=4)</formula>
    </cfRule>
    <cfRule type="expression" dxfId="861" priority="81">
      <formula>AND(J56=1,IF(COUNTIF(J$28:J$32,"=1")=1,TRUE))</formula>
    </cfRule>
    <cfRule type="expression" dxfId="860" priority="82">
      <formula>AND(J56=3,IF(COUNTIF(J$28:J$32,"=3")=1,TRUE))</formula>
    </cfRule>
  </conditionalFormatting>
  <conditionalFormatting sqref="L42">
    <cfRule type="expression" dxfId="859" priority="77">
      <formula>OR(J42=0,J42=4)</formula>
    </cfRule>
    <cfRule type="expression" dxfId="858" priority="78">
      <formula>AND(J42=1,IF(COUNTIF(J$7:J$11,"=1")=1,TRUE))</formula>
    </cfRule>
    <cfRule type="expression" dxfId="857" priority="79">
      <formula>AND(J42=3,IF(COUNTIF(J$7:J$11,"=3")=1,TRUE))</formula>
    </cfRule>
  </conditionalFormatting>
  <conditionalFormatting sqref="E123 E125">
    <cfRule type="aboveAverage" dxfId="856" priority="76"/>
  </conditionalFormatting>
  <conditionalFormatting sqref="E127 E129">
    <cfRule type="aboveAverage" dxfId="855" priority="75"/>
  </conditionalFormatting>
  <conditionalFormatting sqref="G124 G128">
    <cfRule type="aboveAverage" dxfId="854" priority="74"/>
  </conditionalFormatting>
  <conditionalFormatting sqref="G131 G133">
    <cfRule type="aboveAverage" dxfId="853" priority="73"/>
  </conditionalFormatting>
  <conditionalFormatting sqref="E123 E125 E127 E129 G124 G128 G131 G133">
    <cfRule type="containsBlanks" dxfId="852" priority="72">
      <formula>LEN(TRIM(E123))=0</formula>
    </cfRule>
  </conditionalFormatting>
  <conditionalFormatting sqref="C102 C104">
    <cfRule type="aboveAverage" dxfId="851" priority="71"/>
  </conditionalFormatting>
  <conditionalFormatting sqref="E103 E107">
    <cfRule type="aboveAverage" dxfId="850" priority="70"/>
  </conditionalFormatting>
  <conditionalFormatting sqref="C110 C112">
    <cfRule type="aboveAverage" dxfId="849" priority="69"/>
  </conditionalFormatting>
  <conditionalFormatting sqref="G105 G113">
    <cfRule type="aboveAverage" dxfId="848" priority="68"/>
  </conditionalFormatting>
  <conditionalFormatting sqref="C102 C104 C110 C112 E103 G105 E107 G113">
    <cfRule type="containsBlanks" dxfId="847" priority="67">
      <formula>LEN(TRIM(C102))=0</formula>
    </cfRule>
  </conditionalFormatting>
  <conditionalFormatting sqref="C106 C108">
    <cfRule type="aboveAverage" dxfId="846" priority="66"/>
  </conditionalFormatting>
  <conditionalFormatting sqref="C106 C108">
    <cfRule type="containsBlanks" dxfId="845" priority="65">
      <formula>LEN(TRIM(C106))=0</formula>
    </cfRule>
  </conditionalFormatting>
  <conditionalFormatting sqref="C114 C116">
    <cfRule type="aboveAverage" dxfId="844" priority="64"/>
  </conditionalFormatting>
  <conditionalFormatting sqref="C114 C116">
    <cfRule type="containsBlanks" dxfId="843" priority="63">
      <formula>LEN(TRIM(C114))=0</formula>
    </cfRule>
  </conditionalFormatting>
  <conditionalFormatting sqref="E103">
    <cfRule type="aboveAverage" dxfId="842" priority="62"/>
  </conditionalFormatting>
  <conditionalFormatting sqref="E107">
    <cfRule type="aboveAverage" dxfId="841" priority="61"/>
  </conditionalFormatting>
  <conditionalFormatting sqref="G105">
    <cfRule type="aboveAverage" dxfId="840" priority="60"/>
  </conditionalFormatting>
  <conditionalFormatting sqref="G105">
    <cfRule type="aboveAverage" dxfId="839" priority="59"/>
  </conditionalFormatting>
  <conditionalFormatting sqref="G113">
    <cfRule type="aboveAverage" dxfId="838" priority="58"/>
  </conditionalFormatting>
  <conditionalFormatting sqref="G113">
    <cfRule type="aboveAverage" dxfId="837" priority="57"/>
  </conditionalFormatting>
  <conditionalFormatting sqref="G117 G119">
    <cfRule type="aboveAverage" dxfId="836" priority="56"/>
  </conditionalFormatting>
  <conditionalFormatting sqref="G117 G119">
    <cfRule type="containsBlanks" dxfId="835" priority="55">
      <formula>LEN(TRIM(G117))=0</formula>
    </cfRule>
  </conditionalFormatting>
  <conditionalFormatting sqref="E107">
    <cfRule type="aboveAverage" dxfId="834" priority="54"/>
  </conditionalFormatting>
  <conditionalFormatting sqref="E111 E115">
    <cfRule type="aboveAverage" dxfId="833" priority="53"/>
  </conditionalFormatting>
  <conditionalFormatting sqref="E111 E115">
    <cfRule type="containsBlanks" dxfId="832" priority="52">
      <formula>LEN(TRIM(E111))=0</formula>
    </cfRule>
  </conditionalFormatting>
  <conditionalFormatting sqref="E111">
    <cfRule type="aboveAverage" dxfId="831" priority="51"/>
  </conditionalFormatting>
  <conditionalFormatting sqref="E115">
    <cfRule type="aboveAverage" dxfId="830" priority="50"/>
  </conditionalFormatting>
  <conditionalFormatting sqref="E115">
    <cfRule type="aboveAverage" dxfId="829" priority="49"/>
  </conditionalFormatting>
  <conditionalFormatting sqref="G113">
    <cfRule type="aboveAverage" dxfId="828" priority="48"/>
  </conditionalFormatting>
  <conditionalFormatting sqref="G113">
    <cfRule type="aboveAverage" dxfId="827" priority="47"/>
  </conditionalFormatting>
  <conditionalFormatting sqref="E161 E163">
    <cfRule type="aboveAverage" dxfId="826" priority="46"/>
  </conditionalFormatting>
  <conditionalFormatting sqref="E165 E167">
    <cfRule type="aboveAverage" dxfId="825" priority="45"/>
  </conditionalFormatting>
  <conditionalFormatting sqref="G162 G166">
    <cfRule type="aboveAverage" dxfId="824" priority="44"/>
  </conditionalFormatting>
  <conditionalFormatting sqref="G169 G171">
    <cfRule type="aboveAverage" dxfId="823" priority="43"/>
  </conditionalFormatting>
  <conditionalFormatting sqref="E161 E163 E165 E167 G162 G166 G169 G171">
    <cfRule type="containsBlanks" dxfId="822" priority="42">
      <formula>LEN(TRIM(E161))=0</formula>
    </cfRule>
  </conditionalFormatting>
  <conditionalFormatting sqref="C140">
    <cfRule type="aboveAverage" dxfId="821" priority="41"/>
  </conditionalFormatting>
  <conditionalFormatting sqref="E141 E145">
    <cfRule type="aboveAverage" dxfId="820" priority="40"/>
  </conditionalFormatting>
  <conditionalFormatting sqref="C148 C150">
    <cfRule type="aboveAverage" dxfId="819" priority="39"/>
  </conditionalFormatting>
  <conditionalFormatting sqref="G143 G151">
    <cfRule type="aboveAverage" dxfId="818" priority="38"/>
  </conditionalFormatting>
  <conditionalFormatting sqref="C140 C148 C150 E141 G143 E145 G151">
    <cfRule type="containsBlanks" dxfId="817" priority="37">
      <formula>LEN(TRIM(C140))=0</formula>
    </cfRule>
  </conditionalFormatting>
  <conditionalFormatting sqref="C144 C146">
    <cfRule type="aboveAverage" dxfId="816" priority="36"/>
  </conditionalFormatting>
  <conditionalFormatting sqref="C144 C146">
    <cfRule type="containsBlanks" dxfId="815" priority="35">
      <formula>LEN(TRIM(C144))=0</formula>
    </cfRule>
  </conditionalFormatting>
  <conditionalFormatting sqref="C152 C154">
    <cfRule type="aboveAverage" dxfId="814" priority="34"/>
  </conditionalFormatting>
  <conditionalFormatting sqref="C152 C154">
    <cfRule type="containsBlanks" dxfId="813" priority="33">
      <formula>LEN(TRIM(C152))=0</formula>
    </cfRule>
  </conditionalFormatting>
  <conditionalFormatting sqref="E141">
    <cfRule type="aboveAverage" dxfId="812" priority="32"/>
  </conditionalFormatting>
  <conditionalFormatting sqref="E145">
    <cfRule type="aboveAverage" dxfId="811" priority="31"/>
  </conditionalFormatting>
  <conditionalFormatting sqref="G143">
    <cfRule type="aboveAverage" dxfId="810" priority="30"/>
  </conditionalFormatting>
  <conditionalFormatting sqref="G143">
    <cfRule type="aboveAverage" dxfId="809" priority="29"/>
  </conditionalFormatting>
  <conditionalFormatting sqref="G151">
    <cfRule type="aboveAverage" dxfId="808" priority="28"/>
  </conditionalFormatting>
  <conditionalFormatting sqref="G151">
    <cfRule type="aboveAverage" dxfId="807" priority="27"/>
  </conditionalFormatting>
  <conditionalFormatting sqref="G155 G157">
    <cfRule type="aboveAverage" dxfId="806" priority="26"/>
  </conditionalFormatting>
  <conditionalFormatting sqref="G155 G157">
    <cfRule type="containsBlanks" dxfId="805" priority="25">
      <formula>LEN(TRIM(G155))=0</formula>
    </cfRule>
  </conditionalFormatting>
  <conditionalFormatting sqref="E145">
    <cfRule type="aboveAverage" dxfId="804" priority="24"/>
  </conditionalFormatting>
  <conditionalFormatting sqref="E149 E153">
    <cfRule type="aboveAverage" dxfId="803" priority="23"/>
  </conditionalFormatting>
  <conditionalFormatting sqref="E149 E153">
    <cfRule type="containsBlanks" dxfId="802" priority="22">
      <formula>LEN(TRIM(E149))=0</formula>
    </cfRule>
  </conditionalFormatting>
  <conditionalFormatting sqref="E149">
    <cfRule type="aboveAverage" dxfId="801" priority="21"/>
  </conditionalFormatting>
  <conditionalFormatting sqref="E153">
    <cfRule type="aboveAverage" dxfId="800" priority="20"/>
  </conditionalFormatting>
  <conditionalFormatting sqref="E153">
    <cfRule type="aboveAverage" dxfId="799" priority="19"/>
  </conditionalFormatting>
  <conditionalFormatting sqref="G151">
    <cfRule type="aboveAverage" dxfId="798" priority="18"/>
  </conditionalFormatting>
  <conditionalFormatting sqref="G151">
    <cfRule type="aboveAverage" dxfId="797" priority="17"/>
  </conditionalFormatting>
  <conditionalFormatting sqref="B301:B317">
    <cfRule type="containsBlanks" dxfId="796" priority="263">
      <formula>LEN(TRIM(B301))=0</formula>
    </cfRule>
    <cfRule type="duplicateValues" dxfId="795" priority="264"/>
  </conditionalFormatting>
  <conditionalFormatting sqref="B300:B317">
    <cfRule type="expression" dxfId="794" priority="12">
      <formula>A300=3</formula>
    </cfRule>
    <cfRule type="expression" dxfId="793" priority="13">
      <formula>A300=2</formula>
    </cfRule>
    <cfRule type="expression" dxfId="792" priority="14">
      <formula>A300=1</formula>
    </cfRule>
    <cfRule type="containsBlanks" dxfId="791" priority="15">
      <formula>LEN(TRIM(B300))=0</formula>
    </cfRule>
    <cfRule type="duplicateValues" dxfId="790" priority="16"/>
  </conditionalFormatting>
  <conditionalFormatting sqref="L14">
    <cfRule type="expression" dxfId="789" priority="10">
      <formula>OR(J14=0,J14=4)</formula>
    </cfRule>
    <cfRule type="expression" dxfId="788" priority="11">
      <formula>AND(J14=3,IF(COUNTIF(J$7:J$11,"=3")=1,TRUE))</formula>
    </cfRule>
  </conditionalFormatting>
  <conditionalFormatting sqref="H14:H16">
    <cfRule type="expression" dxfId="787" priority="7">
      <formula>AND(J14=1,IF(COUNTIF(J$7:J$11,"=1")&gt;=2,TRUE))</formula>
    </cfRule>
    <cfRule type="expression" dxfId="786" priority="8">
      <formula>AND(J14=3,IF(COUNTIF(J$7:J$11,"=3")&gt;=2,TRUE))</formula>
    </cfRule>
    <cfRule type="expression" dxfId="785" priority="9">
      <formula>AND(J14=2,IF(COUNTIF(J$7:J$11,"=2")&gt;=2,TRUE))</formula>
    </cfRule>
  </conditionalFormatting>
  <conditionalFormatting sqref="I17:I18">
    <cfRule type="expression" dxfId="784" priority="5">
      <formula>FIND(2,I17,1)</formula>
    </cfRule>
    <cfRule type="expression" dxfId="783" priority="6">
      <formula>FIND(1,I17,1)</formula>
    </cfRule>
  </conditionalFormatting>
  <conditionalFormatting sqref="I14:I16">
    <cfRule type="expression" dxfId="782" priority="3">
      <formula>FIND(2,I14,1)</formula>
    </cfRule>
    <cfRule type="expression" dxfId="781" priority="4">
      <formula>FIND(1,I14,1)</formula>
    </cfRule>
  </conditionalFormatting>
  <conditionalFormatting sqref="C142">
    <cfRule type="aboveAverage" dxfId="780" priority="2"/>
  </conditionalFormatting>
  <conditionalFormatting sqref="C142">
    <cfRule type="containsBlanks" dxfId="779" priority="1">
      <formula>LEN(TRIM(C142))=0</formula>
    </cfRule>
  </conditionalFormatting>
  <conditionalFormatting sqref="T7:T60 X7:X60 Z7:Z60">
    <cfRule type="expression" dxfId="778" priority="300">
      <formula>AND(S7="",COUNTIF(T7,"*,*")=0)</formula>
    </cfRule>
  </conditionalFormatting>
  <conditionalFormatting sqref="V7:V60">
    <cfRule type="expression" dxfId="777" priority="301">
      <formula>AND(U7="",FIND(",",V7))</formula>
    </cfRule>
    <cfRule type="expression" dxfId="776" priority="302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3" manualBreakCount="3">
    <brk id="98" max="16383" man="1"/>
    <brk id="136" max="16383" man="1"/>
    <brk id="298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K64"/>
  <sheetViews>
    <sheetView showGridLines="0" showRowColHeaders="0" workbookViewId="0">
      <pane ySplit="4" topLeftCell="A5" activePane="bottomLeft" state="frozen"/>
      <selection pane="bottomLeft" sqref="A1:A4"/>
    </sheetView>
  </sheetViews>
  <sheetFormatPr defaultRowHeight="12.75" x14ac:dyDescent="0.2"/>
  <cols>
    <col min="1" max="1" width="2.28515625" style="1" customWidth="1"/>
    <col min="2" max="2" width="29.42578125" style="1" customWidth="1"/>
    <col min="3" max="3" width="7.28515625" style="1" customWidth="1"/>
    <col min="4" max="4" width="2.85546875" style="1" customWidth="1"/>
    <col min="5" max="5" width="3.85546875" style="1" customWidth="1"/>
    <col min="6" max="6" width="1.140625" style="1" customWidth="1"/>
    <col min="7" max="7" width="3.85546875" style="1" customWidth="1"/>
    <col min="8" max="8" width="2.85546875" style="1" customWidth="1"/>
    <col min="9" max="9" width="7.42578125" style="1" customWidth="1"/>
    <col min="10" max="10" width="37.42578125" style="1" customWidth="1"/>
    <col min="11" max="16384" width="9.140625" style="1"/>
  </cols>
  <sheetData>
    <row r="1" spans="1:11" x14ac:dyDescent="0.2">
      <c r="A1" s="753" t="str">
        <f>UPPER((Kalend!E50)&amp;" - "&amp;(Kalend!C50)&amp;" - "&amp;(Kalend!D50))</f>
        <v>SHK-VIRU - K-JÄRVE SHK - VIRU SK - 5D, 1SD</v>
      </c>
      <c r="B1" s="984"/>
      <c r="C1" s="984"/>
      <c r="D1" s="984"/>
      <c r="E1" s="984"/>
      <c r="F1" s="984"/>
      <c r="G1" s="984"/>
      <c r="H1" s="984"/>
      <c r="I1" s="984"/>
      <c r="J1" s="984"/>
      <c r="K1" s="984"/>
    </row>
    <row r="2" spans="1:11" x14ac:dyDescent="0.2">
      <c r="A2" s="757" t="str">
        <f>"Toimumisaeg: "&amp;(Kalend!A50)&amp;" kell "&amp;(Kalend!B50)</f>
        <v>Toimumisaeg: P, 31.03.2019 kell 10:00</v>
      </c>
      <c r="B2" s="984"/>
      <c r="C2" s="984"/>
      <c r="D2" s="984"/>
      <c r="E2" s="984"/>
      <c r="F2" s="984"/>
      <c r="G2" s="984"/>
      <c r="H2" s="984"/>
      <c r="I2" s="984"/>
      <c r="J2" s="984"/>
      <c r="K2" s="984"/>
    </row>
    <row r="3" spans="1:11" x14ac:dyDescent="0.2">
      <c r="A3" s="757" t="str">
        <f>"Toimumiskoht: "&amp;(Kalend!F50)</f>
        <v>Toimumiskoht: Voka petangihall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</row>
    <row r="4" spans="1:11" x14ac:dyDescent="0.2">
      <c r="A4" s="757" t="str">
        <f>"Korraldaja: "&amp;(Kalend!G50)</f>
        <v>Korraldaja: SHK, Viru SK</v>
      </c>
      <c r="B4" s="984"/>
      <c r="C4" s="984"/>
      <c r="D4" s="984"/>
      <c r="E4" s="984"/>
      <c r="F4" s="984"/>
      <c r="G4" s="984"/>
      <c r="H4" s="984"/>
      <c r="I4" s="984"/>
      <c r="J4" s="984"/>
      <c r="K4" s="984"/>
    </row>
    <row r="5" spans="1:11" x14ac:dyDescent="0.2">
      <c r="A5" s="984"/>
      <c r="B5" s="984"/>
      <c r="C5" s="985"/>
      <c r="D5" s="985"/>
      <c r="E5" s="985"/>
      <c r="F5" s="985"/>
      <c r="G5" s="985"/>
      <c r="H5" s="985"/>
      <c r="I5" s="985"/>
      <c r="J5" s="985"/>
      <c r="K5" s="984"/>
    </row>
    <row r="6" spans="1:11" x14ac:dyDescent="0.2">
      <c r="A6" s="986" t="s">
        <v>21</v>
      </c>
      <c r="B6" s="987" t="s">
        <v>373</v>
      </c>
      <c r="C6" s="988" t="s">
        <v>562</v>
      </c>
      <c r="D6" s="988" t="s">
        <v>15</v>
      </c>
      <c r="E6" s="989"/>
      <c r="F6" s="990" t="s">
        <v>563</v>
      </c>
      <c r="G6" s="991"/>
      <c r="H6" s="988" t="s">
        <v>15</v>
      </c>
      <c r="I6" s="992" t="s">
        <v>251</v>
      </c>
      <c r="J6" s="988"/>
      <c r="K6" s="984"/>
    </row>
    <row r="7" spans="1:11" x14ac:dyDescent="0.2">
      <c r="A7" s="993">
        <v>1</v>
      </c>
      <c r="B7" s="994" t="s">
        <v>368</v>
      </c>
      <c r="C7" s="995" t="s">
        <v>564</v>
      </c>
      <c r="D7" s="996">
        <f>IF(E7&gt;G7,1,0)</f>
        <v>1</v>
      </c>
      <c r="E7" s="997">
        <v>13</v>
      </c>
      <c r="F7" s="998" t="s">
        <v>450</v>
      </c>
      <c r="G7" s="999">
        <v>10</v>
      </c>
      <c r="H7" s="1000">
        <f>IF(G7&gt;E7,1,0)</f>
        <v>0</v>
      </c>
      <c r="I7" s="995" t="s">
        <v>565</v>
      </c>
      <c r="J7" s="1001" t="s">
        <v>454</v>
      </c>
      <c r="K7" s="984"/>
    </row>
    <row r="8" spans="1:11" x14ac:dyDescent="0.2">
      <c r="A8" s="993">
        <v>2</v>
      </c>
      <c r="B8" s="1002" t="s">
        <v>566</v>
      </c>
      <c r="C8" s="995" t="s">
        <v>567</v>
      </c>
      <c r="D8" s="996">
        <f t="shared" ref="D8:D12" si="0">IF(E8&gt;G8,1,0)</f>
        <v>0</v>
      </c>
      <c r="E8" s="997">
        <v>4</v>
      </c>
      <c r="F8" s="998" t="s">
        <v>450</v>
      </c>
      <c r="G8" s="999">
        <v>13</v>
      </c>
      <c r="H8" s="1000">
        <f t="shared" ref="H8:H12" si="1">IF(G8&gt;E8,1,0)</f>
        <v>1</v>
      </c>
      <c r="I8" s="995" t="s">
        <v>564</v>
      </c>
      <c r="J8" s="1001" t="s">
        <v>370</v>
      </c>
      <c r="K8" s="984"/>
    </row>
    <row r="9" spans="1:11" x14ac:dyDescent="0.2">
      <c r="A9" s="993">
        <v>3</v>
      </c>
      <c r="B9" s="1002" t="s">
        <v>466</v>
      </c>
      <c r="C9" s="995" t="s">
        <v>568</v>
      </c>
      <c r="D9" s="996">
        <f t="shared" si="0"/>
        <v>1</v>
      </c>
      <c r="E9" s="997">
        <v>13</v>
      </c>
      <c r="F9" s="998" t="s">
        <v>450</v>
      </c>
      <c r="G9" s="999">
        <v>10</v>
      </c>
      <c r="H9" s="1000">
        <f t="shared" si="1"/>
        <v>0</v>
      </c>
      <c r="I9" s="995" t="s">
        <v>567</v>
      </c>
      <c r="J9" s="1003" t="s">
        <v>569</v>
      </c>
      <c r="K9" s="984"/>
    </row>
    <row r="10" spans="1:11" x14ac:dyDescent="0.2">
      <c r="A10" s="1004">
        <v>4</v>
      </c>
      <c r="B10" s="994" t="s">
        <v>460</v>
      </c>
      <c r="C10" s="995" t="s">
        <v>570</v>
      </c>
      <c r="D10" s="996">
        <f t="shared" si="0"/>
        <v>0</v>
      </c>
      <c r="E10" s="997">
        <v>6</v>
      </c>
      <c r="F10" s="998" t="s">
        <v>450</v>
      </c>
      <c r="G10" s="999">
        <v>13</v>
      </c>
      <c r="H10" s="1000">
        <f t="shared" si="1"/>
        <v>1</v>
      </c>
      <c r="I10" s="995" t="s">
        <v>568</v>
      </c>
      <c r="J10" s="1001" t="s">
        <v>571</v>
      </c>
      <c r="K10" s="984"/>
    </row>
    <row r="11" spans="1:11" x14ac:dyDescent="0.2">
      <c r="A11" s="1004">
        <v>5</v>
      </c>
      <c r="B11" s="994" t="s">
        <v>463</v>
      </c>
      <c r="C11" s="995" t="s">
        <v>572</v>
      </c>
      <c r="D11" s="996">
        <f t="shared" si="0"/>
        <v>0</v>
      </c>
      <c r="E11" s="997">
        <v>9</v>
      </c>
      <c r="F11" s="998" t="s">
        <v>450</v>
      </c>
      <c r="G11" s="999">
        <v>13</v>
      </c>
      <c r="H11" s="1000">
        <f t="shared" si="1"/>
        <v>1</v>
      </c>
      <c r="I11" s="995" t="s">
        <v>570</v>
      </c>
      <c r="J11" s="1001" t="s">
        <v>573</v>
      </c>
      <c r="K11" s="984"/>
    </row>
    <row r="12" spans="1:11" x14ac:dyDescent="0.2">
      <c r="A12" s="1004">
        <v>6</v>
      </c>
      <c r="B12" s="994" t="s">
        <v>574</v>
      </c>
      <c r="C12" s="995" t="s">
        <v>565</v>
      </c>
      <c r="D12" s="996">
        <f t="shared" si="0"/>
        <v>1</v>
      </c>
      <c r="E12" s="997">
        <v>13</v>
      </c>
      <c r="F12" s="998" t="s">
        <v>450</v>
      </c>
      <c r="G12" s="999">
        <v>7</v>
      </c>
      <c r="H12" s="1000">
        <f t="shared" si="1"/>
        <v>0</v>
      </c>
      <c r="I12" s="995" t="s">
        <v>572</v>
      </c>
      <c r="J12" s="1001" t="s">
        <v>575</v>
      </c>
      <c r="K12" s="984"/>
    </row>
    <row r="13" spans="1:11" x14ac:dyDescent="0.2">
      <c r="A13" s="1005"/>
      <c r="B13" s="1006"/>
      <c r="C13" s="1007" t="s">
        <v>395</v>
      </c>
      <c r="D13" s="1008">
        <f>SUM(D7:D12)</f>
        <v>3</v>
      </c>
      <c r="E13" s="1009">
        <f>SUM(E7:E12)</f>
        <v>58</v>
      </c>
      <c r="F13" s="1010" t="s">
        <v>450</v>
      </c>
      <c r="G13" s="1011">
        <f>SUM(G7:G12)</f>
        <v>66</v>
      </c>
      <c r="H13" s="1008">
        <f>SUM(H7:H12)</f>
        <v>3</v>
      </c>
      <c r="I13" s="1006"/>
      <c r="J13" s="1012"/>
      <c r="K13" s="1005"/>
    </row>
    <row r="14" spans="1:11" x14ac:dyDescent="0.2">
      <c r="A14" s="984"/>
      <c r="B14" s="984"/>
      <c r="C14" s="1013"/>
      <c r="D14" s="1014"/>
      <c r="E14" s="985"/>
      <c r="F14" s="985"/>
      <c r="G14" s="985"/>
      <c r="H14" s="985"/>
      <c r="I14" s="985"/>
      <c r="J14" s="985"/>
      <c r="K14" s="984"/>
    </row>
    <row r="15" spans="1:11" x14ac:dyDescent="0.2">
      <c r="A15" s="986" t="s">
        <v>21</v>
      </c>
      <c r="B15" s="987" t="s">
        <v>376</v>
      </c>
      <c r="C15" s="988" t="s">
        <v>562</v>
      </c>
      <c r="D15" s="988" t="s">
        <v>15</v>
      </c>
      <c r="E15" s="989"/>
      <c r="F15" s="990" t="s">
        <v>563</v>
      </c>
      <c r="G15" s="991"/>
      <c r="H15" s="988" t="s">
        <v>15</v>
      </c>
      <c r="I15" s="992" t="s">
        <v>251</v>
      </c>
      <c r="J15" s="988"/>
      <c r="K15" s="984"/>
    </row>
    <row r="16" spans="1:11" x14ac:dyDescent="0.2">
      <c r="A16" s="993">
        <v>2</v>
      </c>
      <c r="B16" s="994" t="s">
        <v>368</v>
      </c>
      <c r="C16" s="995" t="s">
        <v>564</v>
      </c>
      <c r="D16" s="996">
        <f>IF(E16&gt;G16,1,0)</f>
        <v>1</v>
      </c>
      <c r="E16" s="997">
        <v>13</v>
      </c>
      <c r="F16" s="998" t="s">
        <v>450</v>
      </c>
      <c r="G16" s="999">
        <v>3</v>
      </c>
      <c r="H16" s="1000">
        <f>IF(G16&gt;E16,1,0)</f>
        <v>0</v>
      </c>
      <c r="I16" s="995" t="s">
        <v>572</v>
      </c>
      <c r="J16" s="1001" t="s">
        <v>575</v>
      </c>
      <c r="K16" s="984"/>
    </row>
    <row r="17" spans="1:11" x14ac:dyDescent="0.2">
      <c r="A17" s="993">
        <v>3</v>
      </c>
      <c r="B17" s="1002" t="s">
        <v>566</v>
      </c>
      <c r="C17" s="995" t="s">
        <v>567</v>
      </c>
      <c r="D17" s="996">
        <f t="shared" ref="D17:D21" si="2">IF(E17&gt;G17,1,0)</f>
        <v>1</v>
      </c>
      <c r="E17" s="997">
        <v>13</v>
      </c>
      <c r="F17" s="998" t="s">
        <v>450</v>
      </c>
      <c r="G17" s="999">
        <v>10</v>
      </c>
      <c r="H17" s="1000">
        <f t="shared" ref="H17:H21" si="3">IF(G17&gt;E17,1,0)</f>
        <v>0</v>
      </c>
      <c r="I17" s="995" t="s">
        <v>565</v>
      </c>
      <c r="J17" s="1001" t="s">
        <v>454</v>
      </c>
      <c r="K17" s="984"/>
    </row>
    <row r="18" spans="1:11" x14ac:dyDescent="0.2">
      <c r="A18" s="1004">
        <v>4</v>
      </c>
      <c r="B18" s="1002" t="s">
        <v>466</v>
      </c>
      <c r="C18" s="995" t="s">
        <v>568</v>
      </c>
      <c r="D18" s="996">
        <f t="shared" si="2"/>
        <v>1</v>
      </c>
      <c r="E18" s="997">
        <v>13</v>
      </c>
      <c r="F18" s="998" t="s">
        <v>450</v>
      </c>
      <c r="G18" s="999">
        <v>1</v>
      </c>
      <c r="H18" s="1000">
        <f t="shared" si="3"/>
        <v>0</v>
      </c>
      <c r="I18" s="995" t="s">
        <v>564</v>
      </c>
      <c r="J18" s="1001" t="s">
        <v>370</v>
      </c>
      <c r="K18" s="984"/>
    </row>
    <row r="19" spans="1:11" x14ac:dyDescent="0.2">
      <c r="A19" s="1004">
        <v>5</v>
      </c>
      <c r="B19" s="994" t="s">
        <v>460</v>
      </c>
      <c r="C19" s="995" t="s">
        <v>570</v>
      </c>
      <c r="D19" s="996">
        <f t="shared" si="2"/>
        <v>0</v>
      </c>
      <c r="E19" s="997">
        <v>2</v>
      </c>
      <c r="F19" s="998" t="s">
        <v>450</v>
      </c>
      <c r="G19" s="999">
        <v>13</v>
      </c>
      <c r="H19" s="1000">
        <f t="shared" si="3"/>
        <v>1</v>
      </c>
      <c r="I19" s="995" t="s">
        <v>567</v>
      </c>
      <c r="J19" s="1003" t="s">
        <v>569</v>
      </c>
      <c r="K19" s="984"/>
    </row>
    <row r="20" spans="1:11" x14ac:dyDescent="0.2">
      <c r="A20" s="1004">
        <v>6</v>
      </c>
      <c r="B20" s="994" t="s">
        <v>463</v>
      </c>
      <c r="C20" s="995" t="s">
        <v>572</v>
      </c>
      <c r="D20" s="996">
        <f t="shared" si="2"/>
        <v>0</v>
      </c>
      <c r="E20" s="997">
        <v>9</v>
      </c>
      <c r="F20" s="998" t="s">
        <v>450</v>
      </c>
      <c r="G20" s="999">
        <v>13</v>
      </c>
      <c r="H20" s="1000">
        <f t="shared" si="3"/>
        <v>1</v>
      </c>
      <c r="I20" s="995" t="s">
        <v>568</v>
      </c>
      <c r="J20" s="1001" t="s">
        <v>571</v>
      </c>
      <c r="K20" s="984"/>
    </row>
    <row r="21" spans="1:11" x14ac:dyDescent="0.2">
      <c r="A21" s="1004">
        <v>1</v>
      </c>
      <c r="B21" s="994" t="s">
        <v>574</v>
      </c>
      <c r="C21" s="995" t="s">
        <v>565</v>
      </c>
      <c r="D21" s="996">
        <f t="shared" si="2"/>
        <v>1</v>
      </c>
      <c r="E21" s="997">
        <v>13</v>
      </c>
      <c r="F21" s="998" t="s">
        <v>450</v>
      </c>
      <c r="G21" s="999">
        <v>4</v>
      </c>
      <c r="H21" s="1000">
        <f t="shared" si="3"/>
        <v>0</v>
      </c>
      <c r="I21" s="995" t="s">
        <v>570</v>
      </c>
      <c r="J21" s="1001" t="s">
        <v>573</v>
      </c>
      <c r="K21" s="984"/>
    </row>
    <row r="22" spans="1:11" x14ac:dyDescent="0.2">
      <c r="A22" s="1005"/>
      <c r="B22" s="1006"/>
      <c r="C22" s="1007" t="s">
        <v>395</v>
      </c>
      <c r="D22" s="1008">
        <f>SUM(D16:D21)</f>
        <v>4</v>
      </c>
      <c r="E22" s="1009">
        <f>SUM(E16:E21)</f>
        <v>63</v>
      </c>
      <c r="F22" s="1010" t="s">
        <v>450</v>
      </c>
      <c r="G22" s="1011">
        <f>SUM(G16:G21)</f>
        <v>44</v>
      </c>
      <c r="H22" s="1008">
        <f>SUM(H16:H21)</f>
        <v>2</v>
      </c>
      <c r="I22" s="1006"/>
      <c r="J22" s="1012"/>
      <c r="K22" s="1005"/>
    </row>
    <row r="23" spans="1:11" x14ac:dyDescent="0.2">
      <c r="A23" s="984"/>
      <c r="B23" s="984"/>
      <c r="C23" s="1015" t="s">
        <v>576</v>
      </c>
      <c r="D23" s="1016">
        <f>D13+D22</f>
        <v>7</v>
      </c>
      <c r="E23" s="1009">
        <f>E13+E22</f>
        <v>121</v>
      </c>
      <c r="F23" s="1010" t="s">
        <v>450</v>
      </c>
      <c r="G23" s="1011">
        <f>G13+G22</f>
        <v>110</v>
      </c>
      <c r="H23" s="1016">
        <f>H13+H22</f>
        <v>5</v>
      </c>
      <c r="I23" s="984"/>
      <c r="J23" s="984"/>
      <c r="K23" s="984"/>
    </row>
    <row r="24" spans="1:11" x14ac:dyDescent="0.2">
      <c r="A24" s="984"/>
      <c r="B24" s="984"/>
      <c r="C24" s="985"/>
      <c r="D24" s="985"/>
      <c r="E24" s="985"/>
      <c r="F24" s="985"/>
      <c r="G24" s="985"/>
      <c r="H24" s="985"/>
      <c r="I24" s="985"/>
      <c r="J24" s="985"/>
      <c r="K24" s="984"/>
    </row>
    <row r="25" spans="1:11" x14ac:dyDescent="0.2">
      <c r="A25" s="986" t="s">
        <v>21</v>
      </c>
      <c r="B25" s="987" t="s">
        <v>379</v>
      </c>
      <c r="C25" s="988" t="s">
        <v>562</v>
      </c>
      <c r="D25" s="988" t="s">
        <v>15</v>
      </c>
      <c r="E25" s="989"/>
      <c r="F25" s="990" t="s">
        <v>563</v>
      </c>
      <c r="G25" s="991"/>
      <c r="H25" s="988" t="s">
        <v>15</v>
      </c>
      <c r="I25" s="992" t="s">
        <v>251</v>
      </c>
      <c r="J25" s="988"/>
      <c r="K25" s="984"/>
    </row>
    <row r="26" spans="1:11" x14ac:dyDescent="0.2">
      <c r="A26" s="993">
        <v>3</v>
      </c>
      <c r="B26" s="994" t="s">
        <v>368</v>
      </c>
      <c r="C26" s="995" t="s">
        <v>564</v>
      </c>
      <c r="D26" s="996">
        <f>IF(E26&gt;G26,1,0)</f>
        <v>0</v>
      </c>
      <c r="E26" s="997">
        <v>4</v>
      </c>
      <c r="F26" s="998" t="s">
        <v>450</v>
      </c>
      <c r="G26" s="999">
        <v>13</v>
      </c>
      <c r="H26" s="1000">
        <f>IF(G26&gt;E26,1,0)</f>
        <v>1</v>
      </c>
      <c r="I26" s="995" t="s">
        <v>570</v>
      </c>
      <c r="J26" s="1001" t="s">
        <v>573</v>
      </c>
      <c r="K26" s="984"/>
    </row>
    <row r="27" spans="1:11" x14ac:dyDescent="0.2">
      <c r="A27" s="1004">
        <v>4</v>
      </c>
      <c r="B27" s="1002" t="s">
        <v>566</v>
      </c>
      <c r="C27" s="995" t="s">
        <v>567</v>
      </c>
      <c r="D27" s="996">
        <f t="shared" ref="D27:D31" si="4">IF(E27&gt;G27,1,0)</f>
        <v>1</v>
      </c>
      <c r="E27" s="997">
        <v>13</v>
      </c>
      <c r="F27" s="998" t="s">
        <v>450</v>
      </c>
      <c r="G27" s="999">
        <v>8</v>
      </c>
      <c r="H27" s="1000">
        <f t="shared" ref="H27:H31" si="5">IF(G27&gt;E27,1,0)</f>
        <v>0</v>
      </c>
      <c r="I27" s="995" t="s">
        <v>572</v>
      </c>
      <c r="J27" s="1001" t="s">
        <v>575</v>
      </c>
      <c r="K27" s="984"/>
    </row>
    <row r="28" spans="1:11" x14ac:dyDescent="0.2">
      <c r="A28" s="1004">
        <v>5</v>
      </c>
      <c r="B28" s="1002" t="s">
        <v>466</v>
      </c>
      <c r="C28" s="995" t="s">
        <v>568</v>
      </c>
      <c r="D28" s="996">
        <f t="shared" si="4"/>
        <v>1</v>
      </c>
      <c r="E28" s="997">
        <v>13</v>
      </c>
      <c r="F28" s="998" t="s">
        <v>450</v>
      </c>
      <c r="G28" s="999">
        <v>3</v>
      </c>
      <c r="H28" s="1000">
        <f t="shared" si="5"/>
        <v>0</v>
      </c>
      <c r="I28" s="995" t="s">
        <v>565</v>
      </c>
      <c r="J28" s="1001" t="s">
        <v>454</v>
      </c>
      <c r="K28" s="984"/>
    </row>
    <row r="29" spans="1:11" x14ac:dyDescent="0.2">
      <c r="A29" s="1004">
        <v>6</v>
      </c>
      <c r="B29" s="994" t="s">
        <v>460</v>
      </c>
      <c r="C29" s="995" t="s">
        <v>570</v>
      </c>
      <c r="D29" s="996">
        <f t="shared" si="4"/>
        <v>0</v>
      </c>
      <c r="E29" s="997">
        <v>4</v>
      </c>
      <c r="F29" s="998" t="s">
        <v>450</v>
      </c>
      <c r="G29" s="999">
        <v>13</v>
      </c>
      <c r="H29" s="1000">
        <f t="shared" si="5"/>
        <v>1</v>
      </c>
      <c r="I29" s="995" t="s">
        <v>564</v>
      </c>
      <c r="J29" s="1001" t="s">
        <v>370</v>
      </c>
      <c r="K29" s="984"/>
    </row>
    <row r="30" spans="1:11" x14ac:dyDescent="0.2">
      <c r="A30" s="1004">
        <v>1</v>
      </c>
      <c r="B30" s="994" t="s">
        <v>463</v>
      </c>
      <c r="C30" s="995" t="s">
        <v>572</v>
      </c>
      <c r="D30" s="996">
        <f t="shared" si="4"/>
        <v>0</v>
      </c>
      <c r="E30" s="997">
        <v>12</v>
      </c>
      <c r="F30" s="998" t="s">
        <v>450</v>
      </c>
      <c r="G30" s="999">
        <v>13</v>
      </c>
      <c r="H30" s="1000">
        <f t="shared" si="5"/>
        <v>1</v>
      </c>
      <c r="I30" s="995" t="s">
        <v>567</v>
      </c>
      <c r="J30" s="1003" t="s">
        <v>569</v>
      </c>
      <c r="K30" s="984"/>
    </row>
    <row r="31" spans="1:11" x14ac:dyDescent="0.2">
      <c r="A31" s="1004">
        <v>2</v>
      </c>
      <c r="B31" s="994" t="s">
        <v>574</v>
      </c>
      <c r="C31" s="995" t="s">
        <v>565</v>
      </c>
      <c r="D31" s="996">
        <f t="shared" si="4"/>
        <v>1</v>
      </c>
      <c r="E31" s="997">
        <v>13</v>
      </c>
      <c r="F31" s="998" t="s">
        <v>450</v>
      </c>
      <c r="G31" s="999">
        <v>11</v>
      </c>
      <c r="H31" s="1000">
        <f t="shared" si="5"/>
        <v>0</v>
      </c>
      <c r="I31" s="995" t="s">
        <v>568</v>
      </c>
      <c r="J31" s="1001" t="s">
        <v>571</v>
      </c>
      <c r="K31" s="984"/>
    </row>
    <row r="32" spans="1:11" x14ac:dyDescent="0.2">
      <c r="A32" s="1005"/>
      <c r="B32" s="1006"/>
      <c r="C32" s="1007" t="s">
        <v>395</v>
      </c>
      <c r="D32" s="1008">
        <f>SUM(D26:D31)</f>
        <v>3</v>
      </c>
      <c r="E32" s="1009">
        <f>SUM(E26:E31)</f>
        <v>59</v>
      </c>
      <c r="F32" s="1010" t="s">
        <v>450</v>
      </c>
      <c r="G32" s="1011">
        <f>SUM(G26:G31)</f>
        <v>61</v>
      </c>
      <c r="H32" s="1008">
        <f>SUM(H26:H31)</f>
        <v>3</v>
      </c>
      <c r="I32" s="1006"/>
      <c r="J32" s="1012"/>
      <c r="K32" s="1005"/>
    </row>
    <row r="33" spans="1:11" x14ac:dyDescent="0.2">
      <c r="A33" s="984"/>
      <c r="B33" s="984"/>
      <c r="C33" s="1015" t="s">
        <v>576</v>
      </c>
      <c r="D33" s="1016">
        <f>D23+D32</f>
        <v>10</v>
      </c>
      <c r="E33" s="1009">
        <f>E23+E32</f>
        <v>180</v>
      </c>
      <c r="F33" s="1010" t="s">
        <v>450</v>
      </c>
      <c r="G33" s="1011">
        <f>G23+G32</f>
        <v>171</v>
      </c>
      <c r="H33" s="1016">
        <f>H23+H32</f>
        <v>8</v>
      </c>
      <c r="I33" s="984"/>
      <c r="J33" s="984"/>
      <c r="K33" s="984"/>
    </row>
    <row r="34" spans="1:11" x14ac:dyDescent="0.2">
      <c r="A34" s="984"/>
      <c r="B34" s="984"/>
      <c r="C34" s="985"/>
      <c r="D34" s="985"/>
      <c r="E34" s="985"/>
      <c r="F34" s="985"/>
      <c r="G34" s="985"/>
      <c r="H34" s="985"/>
      <c r="I34" s="985"/>
      <c r="J34" s="985"/>
      <c r="K34" s="984"/>
    </row>
    <row r="35" spans="1:11" x14ac:dyDescent="0.2">
      <c r="A35" s="986" t="s">
        <v>21</v>
      </c>
      <c r="B35" s="987" t="s">
        <v>382</v>
      </c>
      <c r="C35" s="988" t="s">
        <v>562</v>
      </c>
      <c r="D35" s="988" t="s">
        <v>15</v>
      </c>
      <c r="E35" s="989"/>
      <c r="F35" s="990" t="s">
        <v>563</v>
      </c>
      <c r="G35" s="991"/>
      <c r="H35" s="988" t="s">
        <v>15</v>
      </c>
      <c r="I35" s="992" t="s">
        <v>251</v>
      </c>
      <c r="J35" s="988"/>
      <c r="K35" s="984"/>
    </row>
    <row r="36" spans="1:11" x14ac:dyDescent="0.2">
      <c r="A36" s="1004">
        <v>5</v>
      </c>
      <c r="B36" s="994" t="s">
        <v>368</v>
      </c>
      <c r="C36" s="995" t="s">
        <v>564</v>
      </c>
      <c r="D36" s="996">
        <f>IF(E36&gt;G36,1,0)</f>
        <v>1</v>
      </c>
      <c r="E36" s="997">
        <v>13</v>
      </c>
      <c r="F36" s="998" t="s">
        <v>450</v>
      </c>
      <c r="G36" s="999">
        <v>1</v>
      </c>
      <c r="H36" s="1000">
        <f>IF(G36&gt;E36,1,0)</f>
        <v>0</v>
      </c>
      <c r="I36" s="995" t="s">
        <v>568</v>
      </c>
      <c r="J36" s="1001" t="s">
        <v>571</v>
      </c>
      <c r="K36" s="984"/>
    </row>
    <row r="37" spans="1:11" x14ac:dyDescent="0.2">
      <c r="A37" s="1004">
        <v>6</v>
      </c>
      <c r="B37" s="1002" t="s">
        <v>566</v>
      </c>
      <c r="C37" s="995" t="s">
        <v>567</v>
      </c>
      <c r="D37" s="996">
        <f t="shared" ref="D37:D41" si="6">IF(E37&gt;G37,1,0)</f>
        <v>1</v>
      </c>
      <c r="E37" s="997">
        <v>13</v>
      </c>
      <c r="F37" s="998" t="s">
        <v>450</v>
      </c>
      <c r="G37" s="999">
        <v>9</v>
      </c>
      <c r="H37" s="1000">
        <f t="shared" ref="H37:H41" si="7">IF(G37&gt;E37,1,0)</f>
        <v>0</v>
      </c>
      <c r="I37" s="995" t="s">
        <v>570</v>
      </c>
      <c r="J37" s="1001" t="s">
        <v>573</v>
      </c>
      <c r="K37" s="984"/>
    </row>
    <row r="38" spans="1:11" x14ac:dyDescent="0.2">
      <c r="A38" s="993">
        <v>1</v>
      </c>
      <c r="B38" s="1002" t="s">
        <v>466</v>
      </c>
      <c r="C38" s="995" t="s">
        <v>568</v>
      </c>
      <c r="D38" s="996">
        <f t="shared" si="6"/>
        <v>1</v>
      </c>
      <c r="E38" s="997">
        <v>13</v>
      </c>
      <c r="F38" s="998" t="s">
        <v>450</v>
      </c>
      <c r="G38" s="999">
        <v>9</v>
      </c>
      <c r="H38" s="1000">
        <f t="shared" si="7"/>
        <v>0</v>
      </c>
      <c r="I38" s="995" t="s">
        <v>572</v>
      </c>
      <c r="J38" s="1001" t="s">
        <v>575</v>
      </c>
      <c r="K38" s="984"/>
    </row>
    <row r="39" spans="1:11" x14ac:dyDescent="0.2">
      <c r="A39" s="993">
        <v>2</v>
      </c>
      <c r="B39" s="994" t="s">
        <v>460</v>
      </c>
      <c r="C39" s="995" t="s">
        <v>570</v>
      </c>
      <c r="D39" s="996">
        <f t="shared" si="6"/>
        <v>0</v>
      </c>
      <c r="E39" s="997">
        <v>4</v>
      </c>
      <c r="F39" s="998" t="s">
        <v>450</v>
      </c>
      <c r="G39" s="999">
        <v>13</v>
      </c>
      <c r="H39" s="1000">
        <f t="shared" si="7"/>
        <v>1</v>
      </c>
      <c r="I39" s="995" t="s">
        <v>565</v>
      </c>
      <c r="J39" s="1001" t="s">
        <v>454</v>
      </c>
      <c r="K39" s="984"/>
    </row>
    <row r="40" spans="1:11" x14ac:dyDescent="0.2">
      <c r="A40" s="993">
        <v>3</v>
      </c>
      <c r="B40" s="994" t="s">
        <v>463</v>
      </c>
      <c r="C40" s="995" t="s">
        <v>572</v>
      </c>
      <c r="D40" s="996">
        <f t="shared" si="6"/>
        <v>0</v>
      </c>
      <c r="E40" s="997">
        <v>1</v>
      </c>
      <c r="F40" s="998" t="s">
        <v>450</v>
      </c>
      <c r="G40" s="999">
        <v>13</v>
      </c>
      <c r="H40" s="1000">
        <f t="shared" si="7"/>
        <v>1</v>
      </c>
      <c r="I40" s="995" t="s">
        <v>564</v>
      </c>
      <c r="J40" s="1001" t="s">
        <v>370</v>
      </c>
      <c r="K40" s="984"/>
    </row>
    <row r="41" spans="1:11" x14ac:dyDescent="0.2">
      <c r="A41" s="1004">
        <v>4</v>
      </c>
      <c r="B41" s="994" t="s">
        <v>574</v>
      </c>
      <c r="C41" s="995" t="s">
        <v>565</v>
      </c>
      <c r="D41" s="996">
        <f t="shared" si="6"/>
        <v>1</v>
      </c>
      <c r="E41" s="997">
        <v>13</v>
      </c>
      <c r="F41" s="998" t="s">
        <v>450</v>
      </c>
      <c r="G41" s="999">
        <v>10</v>
      </c>
      <c r="H41" s="1000">
        <f t="shared" si="7"/>
        <v>0</v>
      </c>
      <c r="I41" s="995" t="s">
        <v>567</v>
      </c>
      <c r="J41" s="1003" t="s">
        <v>569</v>
      </c>
      <c r="K41" s="984"/>
    </row>
    <row r="42" spans="1:11" x14ac:dyDescent="0.2">
      <c r="A42" s="984"/>
      <c r="B42" s="1006"/>
      <c r="C42" s="1007" t="s">
        <v>395</v>
      </c>
      <c r="D42" s="1008">
        <f>SUM(D36:D41)</f>
        <v>4</v>
      </c>
      <c r="E42" s="1009">
        <f>SUM(E36:E41)</f>
        <v>57</v>
      </c>
      <c r="F42" s="1010" t="s">
        <v>450</v>
      </c>
      <c r="G42" s="1011">
        <f>SUM(G36:G41)</f>
        <v>55</v>
      </c>
      <c r="H42" s="1008">
        <f>SUM(H36:H41)</f>
        <v>2</v>
      </c>
      <c r="I42" s="1006"/>
      <c r="J42" s="1012"/>
      <c r="K42" s="984"/>
    </row>
    <row r="43" spans="1:11" x14ac:dyDescent="0.2">
      <c r="A43" s="984"/>
      <c r="B43" s="984"/>
      <c r="C43" s="1015" t="s">
        <v>576</v>
      </c>
      <c r="D43" s="1016">
        <f>D33+D42</f>
        <v>14</v>
      </c>
      <c r="E43" s="1009">
        <f>E33+E42</f>
        <v>237</v>
      </c>
      <c r="F43" s="1010" t="s">
        <v>450</v>
      </c>
      <c r="G43" s="1011">
        <f>G33+G42</f>
        <v>226</v>
      </c>
      <c r="H43" s="1016">
        <f>H33+H42</f>
        <v>10</v>
      </c>
      <c r="I43" s="984"/>
      <c r="J43" s="984"/>
      <c r="K43" s="984"/>
    </row>
    <row r="44" spans="1:11" x14ac:dyDescent="0.2">
      <c r="A44" s="984"/>
      <c r="B44" s="984"/>
      <c r="C44" s="985"/>
      <c r="D44" s="985"/>
      <c r="E44" s="985"/>
      <c r="F44" s="985"/>
      <c r="G44" s="985"/>
      <c r="H44" s="985"/>
      <c r="I44" s="985"/>
      <c r="J44" s="985"/>
      <c r="K44" s="984"/>
    </row>
    <row r="45" spans="1:11" x14ac:dyDescent="0.2">
      <c r="A45" s="986" t="s">
        <v>21</v>
      </c>
      <c r="B45" s="987" t="s">
        <v>385</v>
      </c>
      <c r="C45" s="988" t="s">
        <v>562</v>
      </c>
      <c r="D45" s="988" t="s">
        <v>15</v>
      </c>
      <c r="E45" s="989"/>
      <c r="F45" s="990" t="s">
        <v>563</v>
      </c>
      <c r="G45" s="991"/>
      <c r="H45" s="988" t="s">
        <v>15</v>
      </c>
      <c r="I45" s="992" t="s">
        <v>251</v>
      </c>
      <c r="J45" s="988"/>
      <c r="K45" s="984"/>
    </row>
    <row r="46" spans="1:11" x14ac:dyDescent="0.2">
      <c r="A46" s="993">
        <v>6</v>
      </c>
      <c r="B46" s="994" t="s">
        <v>368</v>
      </c>
      <c r="C46" s="995" t="s">
        <v>564</v>
      </c>
      <c r="D46" s="996">
        <f>IF(E46&gt;G46,1,0)</f>
        <v>0</v>
      </c>
      <c r="E46" s="997">
        <v>8</v>
      </c>
      <c r="F46" s="998" t="s">
        <v>450</v>
      </c>
      <c r="G46" s="999">
        <v>13</v>
      </c>
      <c r="H46" s="1000">
        <f>IF(G46&gt;E46,1,0)</f>
        <v>1</v>
      </c>
      <c r="I46" s="995" t="s">
        <v>567</v>
      </c>
      <c r="J46" s="1003" t="s">
        <v>569</v>
      </c>
      <c r="K46" s="984"/>
    </row>
    <row r="47" spans="1:11" x14ac:dyDescent="0.2">
      <c r="A47" s="993">
        <v>1</v>
      </c>
      <c r="B47" s="1002" t="s">
        <v>566</v>
      </c>
      <c r="C47" s="995" t="s">
        <v>567</v>
      </c>
      <c r="D47" s="996">
        <f t="shared" ref="D47:D51" si="8">IF(E47&gt;G47,1,0)</f>
        <v>0</v>
      </c>
      <c r="E47" s="997">
        <v>7</v>
      </c>
      <c r="F47" s="998" t="s">
        <v>450</v>
      </c>
      <c r="G47" s="999">
        <v>13</v>
      </c>
      <c r="H47" s="1000">
        <f t="shared" ref="H47:H51" si="9">IF(G47&gt;E47,1,0)</f>
        <v>1</v>
      </c>
      <c r="I47" s="995" t="s">
        <v>568</v>
      </c>
      <c r="J47" s="1001" t="s">
        <v>571</v>
      </c>
      <c r="K47" s="984"/>
    </row>
    <row r="48" spans="1:11" x14ac:dyDescent="0.2">
      <c r="A48" s="993">
        <v>2</v>
      </c>
      <c r="B48" s="1002" t="s">
        <v>466</v>
      </c>
      <c r="C48" s="995" t="s">
        <v>568</v>
      </c>
      <c r="D48" s="996">
        <f t="shared" si="8"/>
        <v>1</v>
      </c>
      <c r="E48" s="997">
        <v>13</v>
      </c>
      <c r="F48" s="998" t="s">
        <v>450</v>
      </c>
      <c r="G48" s="999">
        <v>3</v>
      </c>
      <c r="H48" s="1000">
        <f t="shared" si="9"/>
        <v>0</v>
      </c>
      <c r="I48" s="995" t="s">
        <v>570</v>
      </c>
      <c r="J48" s="1001" t="s">
        <v>573</v>
      </c>
      <c r="K48" s="984"/>
    </row>
    <row r="49" spans="1:11" x14ac:dyDescent="0.2">
      <c r="A49" s="1004">
        <v>3</v>
      </c>
      <c r="B49" s="994" t="s">
        <v>460</v>
      </c>
      <c r="C49" s="995" t="s">
        <v>570</v>
      </c>
      <c r="D49" s="996">
        <f t="shared" si="8"/>
        <v>0</v>
      </c>
      <c r="E49" s="997">
        <v>8</v>
      </c>
      <c r="F49" s="998" t="s">
        <v>450</v>
      </c>
      <c r="G49" s="999">
        <v>13</v>
      </c>
      <c r="H49" s="1000">
        <f t="shared" si="9"/>
        <v>1</v>
      </c>
      <c r="I49" s="995" t="s">
        <v>572</v>
      </c>
      <c r="J49" s="1001" t="s">
        <v>575</v>
      </c>
      <c r="K49" s="984"/>
    </row>
    <row r="50" spans="1:11" x14ac:dyDescent="0.2">
      <c r="A50" s="1004">
        <v>4</v>
      </c>
      <c r="B50" s="994" t="s">
        <v>463</v>
      </c>
      <c r="C50" s="995" t="s">
        <v>572</v>
      </c>
      <c r="D50" s="996">
        <f t="shared" si="8"/>
        <v>0</v>
      </c>
      <c r="E50" s="997">
        <v>9</v>
      </c>
      <c r="F50" s="998" t="s">
        <v>450</v>
      </c>
      <c r="G50" s="999">
        <v>13</v>
      </c>
      <c r="H50" s="1000">
        <f t="shared" si="9"/>
        <v>1</v>
      </c>
      <c r="I50" s="995" t="s">
        <v>565</v>
      </c>
      <c r="J50" s="1001" t="s">
        <v>454</v>
      </c>
      <c r="K50" s="984"/>
    </row>
    <row r="51" spans="1:11" x14ac:dyDescent="0.2">
      <c r="A51" s="1004">
        <v>5</v>
      </c>
      <c r="B51" s="994" t="s">
        <v>574</v>
      </c>
      <c r="C51" s="995" t="s">
        <v>565</v>
      </c>
      <c r="D51" s="996">
        <f t="shared" si="8"/>
        <v>0</v>
      </c>
      <c r="E51" s="997">
        <v>2</v>
      </c>
      <c r="F51" s="998" t="s">
        <v>450</v>
      </c>
      <c r="G51" s="999">
        <v>13</v>
      </c>
      <c r="H51" s="1000">
        <f t="shared" si="9"/>
        <v>1</v>
      </c>
      <c r="I51" s="995" t="s">
        <v>564</v>
      </c>
      <c r="J51" s="1001" t="s">
        <v>370</v>
      </c>
      <c r="K51" s="984"/>
    </row>
    <row r="52" spans="1:11" x14ac:dyDescent="0.2">
      <c r="A52" s="984"/>
      <c r="B52" s="1006"/>
      <c r="C52" s="1007" t="s">
        <v>395</v>
      </c>
      <c r="D52" s="1008">
        <f>SUM(D46:D51)</f>
        <v>1</v>
      </c>
      <c r="E52" s="1009">
        <f>SUM(E46:E51)</f>
        <v>47</v>
      </c>
      <c r="F52" s="1010" t="s">
        <v>450</v>
      </c>
      <c r="G52" s="1011">
        <f>SUM(G46:G51)</f>
        <v>68</v>
      </c>
      <c r="H52" s="1008">
        <f>SUM(H46:H51)</f>
        <v>5</v>
      </c>
      <c r="I52" s="1006"/>
      <c r="J52" s="1012"/>
      <c r="K52" s="984"/>
    </row>
    <row r="53" spans="1:11" x14ac:dyDescent="0.2">
      <c r="A53" s="984"/>
      <c r="B53" s="984"/>
      <c r="C53" s="1015" t="s">
        <v>576</v>
      </c>
      <c r="D53" s="1016">
        <f>D43+D52</f>
        <v>15</v>
      </c>
      <c r="E53" s="1009">
        <f>E43+E52</f>
        <v>284</v>
      </c>
      <c r="F53" s="1010" t="s">
        <v>450</v>
      </c>
      <c r="G53" s="1011">
        <f>G43+G52</f>
        <v>294</v>
      </c>
      <c r="H53" s="1016">
        <f>H43+H52</f>
        <v>15</v>
      </c>
      <c r="I53" s="984"/>
      <c r="J53" s="984"/>
      <c r="K53" s="984"/>
    </row>
    <row r="54" spans="1:11" x14ac:dyDescent="0.2">
      <c r="A54" s="984"/>
      <c r="B54" s="984"/>
      <c r="C54" s="985"/>
      <c r="D54" s="985"/>
      <c r="E54" s="985"/>
      <c r="F54" s="985"/>
      <c r="G54" s="985"/>
      <c r="H54" s="985"/>
      <c r="I54" s="985"/>
      <c r="J54" s="985"/>
      <c r="K54" s="984"/>
    </row>
    <row r="55" spans="1:11" x14ac:dyDescent="0.2">
      <c r="A55" s="986" t="s">
        <v>21</v>
      </c>
      <c r="B55" s="987" t="s">
        <v>446</v>
      </c>
      <c r="C55" s="988" t="s">
        <v>562</v>
      </c>
      <c r="D55" s="988" t="s">
        <v>15</v>
      </c>
      <c r="E55" s="989"/>
      <c r="F55" s="990" t="s">
        <v>563</v>
      </c>
      <c r="G55" s="991"/>
      <c r="H55" s="988" t="s">
        <v>15</v>
      </c>
      <c r="I55" s="992" t="s">
        <v>251</v>
      </c>
      <c r="J55" s="988"/>
      <c r="K55" s="984"/>
    </row>
    <row r="56" spans="1:11" x14ac:dyDescent="0.2">
      <c r="A56" s="1004">
        <v>4</v>
      </c>
      <c r="B56" s="994" t="s">
        <v>368</v>
      </c>
      <c r="C56" s="995" t="s">
        <v>564</v>
      </c>
      <c r="D56" s="996">
        <f>IF(E56&gt;G56,1,0)</f>
        <v>1</v>
      </c>
      <c r="E56" s="997">
        <v>13</v>
      </c>
      <c r="F56" s="998" t="s">
        <v>450</v>
      </c>
      <c r="G56" s="999">
        <v>4</v>
      </c>
      <c r="H56" s="1000">
        <f>IF(G56&gt;E56,1,0)</f>
        <v>0</v>
      </c>
      <c r="I56" s="995" t="s">
        <v>564</v>
      </c>
      <c r="J56" s="1001" t="s">
        <v>370</v>
      </c>
      <c r="K56" s="984"/>
    </row>
    <row r="57" spans="1:11" x14ac:dyDescent="0.2">
      <c r="A57" s="1004">
        <v>5</v>
      </c>
      <c r="B57" s="1001" t="s">
        <v>566</v>
      </c>
      <c r="C57" s="995" t="s">
        <v>567</v>
      </c>
      <c r="D57" s="996">
        <f t="shared" ref="D57:D61" si="10">IF(E57&gt;G57,1,0)</f>
        <v>0</v>
      </c>
      <c r="E57" s="997">
        <v>7</v>
      </c>
      <c r="F57" s="998" t="s">
        <v>450</v>
      </c>
      <c r="G57" s="999">
        <v>13</v>
      </c>
      <c r="H57" s="1000">
        <f t="shared" ref="H57:H61" si="11">IF(G57&gt;E57,1,0)</f>
        <v>1</v>
      </c>
      <c r="I57" s="995" t="s">
        <v>567</v>
      </c>
      <c r="J57" s="1003" t="s">
        <v>569</v>
      </c>
      <c r="K57" s="984"/>
    </row>
    <row r="58" spans="1:11" x14ac:dyDescent="0.2">
      <c r="A58" s="993">
        <v>6</v>
      </c>
      <c r="B58" s="1002" t="s">
        <v>466</v>
      </c>
      <c r="C58" s="995" t="s">
        <v>568</v>
      </c>
      <c r="D58" s="996">
        <f t="shared" si="10"/>
        <v>1</v>
      </c>
      <c r="E58" s="997">
        <v>13</v>
      </c>
      <c r="F58" s="998" t="s">
        <v>450</v>
      </c>
      <c r="G58" s="999">
        <v>1</v>
      </c>
      <c r="H58" s="1000">
        <f t="shared" si="11"/>
        <v>0</v>
      </c>
      <c r="I58" s="995" t="s">
        <v>568</v>
      </c>
      <c r="J58" s="1001" t="s">
        <v>571</v>
      </c>
      <c r="K58" s="984"/>
    </row>
    <row r="59" spans="1:11" x14ac:dyDescent="0.2">
      <c r="A59" s="993">
        <v>1</v>
      </c>
      <c r="B59" s="994" t="s">
        <v>460</v>
      </c>
      <c r="C59" s="995" t="s">
        <v>570</v>
      </c>
      <c r="D59" s="996">
        <f t="shared" si="10"/>
        <v>1</v>
      </c>
      <c r="E59" s="997">
        <v>13</v>
      </c>
      <c r="F59" s="998" t="s">
        <v>450</v>
      </c>
      <c r="G59" s="999">
        <v>11</v>
      </c>
      <c r="H59" s="1000">
        <f t="shared" si="11"/>
        <v>0</v>
      </c>
      <c r="I59" s="995" t="s">
        <v>570</v>
      </c>
      <c r="J59" s="1001" t="s">
        <v>573</v>
      </c>
      <c r="K59" s="984"/>
    </row>
    <row r="60" spans="1:11" x14ac:dyDescent="0.2">
      <c r="A60" s="993">
        <v>2</v>
      </c>
      <c r="B60" s="994" t="s">
        <v>463</v>
      </c>
      <c r="C60" s="995" t="s">
        <v>572</v>
      </c>
      <c r="D60" s="996">
        <f t="shared" si="10"/>
        <v>0</v>
      </c>
      <c r="E60" s="997">
        <v>12</v>
      </c>
      <c r="F60" s="998" t="s">
        <v>450</v>
      </c>
      <c r="G60" s="999">
        <v>13</v>
      </c>
      <c r="H60" s="1000">
        <f t="shared" si="11"/>
        <v>1</v>
      </c>
      <c r="I60" s="995" t="s">
        <v>572</v>
      </c>
      <c r="J60" s="1001" t="s">
        <v>575</v>
      </c>
      <c r="K60" s="984"/>
    </row>
    <row r="61" spans="1:11" x14ac:dyDescent="0.2">
      <c r="A61" s="1004">
        <v>3</v>
      </c>
      <c r="B61" s="994" t="s">
        <v>574</v>
      </c>
      <c r="C61" s="995" t="s">
        <v>565</v>
      </c>
      <c r="D61" s="996">
        <f t="shared" si="10"/>
        <v>0</v>
      </c>
      <c r="E61" s="997">
        <v>5</v>
      </c>
      <c r="F61" s="998" t="s">
        <v>450</v>
      </c>
      <c r="G61" s="999">
        <v>13</v>
      </c>
      <c r="H61" s="1000">
        <f t="shared" si="11"/>
        <v>1</v>
      </c>
      <c r="I61" s="995" t="s">
        <v>565</v>
      </c>
      <c r="J61" s="1001" t="s">
        <v>454</v>
      </c>
      <c r="K61" s="984"/>
    </row>
    <row r="62" spans="1:11" ht="13.5" thickBot="1" x14ac:dyDescent="0.25">
      <c r="A62" s="984"/>
      <c r="B62" s="1006"/>
      <c r="C62" s="1007" t="s">
        <v>395</v>
      </c>
      <c r="D62" s="1017">
        <f>SUM(D56:D61)</f>
        <v>3</v>
      </c>
      <c r="E62" s="1018">
        <f>SUM(E56:E61)</f>
        <v>63</v>
      </c>
      <c r="F62" s="1019" t="s">
        <v>450</v>
      </c>
      <c r="G62" s="1020">
        <f>SUM(G56:G61)</f>
        <v>55</v>
      </c>
      <c r="H62" s="1017">
        <f>SUM(H56:H61)</f>
        <v>3</v>
      </c>
      <c r="I62" s="1006"/>
      <c r="J62" s="1012"/>
      <c r="K62" s="984"/>
    </row>
    <row r="63" spans="1:11" ht="13.5" thickBot="1" x14ac:dyDescent="0.25">
      <c r="A63" s="984"/>
      <c r="B63" s="984"/>
      <c r="C63" s="1021" t="s">
        <v>217</v>
      </c>
      <c r="D63" s="1022">
        <f>D53+D62</f>
        <v>18</v>
      </c>
      <c r="E63" s="1023">
        <f>E53+E62</f>
        <v>347</v>
      </c>
      <c r="F63" s="1024" t="s">
        <v>450</v>
      </c>
      <c r="G63" s="1025">
        <f>G53+G62</f>
        <v>349</v>
      </c>
      <c r="H63" s="1026">
        <f>H53+H62</f>
        <v>18</v>
      </c>
      <c r="I63" s="595"/>
      <c r="J63" s="984"/>
      <c r="K63" s="984"/>
    </row>
    <row r="64" spans="1:11" x14ac:dyDescent="0.2">
      <c r="A64" s="984"/>
      <c r="B64" s="984"/>
      <c r="C64" s="984"/>
      <c r="D64" s="984"/>
      <c r="E64" s="984"/>
      <c r="F64" s="984"/>
      <c r="G64" s="984"/>
      <c r="H64" s="984"/>
      <c r="I64" s="984"/>
      <c r="J64" s="984"/>
      <c r="K64" s="984"/>
    </row>
  </sheetData>
  <conditionalFormatting sqref="G56:G61">
    <cfRule type="expression" dxfId="775" priority="1">
      <formula>G56&gt;E56</formula>
    </cfRule>
  </conditionalFormatting>
  <conditionalFormatting sqref="G7:G12">
    <cfRule type="expression" dxfId="774" priority="46">
      <formula>G7&gt;E7</formula>
    </cfRule>
  </conditionalFormatting>
  <conditionalFormatting sqref="E7:E12">
    <cfRule type="expression" dxfId="773" priority="47">
      <formula>E7&gt;G7</formula>
    </cfRule>
  </conditionalFormatting>
  <conditionalFormatting sqref="E16:E21">
    <cfRule type="expression" dxfId="772" priority="45">
      <formula>E16&gt;G16</formula>
    </cfRule>
  </conditionalFormatting>
  <conditionalFormatting sqref="E26:E31">
    <cfRule type="expression" dxfId="771" priority="44">
      <formula>E26&gt;G26</formula>
    </cfRule>
  </conditionalFormatting>
  <conditionalFormatting sqref="E36:E41">
    <cfRule type="expression" dxfId="770" priority="43">
      <formula>E36&gt;G36</formula>
    </cfRule>
  </conditionalFormatting>
  <conditionalFormatting sqref="E46:E51">
    <cfRule type="expression" dxfId="769" priority="42">
      <formula>E46&gt;G46</formula>
    </cfRule>
  </conditionalFormatting>
  <conditionalFormatting sqref="G16:G21">
    <cfRule type="expression" dxfId="768" priority="41">
      <formula>G16&gt;E16</formula>
    </cfRule>
  </conditionalFormatting>
  <conditionalFormatting sqref="G26:G31">
    <cfRule type="expression" dxfId="767" priority="40">
      <formula>G26&gt;E26</formula>
    </cfRule>
  </conditionalFormatting>
  <conditionalFormatting sqref="G36:G41">
    <cfRule type="expression" dxfId="766" priority="39">
      <formula>G36&gt;E36</formula>
    </cfRule>
  </conditionalFormatting>
  <conditionalFormatting sqref="G46:G51">
    <cfRule type="expression" dxfId="765" priority="38">
      <formula>G46&gt;E46</formula>
    </cfRule>
  </conditionalFormatting>
  <conditionalFormatting sqref="D63">
    <cfRule type="expression" dxfId="764" priority="37">
      <formula>D63&gt;H63</formula>
    </cfRule>
  </conditionalFormatting>
  <conditionalFormatting sqref="H63">
    <cfRule type="expression" dxfId="763" priority="36">
      <formula>H63&gt;D63</formula>
    </cfRule>
  </conditionalFormatting>
  <conditionalFormatting sqref="C7:C61 I7:I61">
    <cfRule type="containsText" dxfId="762" priority="35" operator="containsText" text="S DUO">
      <formula>NOT(ISERROR(SEARCH("S DUO",C7)))</formula>
    </cfRule>
  </conditionalFormatting>
  <conditionalFormatting sqref="D22 H22">
    <cfRule type="aboveAverage" dxfId="761" priority="34"/>
  </conditionalFormatting>
  <conditionalFormatting sqref="D23 H23">
    <cfRule type="aboveAverage" dxfId="760" priority="33"/>
  </conditionalFormatting>
  <conditionalFormatting sqref="D32 H32">
    <cfRule type="aboveAverage" dxfId="759" priority="32"/>
  </conditionalFormatting>
  <conditionalFormatting sqref="D33 H33">
    <cfRule type="aboveAverage" dxfId="758" priority="31"/>
  </conditionalFormatting>
  <conditionalFormatting sqref="D42 H42">
    <cfRule type="aboveAverage" dxfId="757" priority="30"/>
  </conditionalFormatting>
  <conditionalFormatting sqref="D43 H43">
    <cfRule type="aboveAverage" dxfId="756" priority="29"/>
  </conditionalFormatting>
  <conditionalFormatting sqref="D52 H52">
    <cfRule type="aboveAverage" dxfId="755" priority="28"/>
  </conditionalFormatting>
  <conditionalFormatting sqref="D53 H53">
    <cfRule type="aboveAverage" dxfId="754" priority="27"/>
  </conditionalFormatting>
  <conditionalFormatting sqref="D62 H62">
    <cfRule type="aboveAverage" dxfId="753" priority="26"/>
  </conditionalFormatting>
  <conditionalFormatting sqref="D63 H63">
    <cfRule type="aboveAverage" dxfId="752" priority="25"/>
  </conditionalFormatting>
  <conditionalFormatting sqref="E13">
    <cfRule type="expression" dxfId="751" priority="24">
      <formula>IF(D13=H13,IF(E13&gt;G13,TRUE))</formula>
    </cfRule>
  </conditionalFormatting>
  <conditionalFormatting sqref="G13">
    <cfRule type="expression" dxfId="750" priority="23">
      <formula>IF(D13=H13,IF(G13&gt;E13,TRUE))</formula>
    </cfRule>
  </conditionalFormatting>
  <conditionalFormatting sqref="E22">
    <cfRule type="expression" dxfId="749" priority="22">
      <formula>IF(D22=H22,IF(E22&gt;G22,TRUE))</formula>
    </cfRule>
  </conditionalFormatting>
  <conditionalFormatting sqref="G22">
    <cfRule type="expression" dxfId="748" priority="21">
      <formula>IF(D22=H22,IF(G22&gt;E22,TRUE))</formula>
    </cfRule>
  </conditionalFormatting>
  <conditionalFormatting sqref="E23">
    <cfRule type="expression" dxfId="747" priority="20">
      <formula>IF(D23=H23,IF(E23&gt;G23,TRUE))</formula>
    </cfRule>
  </conditionalFormatting>
  <conditionalFormatting sqref="G23">
    <cfRule type="expression" dxfId="746" priority="19">
      <formula>IF(D23=H23,IF(G23&gt;E23,TRUE))</formula>
    </cfRule>
  </conditionalFormatting>
  <conditionalFormatting sqref="E32">
    <cfRule type="expression" dxfId="745" priority="18">
      <formula>IF(D32=H32,IF(E32&gt;G32,TRUE))</formula>
    </cfRule>
  </conditionalFormatting>
  <conditionalFormatting sqref="G32">
    <cfRule type="expression" dxfId="744" priority="17">
      <formula>IF(D32=H32,IF(G32&gt;E32,TRUE))</formula>
    </cfRule>
  </conditionalFormatting>
  <conditionalFormatting sqref="E33">
    <cfRule type="expression" dxfId="743" priority="16">
      <formula>IF(D33=H33,IF(E33&gt;G33,TRUE))</formula>
    </cfRule>
  </conditionalFormatting>
  <conditionalFormatting sqref="G33">
    <cfRule type="expression" dxfId="742" priority="15">
      <formula>IF(D33=H33,IF(G33&gt;E33,TRUE))</formula>
    </cfRule>
  </conditionalFormatting>
  <conditionalFormatting sqref="E42">
    <cfRule type="expression" dxfId="741" priority="14">
      <formula>IF(D42=H42,IF(E42&gt;G42,TRUE))</formula>
    </cfRule>
  </conditionalFormatting>
  <conditionalFormatting sqref="G42">
    <cfRule type="expression" dxfId="740" priority="13">
      <formula>IF(D42=H42,IF(G42&gt;E42,TRUE))</formula>
    </cfRule>
  </conditionalFormatting>
  <conditionalFormatting sqref="E43">
    <cfRule type="expression" dxfId="739" priority="12">
      <formula>IF(D43=H43,IF(E43&gt;G43,TRUE))</formula>
    </cfRule>
  </conditionalFormatting>
  <conditionalFormatting sqref="G43">
    <cfRule type="expression" dxfId="738" priority="11">
      <formula>IF(D43=H43,IF(G43&gt;E43,TRUE))</formula>
    </cfRule>
  </conditionalFormatting>
  <conditionalFormatting sqref="E52">
    <cfRule type="expression" dxfId="737" priority="10">
      <formula>IF(D52=H52,IF(E52&gt;G52,TRUE))</formula>
    </cfRule>
  </conditionalFormatting>
  <conditionalFormatting sqref="G52">
    <cfRule type="expression" dxfId="736" priority="9">
      <formula>IF(D52=H52,IF(G52&gt;E52,TRUE))</formula>
    </cfRule>
  </conditionalFormatting>
  <conditionalFormatting sqref="E53">
    <cfRule type="expression" dxfId="735" priority="8">
      <formula>IF(D53=H53,IF(E53&gt;G53,TRUE))</formula>
    </cfRule>
  </conditionalFormatting>
  <conditionalFormatting sqref="G53">
    <cfRule type="expression" dxfId="734" priority="7">
      <formula>IF(D53=H53,IF(G53&gt;E53,TRUE))</formula>
    </cfRule>
  </conditionalFormatting>
  <conditionalFormatting sqref="E62">
    <cfRule type="expression" dxfId="733" priority="6">
      <formula>IF(D62=H62,IF(E62&gt;G62,TRUE))</formula>
    </cfRule>
  </conditionalFormatting>
  <conditionalFormatting sqref="G62">
    <cfRule type="expression" dxfId="732" priority="5">
      <formula>IF(D62=H62,IF(G62&gt;E62,TRUE))</formula>
    </cfRule>
  </conditionalFormatting>
  <conditionalFormatting sqref="E63">
    <cfRule type="expression" dxfId="731" priority="4">
      <formula>IF(D63=H63,IF(E63&gt;G63,TRUE))</formula>
    </cfRule>
  </conditionalFormatting>
  <conditionalFormatting sqref="G63">
    <cfRule type="expression" dxfId="730" priority="3">
      <formula>IF(D63=H63,IF(G63&gt;E63,TRUE))</formula>
    </cfRule>
  </conditionalFormatting>
  <conditionalFormatting sqref="E56:E61">
    <cfRule type="expression" dxfId="729" priority="2">
      <formula>E56&gt;G56</formula>
    </cfRule>
  </conditionalFormatting>
  <pageMargins left="0.39370078740157483" right="0.27559055118110237" top="0.51181102362204722" bottom="0.31496062992125984" header="0.31496062992125984" footer="0"/>
  <pageSetup paperSize="9" fitToHeight="0" orientation="portrait" verticalDpi="0" r:id="rId1"/>
  <headerFooter>
    <oddHeader>&amp;R&amp;9Page &amp;P of &amp;N</oddHeader>
  </headerFooter>
  <rowBreaks count="1" manualBreakCount="1">
    <brk id="33" max="16383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15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3.2851562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7" width="9.140625" style="1"/>
    <col min="18" max="18" width="0" style="1" hidden="1" customWidth="1"/>
    <col min="19" max="19" width="6" style="1" hidden="1" customWidth="1"/>
    <col min="20" max="20" width="16.5703125" style="1" hidden="1" customWidth="1"/>
    <col min="21" max="21" width="6" style="1" hidden="1" customWidth="1"/>
    <col min="22" max="22" width="33.140625" style="1" hidden="1" customWidth="1"/>
    <col min="23" max="23" width="4" style="1" hidden="1" customWidth="1"/>
    <col min="24" max="24" width="17.28515625" style="1" hidden="1" customWidth="1"/>
    <col min="25" max="25" width="3" style="1" hidden="1" customWidth="1"/>
    <col min="26" max="26" width="21.85546875" style="1" hidden="1" customWidth="1"/>
    <col min="27" max="16384" width="9.140625" style="1"/>
  </cols>
  <sheetData>
    <row r="1" spans="1:27" x14ac:dyDescent="0.2">
      <c r="A1" s="753" t="str">
        <f>UPPER((Kalend!E53)&amp;" - "&amp;(Kalend!C53)&amp;" - "&amp;(Kalend!D53))</f>
        <v>V15 - VOKA 2. SISE-KV 15.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Q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"&amp;(Kalend!A53)&amp;" kell "&amp;(Kalend!B53)</f>
        <v>Toimumisaeg: L, 06.04.2019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"&amp;(Kalend!F53)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Q3" s="757"/>
      <c r="R3" s="889" t="s">
        <v>444</v>
      </c>
      <c r="S3" s="760"/>
      <c r="T3" s="760"/>
      <c r="U3" s="760"/>
      <c r="V3" s="760"/>
      <c r="W3" s="760"/>
      <c r="X3" s="760"/>
      <c r="Y3" s="760"/>
      <c r="Z3" s="760"/>
      <c r="AA3" s="757"/>
    </row>
    <row r="4" spans="1:27" x14ac:dyDescent="0.2">
      <c r="A4" s="757" t="str">
        <f>"Korraldaja: "&amp;(Kalend!G53)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61" t="s">
        <v>49</v>
      </c>
      <c r="S4" s="773"/>
      <c r="T4" s="772"/>
      <c r="U4" s="773"/>
      <c r="V4" s="892"/>
      <c r="W4" s="773"/>
      <c r="X4" s="773"/>
      <c r="Y4" s="773"/>
      <c r="Z4" s="773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358</v>
      </c>
      <c r="S5" s="762"/>
      <c r="T5" s="762" t="s">
        <v>359</v>
      </c>
      <c r="U5" s="762"/>
      <c r="V5" s="763" t="s">
        <v>360</v>
      </c>
      <c r="W5" s="762"/>
      <c r="X5" s="762" t="s">
        <v>361</v>
      </c>
      <c r="Y5" s="764"/>
      <c r="Z5" s="762" t="s">
        <v>362</v>
      </c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366</v>
      </c>
      <c r="S6" s="773"/>
      <c r="T6" s="772"/>
      <c r="U6" s="773"/>
      <c r="V6" s="772"/>
      <c r="W6" s="774"/>
      <c r="X6" s="774"/>
      <c r="Y6" s="774"/>
      <c r="Z6" s="774"/>
      <c r="AA6" s="212"/>
    </row>
    <row r="7" spans="1:27" ht="25.5" x14ac:dyDescent="0.2">
      <c r="A7" s="1047">
        <v>1</v>
      </c>
      <c r="B7" s="1049" t="s">
        <v>577</v>
      </c>
      <c r="C7" s="1050"/>
      <c r="D7" s="1051">
        <v>1</v>
      </c>
      <c r="E7" s="1051">
        <v>13</v>
      </c>
      <c r="F7" s="1052"/>
      <c r="G7" s="1052"/>
      <c r="H7" s="1053" t="str">
        <f>(IF(D7-C8&gt;0,1)+IF(E7-C9&gt;0,1)+IF(F7-C10&gt;0,1)+IF(G7-C11&gt;0,1))&amp;"-"&amp;(IF(D7-C8&lt;0,1)+IF(E7-C9&lt;0,1)+IF(F7-C10&lt;0,1)+IF(G7-C11&lt;0,1))</f>
        <v>1-1</v>
      </c>
      <c r="I7" s="1052" t="str">
        <f>IF(AND(B7&lt;&gt;"",M$6=TRUE),A$6&amp;RANK(M7,M$7:M$11,0),"")</f>
        <v>A3</v>
      </c>
      <c r="J7" s="1054">
        <f>VALUE(LEFT(H7,1))</f>
        <v>1</v>
      </c>
      <c r="K7" s="1055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1</v>
      </c>
      <c r="L7" s="1056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-5</v>
      </c>
      <c r="M7" s="1057">
        <f>10000*J7+K7*100+L7</f>
        <v>10095</v>
      </c>
      <c r="N7" s="1048"/>
      <c r="O7" s="803"/>
      <c r="P7" s="212"/>
      <c r="Q7" s="212"/>
      <c r="R7" s="764">
        <f t="shared" ref="R7:R38" si="0">SUM(S7:AB7)</f>
        <v>303</v>
      </c>
      <c r="S7" s="784">
        <f>IFERROR(INDEX(V!$R:$R,MATCH(T7,V!$L:$L,0)),"")</f>
        <v>131</v>
      </c>
      <c r="T7" s="783" t="str">
        <f t="shared" ref="T7:T60" si="1">IFERROR(LEFT($B7,(FIND(",",$B7,1)-1)),"")</f>
        <v>Kenneth Muusikus</v>
      </c>
      <c r="U7" s="784" t="str">
        <f>IFERROR(INDEX(V!$R:$R,MATCH(V7,V!$L:$L,0)),"")</f>
        <v/>
      </c>
      <c r="V7" s="783" t="str">
        <f t="shared" ref="V7:V60" si="2">IFERROR(MID($B7,FIND(", ",$B7)+2,256),"")</f>
        <v>Oskar Sepp, Sandra Laura Nõmmeloo</v>
      </c>
      <c r="W7" s="784">
        <f>IFERROR(INDEX(V!$R:$R,MATCH(X7,V!$L:$L,0)),"")</f>
        <v>158</v>
      </c>
      <c r="X7" s="785" t="str">
        <f t="shared" ref="X7:X60" si="3">IFERROR(MID($B7,FIND("^",SUBSTITUTE($B7,", ","^",1))+2,FIND("^",SUBSTITUTE($B7,", ","^",2))-FIND("^",SUBSTITUTE($B7,", ","^",1))-2),"")</f>
        <v>Oskar Sepp</v>
      </c>
      <c r="Y7" s="784">
        <f>IFERROR(INDEX(V!$R:$R,MATCH(Z7,V!$L:$L,0)),"")</f>
        <v>14</v>
      </c>
      <c r="Z7" s="785" t="str">
        <f t="shared" ref="Z7:Z60" si="4">IFERROR(MID($B7,FIND(", ",$B7,FIND(", ",$B7,FIND(", ",$B7))+1)+2,30000),"")</f>
        <v>Sandra Laura Nõmmeloo</v>
      </c>
      <c r="AA7" s="212"/>
    </row>
    <row r="8" spans="1:27" x14ac:dyDescent="0.2">
      <c r="A8" s="765">
        <v>2</v>
      </c>
      <c r="B8" s="775" t="s">
        <v>578</v>
      </c>
      <c r="C8" s="788">
        <v>13</v>
      </c>
      <c r="D8" s="776"/>
      <c r="E8" s="788">
        <v>10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1-1</v>
      </c>
      <c r="I8" s="778" t="str">
        <f>IF(AND(B8&lt;&gt;"",M$6=TRUE),A$6&amp;RANK(M8,M$7:M$11,0),"")</f>
        <v>A1</v>
      </c>
      <c r="J8" s="821">
        <f t="shared" ref="J8:J11" si="5">VALUE(LEFT(H8,1))</f>
        <v>1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1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9</v>
      </c>
      <c r="M8" s="824">
        <f t="shared" ref="M8:M11" si="6">10000*J8+K8*100+L8</f>
        <v>10109</v>
      </c>
      <c r="N8" s="212"/>
      <c r="O8" s="803"/>
      <c r="P8" s="212"/>
      <c r="Q8" s="212"/>
      <c r="R8" s="764">
        <f t="shared" si="0"/>
        <v>182</v>
      </c>
      <c r="S8" s="784">
        <f>IFERROR(INDEX(V!$R:$R,MATCH(T8,V!$L:$L,0)),"")</f>
        <v>88</v>
      </c>
      <c r="T8" s="783" t="str">
        <f t="shared" si="1"/>
        <v>Enn Tokman</v>
      </c>
      <c r="U8" s="784">
        <f>IFERROR(INDEX(V!$R:$R,MATCH(V8,V!$L:$L,0)),"")</f>
        <v>94</v>
      </c>
      <c r="V8" s="783" t="str">
        <f t="shared" si="2"/>
        <v>Johannes Neiland</v>
      </c>
      <c r="W8" s="784" t="str">
        <f>IFERROR(INDEX(V!$R:$R,MATCH(X8,V!$L:$L,0)),"")</f>
        <v/>
      </c>
      <c r="X8" s="785" t="str">
        <f t="shared" si="3"/>
        <v/>
      </c>
      <c r="Y8" s="78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560</v>
      </c>
      <c r="C9" s="788">
        <v>6</v>
      </c>
      <c r="D9" s="826">
        <v>13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1-1</v>
      </c>
      <c r="I9" s="778" t="str">
        <f>IF(AND(B9&lt;&gt;"",M$6=TRUE),A$6&amp;RANK(M9,M$7:M$11,0),"")</f>
        <v>A2</v>
      </c>
      <c r="J9" s="821">
        <f t="shared" si="5"/>
        <v>1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1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-4</v>
      </c>
      <c r="M9" s="824">
        <f t="shared" si="6"/>
        <v>10096</v>
      </c>
      <c r="N9" s="212"/>
      <c r="O9" s="212"/>
      <c r="P9" s="803"/>
      <c r="Q9" s="212"/>
      <c r="R9" s="764">
        <f t="shared" si="0"/>
        <v>151.5</v>
      </c>
      <c r="S9" s="784">
        <f>IFERROR(INDEX(V!$R:$R,MATCH(T9,V!$L:$L,0)),"")</f>
        <v>28</v>
      </c>
      <c r="T9" s="783" t="str">
        <f t="shared" si="1"/>
        <v>Argo Sepp</v>
      </c>
      <c r="U9" s="784">
        <f>IFERROR(INDEX(V!$R:$R,MATCH(V9,V!$L:$L,0)),"")</f>
        <v>123.5</v>
      </c>
      <c r="V9" s="783" t="str">
        <f t="shared" si="2"/>
        <v>Karla Purgats</v>
      </c>
      <c r="W9" s="784" t="str">
        <f>IFERROR(INDEX(V!$R:$R,MATCH(X9,V!$L:$L,0)),"")</f>
        <v/>
      </c>
      <c r="X9" s="785" t="str">
        <f t="shared" si="3"/>
        <v/>
      </c>
      <c r="Y9" s="784" t="str">
        <f>IFERROR(INDEX(V!$R:$R,MATCH(Z9,V!$L:$L,0)),"")</f>
        <v/>
      </c>
      <c r="Z9" s="785" t="str">
        <f t="shared" si="4"/>
        <v/>
      </c>
      <c r="AA9" s="212"/>
    </row>
    <row r="10" spans="1:27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5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6"/>
        <v>0</v>
      </c>
      <c r="N10" s="212"/>
      <c r="O10" s="212"/>
      <c r="P10" s="212"/>
      <c r="Q10" s="212"/>
      <c r="R10" s="764">
        <f t="shared" si="0"/>
        <v>0</v>
      </c>
      <c r="S10" s="784" t="str">
        <f>IFERROR(INDEX(V!$R:$R,MATCH(T10,V!$L:$L,0)),"")</f>
        <v/>
      </c>
      <c r="T10" s="783" t="str">
        <f t="shared" si="1"/>
        <v/>
      </c>
      <c r="U10" s="784" t="str">
        <f>IFERROR(INDEX(V!$R:$R,MATCH(V10,V!$L:$L,0)),"")</f>
        <v/>
      </c>
      <c r="V10" s="783" t="str">
        <f t="shared" si="2"/>
        <v/>
      </c>
      <c r="W10" s="784" t="str">
        <f>IFERROR(INDEX(V!$R:$R,MATCH(X10,V!$L:$L,0)),"")</f>
        <v/>
      </c>
      <c r="X10" s="785" t="str">
        <f t="shared" si="3"/>
        <v/>
      </c>
      <c r="Y10" s="784" t="str">
        <f>IFERROR(INDEX(V!$R:$R,MATCH(Z10,V!$L:$L,0)),"")</f>
        <v/>
      </c>
      <c r="Z10" s="785" t="str">
        <f t="shared" si="4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5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6"/>
        <v>0</v>
      </c>
      <c r="O11" s="212"/>
      <c r="P11" s="212"/>
      <c r="Q11" s="212"/>
      <c r="R11" s="764">
        <f t="shared" si="0"/>
        <v>0</v>
      </c>
      <c r="S11" s="784" t="str">
        <f>IFERROR(INDEX(V!$R:$R,MATCH(T11,V!$L:$L,0)),"")</f>
        <v/>
      </c>
      <c r="T11" s="783" t="str">
        <f t="shared" si="1"/>
        <v/>
      </c>
      <c r="U11" s="784" t="str">
        <f>IFERROR(INDEX(V!$R:$R,MATCH(V11,V!$L:$L,0)),"")</f>
        <v/>
      </c>
      <c r="V11" s="783" t="str">
        <f t="shared" si="2"/>
        <v/>
      </c>
      <c r="W11" s="784" t="str">
        <f>IFERROR(INDEX(V!$R:$R,MATCH(X11,V!$L:$L,0)),"")</f>
        <v/>
      </c>
      <c r="X11" s="785" t="str">
        <f t="shared" si="3"/>
        <v/>
      </c>
      <c r="Y11" s="78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0"/>
        <v>0</v>
      </c>
      <c r="S12" s="784" t="str">
        <f>IFERROR(INDEX(V!$R:$R,MATCH(T12,V!$L:$L,0)),"")</f>
        <v/>
      </c>
      <c r="T12" s="783" t="str">
        <f t="shared" si="1"/>
        <v/>
      </c>
      <c r="U12" s="784" t="str">
        <f>IFERROR(INDEX(V!$R:$R,MATCH(V12,V!$L:$L,0)),"")</f>
        <v/>
      </c>
      <c r="V12" s="783" t="str">
        <f t="shared" si="2"/>
        <v/>
      </c>
      <c r="W12" s="784" t="str">
        <f>IFERROR(INDEX(V!$R:$R,MATCH(X12,V!$L:$L,0)),"")</f>
        <v/>
      </c>
      <c r="X12" s="785" t="str">
        <f t="shared" si="3"/>
        <v/>
      </c>
      <c r="Y12" s="78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>
        <v>4</v>
      </c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64">
        <f t="shared" si="0"/>
        <v>0</v>
      </c>
      <c r="S13" s="784" t="str">
        <f>IFERROR(INDEX(V!$R:$R,MATCH(T13,V!$L:$L,0)),"")</f>
        <v/>
      </c>
      <c r="T13" s="783" t="str">
        <f t="shared" si="1"/>
        <v/>
      </c>
      <c r="U13" s="784" t="str">
        <f>IFERROR(INDEX(V!$R:$R,MATCH(V13,V!$L:$L,0)),"")</f>
        <v/>
      </c>
      <c r="V13" s="783" t="str">
        <f t="shared" si="2"/>
        <v/>
      </c>
      <c r="W13" s="784" t="str">
        <f>IFERROR(INDEX(V!$R:$R,MATCH(X13,V!$L:$L,0)),"")</f>
        <v/>
      </c>
      <c r="X13" s="785" t="str">
        <f t="shared" si="3"/>
        <v/>
      </c>
      <c r="Y13" s="78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65">
        <v>1</v>
      </c>
      <c r="B14" s="948" t="s">
        <v>579</v>
      </c>
      <c r="C14" s="776"/>
      <c r="D14" s="786">
        <v>13</v>
      </c>
      <c r="E14" s="778">
        <v>13</v>
      </c>
      <c r="F14" s="786">
        <v>9</v>
      </c>
      <c r="G14" s="778"/>
      <c r="H14" s="780" t="str">
        <f>(IF(D14-C15&gt;0,1)+IF(E14-C16&gt;0,1)+IF(F14-C17&gt;0,1)+IF(G14-C18&gt;0,1))&amp;"-"&amp;(IF(D14-C15&lt;0,1)+IF(E14-C16&lt;0,1)+IF(F14-C17&lt;0,1)+IF(G14-C18&lt;0,1))</f>
        <v>2-1</v>
      </c>
      <c r="I14" s="778" t="str">
        <f>IF(AND(B14&lt;&gt;"",M$6=TRUE),A$13&amp;RANK(M14,M$14:M$18,0),"")</f>
        <v>B3</v>
      </c>
      <c r="J14" s="821">
        <f>VALUE(LEFT(H14,1))</f>
        <v>2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1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-2</v>
      </c>
      <c r="M14" s="824">
        <f>10000*J14+K14*100+L14</f>
        <v>20098</v>
      </c>
      <c r="N14" s="950"/>
      <c r="O14" s="771"/>
      <c r="P14" s="770"/>
      <c r="Q14" s="770"/>
      <c r="R14" s="764">
        <f t="shared" si="0"/>
        <v>266.5</v>
      </c>
      <c r="S14" s="784">
        <f>IFERROR(INDEX(V!$R:$R,MATCH(T14,V!$L:$L,0)),"")</f>
        <v>159</v>
      </c>
      <c r="T14" s="783" t="str">
        <f t="shared" si="1"/>
        <v>Jaan Sepp</v>
      </c>
      <c r="U14" s="784">
        <f>IFERROR(INDEX(V!$R:$R,MATCH(V14,V!$L:$L,0)),"")</f>
        <v>107.5</v>
      </c>
      <c r="V14" s="783" t="str">
        <f t="shared" si="2"/>
        <v>Vladimir Ogneštšikov</v>
      </c>
      <c r="W14" s="784" t="str">
        <f>IFERROR(INDEX(V!$R:$R,MATCH(X14,V!$L:$L,0)),"")</f>
        <v/>
      </c>
      <c r="X14" s="785" t="str">
        <f t="shared" si="3"/>
        <v/>
      </c>
      <c r="Y14" s="784" t="str">
        <f>IFERROR(INDEX(V!$R:$R,MATCH(Z14,V!$L:$L,0)),"")</f>
        <v/>
      </c>
      <c r="Z14" s="785" t="str">
        <f t="shared" si="4"/>
        <v/>
      </c>
      <c r="AA14" s="757"/>
    </row>
    <row r="15" spans="1:27" x14ac:dyDescent="0.2">
      <c r="A15" s="765">
        <v>2</v>
      </c>
      <c r="B15" s="940" t="s">
        <v>580</v>
      </c>
      <c r="C15" s="786">
        <v>11</v>
      </c>
      <c r="D15" s="776"/>
      <c r="E15" s="778">
        <v>13</v>
      </c>
      <c r="F15" s="786">
        <v>13</v>
      </c>
      <c r="G15" s="778"/>
      <c r="H15" s="780" t="str">
        <f>(IF(C15-D14&gt;0,1)+IF(E15-D16&gt;0,1)+IF(F15-D17&gt;0,1)+IF(G15-D18&gt;0,1))&amp;"-"&amp;(IF(C15-D14&lt;0,1)+IF(E15-D16&lt;0,1)+IF(F15-D17&lt;0,1)+IF(G15-D18&lt;0,1))</f>
        <v>2-1</v>
      </c>
      <c r="I15" s="778" t="str">
        <f>IF(AND(B15&lt;&gt;"",M$6=TRUE),A$13&amp;RANK(M15,M$14:M$18,0),"")</f>
        <v>B1</v>
      </c>
      <c r="J15" s="821">
        <f t="shared" ref="J15:J18" si="7">VALUE(LEFT(H15,1))</f>
        <v>2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1</v>
      </c>
      <c r="L15" s="823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1</v>
      </c>
      <c r="M15" s="824">
        <f t="shared" ref="M15:M18" si="8">10000*J15+K15*100+L15</f>
        <v>20101</v>
      </c>
      <c r="N15" s="1" t="s">
        <v>269</v>
      </c>
      <c r="O15" s="771"/>
      <c r="P15" s="770"/>
      <c r="Q15" s="770"/>
      <c r="R15" s="764">
        <f t="shared" si="0"/>
        <v>167.5</v>
      </c>
      <c r="S15" s="784">
        <f>IFERROR(INDEX(V!$R:$R,MATCH(T15,V!$L:$L,0)),"")</f>
        <v>61</v>
      </c>
      <c r="T15" s="783" t="str">
        <f t="shared" si="1"/>
        <v>Henri Mitt</v>
      </c>
      <c r="U15" s="784">
        <f>IFERROR(INDEX(V!$R:$R,MATCH(V15,V!$L:$L,0)),"")</f>
        <v>106.5</v>
      </c>
      <c r="V15" s="783" t="str">
        <f t="shared" si="2"/>
        <v>Ülo Piik</v>
      </c>
      <c r="W15" s="784" t="str">
        <f>IFERROR(INDEX(V!$R:$R,MATCH(X15,V!$L:$L,0)),"")</f>
        <v/>
      </c>
      <c r="X15" s="785" t="str">
        <f t="shared" si="3"/>
        <v/>
      </c>
      <c r="Y15" s="784" t="str">
        <f>IFERROR(INDEX(V!$R:$R,MATCH(Z15,V!$L:$L,0)),"")</f>
        <v/>
      </c>
      <c r="Z15" s="785" t="str">
        <f t="shared" si="4"/>
        <v/>
      </c>
      <c r="AA15" s="757"/>
    </row>
    <row r="16" spans="1:27" x14ac:dyDescent="0.2">
      <c r="A16" s="765">
        <v>3</v>
      </c>
      <c r="B16" s="775" t="s">
        <v>402</v>
      </c>
      <c r="C16" s="778">
        <v>10</v>
      </c>
      <c r="D16" s="787">
        <v>1</v>
      </c>
      <c r="E16" s="776"/>
      <c r="F16" s="778">
        <v>9</v>
      </c>
      <c r="G16" s="778"/>
      <c r="H16" s="796" t="str">
        <f>(IF(C16-E14&gt;0,1)+IF(D16-E15&gt;0,1)+IF(F16-E17&gt;0,1)+IF(G16-E18&gt;0,1))&amp;"-"&amp;(IF(C16-E14&lt;0,1)+IF(D16-E15&lt;0,1)+IF(F16-E17&lt;0,1)+IF(G16-E18&lt;0,1))</f>
        <v>0-3</v>
      </c>
      <c r="I16" s="778" t="str">
        <f>IF(AND(B16&lt;&gt;"",M$6=TRUE),A$13&amp;RANK(M16,M$14:M$18,0),"")</f>
        <v>B4</v>
      </c>
      <c r="J16" s="821">
        <f t="shared" si="7"/>
        <v>0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8"/>
        <v>0</v>
      </c>
      <c r="O16" s="770"/>
      <c r="P16" s="770"/>
      <c r="Q16" s="770"/>
      <c r="R16" s="764">
        <f t="shared" si="0"/>
        <v>93</v>
      </c>
      <c r="S16" s="784">
        <f>IFERROR(INDEX(V!$R:$R,MATCH(T16,V!$L:$L,0)),"")</f>
        <v>48</v>
      </c>
      <c r="T16" s="783" t="str">
        <f t="shared" si="1"/>
        <v>Andres Veski</v>
      </c>
      <c r="U16" s="784">
        <f>IFERROR(INDEX(V!$R:$R,MATCH(V16,V!$L:$L,0)),"")</f>
        <v>45</v>
      </c>
      <c r="V16" s="783" t="str">
        <f t="shared" si="2"/>
        <v>Svetlana Veski</v>
      </c>
      <c r="W16" s="784" t="str">
        <f>IFERROR(INDEX(V!$R:$R,MATCH(X16,V!$L:$L,0)),"")</f>
        <v/>
      </c>
      <c r="X16" s="785" t="str">
        <f t="shared" si="3"/>
        <v/>
      </c>
      <c r="Y16" s="784" t="str">
        <f>IFERROR(INDEX(V!$R:$R,MATCH(Z16,V!$L:$L,0)),"")</f>
        <v/>
      </c>
      <c r="Z16" s="785" t="str">
        <f t="shared" si="4"/>
        <v/>
      </c>
      <c r="AA16" s="757"/>
    </row>
    <row r="17" spans="1:27" x14ac:dyDescent="0.2">
      <c r="A17" s="765">
        <v>4</v>
      </c>
      <c r="B17" s="792" t="s">
        <v>581</v>
      </c>
      <c r="C17" s="786">
        <v>13</v>
      </c>
      <c r="D17" s="966">
        <v>10</v>
      </c>
      <c r="E17" s="778">
        <v>13</v>
      </c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2-1</v>
      </c>
      <c r="I17" s="926" t="s">
        <v>415</v>
      </c>
      <c r="J17" s="821">
        <f t="shared" si="7"/>
        <v>2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1</v>
      </c>
      <c r="L17" s="823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1</v>
      </c>
      <c r="M17" s="824">
        <f t="shared" si="8"/>
        <v>20101</v>
      </c>
      <c r="N17" s="1" t="s">
        <v>268</v>
      </c>
      <c r="O17" s="770"/>
      <c r="P17" s="757"/>
      <c r="Q17" s="770"/>
      <c r="R17" s="764">
        <f t="shared" si="0"/>
        <v>24</v>
      </c>
      <c r="S17" s="784">
        <f>IFERROR(INDEX(V!$R:$R,MATCH(T17,V!$L:$L,0)),"")</f>
        <v>12</v>
      </c>
      <c r="T17" s="783" t="str">
        <f t="shared" si="1"/>
        <v>Mihkel Palk</v>
      </c>
      <c r="U17" s="784">
        <f>IFERROR(INDEX(V!$R:$R,MATCH(V17,V!$L:$L,0)),"")</f>
        <v>12</v>
      </c>
      <c r="V17" s="783" t="str">
        <f t="shared" si="2"/>
        <v>Uku Kollom</v>
      </c>
      <c r="W17" s="784" t="str">
        <f>IFERROR(INDEX(V!$R:$R,MATCH(X17,V!$L:$L,0)),"")</f>
        <v/>
      </c>
      <c r="X17" s="785" t="str">
        <f t="shared" si="3"/>
        <v/>
      </c>
      <c r="Y17" s="784" t="str">
        <f>IFERROR(INDEX(V!$R:$R,MATCH(Z17,V!$L:$L,0)),"")</f>
        <v/>
      </c>
      <c r="Z17" s="785" t="str">
        <f t="shared" si="4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IF(AND(B18&lt;&gt;"",M$6=TRUE),A$13&amp;RANK(M18,M$14:M$18,0),"")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0"/>
        <v>0</v>
      </c>
      <c r="S18" s="784" t="str">
        <f>IFERROR(INDEX(V!$R:$R,MATCH(T18,V!$L:$L,0)),"")</f>
        <v/>
      </c>
      <c r="T18" s="783" t="str">
        <f t="shared" si="1"/>
        <v/>
      </c>
      <c r="U18" s="784" t="str">
        <f>IFERROR(INDEX(V!$R:$R,MATCH(V18,V!$L:$L,0)),"")</f>
        <v/>
      </c>
      <c r="V18" s="783" t="str">
        <f t="shared" si="2"/>
        <v/>
      </c>
      <c r="W18" s="784" t="str">
        <f>IFERROR(INDEX(V!$R:$R,MATCH(X18,V!$L:$L,0)),"")</f>
        <v/>
      </c>
      <c r="X18" s="785" t="str">
        <f t="shared" si="3"/>
        <v/>
      </c>
      <c r="Y18" s="784" t="str">
        <f>IFERROR(INDEX(V!$R:$R,MATCH(Z18,V!$L:$L,0)),"")</f>
        <v/>
      </c>
      <c r="Z18" s="785" t="str">
        <f t="shared" si="4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0"/>
        <v>0</v>
      </c>
      <c r="S19" s="784" t="str">
        <f>IFERROR(INDEX(V!$R:$R,MATCH(T19,V!$L:$L,0)),"")</f>
        <v/>
      </c>
      <c r="T19" s="783" t="str">
        <f t="shared" si="1"/>
        <v/>
      </c>
      <c r="U19" s="784" t="str">
        <f>IFERROR(INDEX(V!$R:$R,MATCH(V19,V!$L:$L,0)),"")</f>
        <v/>
      </c>
      <c r="V19" s="783" t="str">
        <f t="shared" si="2"/>
        <v/>
      </c>
      <c r="W19" s="784" t="str">
        <f>IFERROR(INDEX(V!$R:$R,MATCH(X19,V!$L:$L,0)),"")</f>
        <v/>
      </c>
      <c r="X19" s="785" t="str">
        <f t="shared" si="3"/>
        <v/>
      </c>
      <c r="Y19" s="784" t="str">
        <f>IFERROR(INDEX(V!$R:$R,MATCH(Z19,V!$L:$L,0)),"")</f>
        <v/>
      </c>
      <c r="Z19" s="785" t="str">
        <f t="shared" si="4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0"/>
        <v>0</v>
      </c>
      <c r="S20" s="784" t="str">
        <f>IFERROR(INDEX(V!$R:$R,MATCH(T20,V!$L:$L,0)),"")</f>
        <v/>
      </c>
      <c r="T20" s="783" t="str">
        <f t="shared" si="1"/>
        <v/>
      </c>
      <c r="U20" s="784" t="str">
        <f>IFERROR(INDEX(V!$R:$R,MATCH(V20,V!$L:$L,0)),"")</f>
        <v/>
      </c>
      <c r="V20" s="783" t="str">
        <f t="shared" si="2"/>
        <v/>
      </c>
      <c r="W20" s="784" t="str">
        <f>IFERROR(INDEX(V!$R:$R,MATCH(X20,V!$L:$L,0)),"")</f>
        <v/>
      </c>
      <c r="X20" s="785" t="str">
        <f t="shared" si="3"/>
        <v/>
      </c>
      <c r="Y20" s="784" t="str">
        <f>IFERROR(INDEX(V!$R:$R,MATCH(Z20,V!$L:$L,0)),"")</f>
        <v/>
      </c>
      <c r="Z20" s="785" t="str">
        <f t="shared" si="4"/>
        <v/>
      </c>
      <c r="AA20" s="755"/>
    </row>
    <row r="21" spans="1:27" x14ac:dyDescent="0.2">
      <c r="A21" s="765">
        <v>1</v>
      </c>
      <c r="B21" s="940" t="s">
        <v>370</v>
      </c>
      <c r="C21" s="776"/>
      <c r="D21" s="786">
        <v>13</v>
      </c>
      <c r="E21" s="778">
        <v>8</v>
      </c>
      <c r="F21" s="778">
        <v>13</v>
      </c>
      <c r="G21" s="778"/>
      <c r="H21" s="796" t="str">
        <f>(IF(D21-C22&gt;0,1)+IF(E21-C23&gt;0,1)+IF(F21-C24&gt;0,1)+IF(G21-C25&gt;0,1))&amp;"-"&amp;(IF(D21-C22&lt;0,1)+IF(E21-C23&lt;0,1)+IF(F21-C24&lt;0,1)+IF(G21-C25&lt;0,1))</f>
        <v>2-1</v>
      </c>
      <c r="I21" s="778" t="str">
        <f>IF(AND(B21&lt;&gt;"",M$20=TRUE),A$20&amp;RANK(M21,M$21:M$25,0),"")</f>
        <v>C1</v>
      </c>
      <c r="J21" s="821">
        <f>VALUE(LEFT(H21,1))</f>
        <v>2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1</v>
      </c>
      <c r="L21" s="98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3</v>
      </c>
      <c r="M21" s="824">
        <f>10000*J21+K21*100+L21</f>
        <v>20103</v>
      </c>
      <c r="O21" s="771"/>
      <c r="P21" s="770"/>
      <c r="Q21" s="770"/>
      <c r="R21" s="764">
        <f t="shared" si="0"/>
        <v>240</v>
      </c>
      <c r="S21" s="784">
        <f>IFERROR(INDEX(V!$R:$R,MATCH(T21,V!$L:$L,0)),"")</f>
        <v>117</v>
      </c>
      <c r="T21" s="783" t="str">
        <f t="shared" si="1"/>
        <v>Elmo Lageda</v>
      </c>
      <c r="U21" s="784">
        <f>IFERROR(INDEX(V!$R:$R,MATCH(V21,V!$L:$L,0)),"")</f>
        <v>123</v>
      </c>
      <c r="V21" s="783" t="str">
        <f t="shared" si="2"/>
        <v>Tõnu Piik</v>
      </c>
      <c r="W21" s="784" t="str">
        <f>IFERROR(INDEX(V!$R:$R,MATCH(X21,V!$L:$L,0)),"")</f>
        <v/>
      </c>
      <c r="X21" s="785" t="str">
        <f t="shared" si="3"/>
        <v/>
      </c>
      <c r="Y21" s="784" t="str">
        <f>IFERROR(INDEX(V!$R:$R,MATCH(Z21,V!$L:$L,0)),"")</f>
        <v/>
      </c>
      <c r="Z21" s="785" t="str">
        <f t="shared" si="4"/>
        <v/>
      </c>
      <c r="AA21" s="757"/>
    </row>
    <row r="22" spans="1:27" x14ac:dyDescent="0.2">
      <c r="A22" s="765">
        <v>2</v>
      </c>
      <c r="B22" s="775" t="s">
        <v>582</v>
      </c>
      <c r="C22" s="786">
        <v>10</v>
      </c>
      <c r="D22" s="776"/>
      <c r="E22" s="778">
        <v>13</v>
      </c>
      <c r="F22" s="778">
        <v>13</v>
      </c>
      <c r="G22" s="778"/>
      <c r="H22" s="796" t="str">
        <f>(IF(C22-D21&gt;0,1)+IF(E22-D23&gt;0,1)+IF(F22-D24&gt;0,1)+IF(G22-D25&gt;0,1))&amp;"-"&amp;(IF(C22-D21&lt;0,1)+IF(E22-D23&lt;0,1)+IF(F22-D24&lt;0,1)+IF(G22-D25&lt;0,1))</f>
        <v>2-1</v>
      </c>
      <c r="I22" s="778" t="str">
        <f>IF(AND(B22&lt;&gt;"",M$20=TRUE),A$20&amp;RANK(M22,M$21:M$25,0),"")</f>
        <v>C2</v>
      </c>
      <c r="J22" s="821">
        <f t="shared" ref="J22:J25" si="9">VALUE(LEFT(H22,1))</f>
        <v>2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98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-3</v>
      </c>
      <c r="M22" s="824">
        <f t="shared" ref="M22:M25" si="10">10000*J22+K22*100+L22</f>
        <v>19997</v>
      </c>
      <c r="O22" s="770"/>
      <c r="P22" s="770"/>
      <c r="Q22" s="770"/>
      <c r="R22" s="764">
        <f t="shared" si="0"/>
        <v>189.5</v>
      </c>
      <c r="S22" s="784">
        <f>IFERROR(INDEX(V!$R:$R,MATCH(T22,V!$L:$L,0)),"")</f>
        <v>92</v>
      </c>
      <c r="T22" s="783" t="str">
        <f t="shared" si="1"/>
        <v>Jaan Saar</v>
      </c>
      <c r="U22" s="784">
        <f>IFERROR(INDEX(V!$R:$R,MATCH(V22,V!$L:$L,0)),"")</f>
        <v>97.5</v>
      </c>
      <c r="V22" s="783" t="str">
        <f t="shared" si="2"/>
        <v>Klavdia Piik</v>
      </c>
      <c r="W22" s="784" t="str">
        <f>IFERROR(INDEX(V!$R:$R,MATCH(X22,V!$L:$L,0)),"")</f>
        <v/>
      </c>
      <c r="X22" s="785" t="str">
        <f t="shared" si="3"/>
        <v/>
      </c>
      <c r="Y22" s="784" t="str">
        <f>IFERROR(INDEX(V!$R:$R,MATCH(Z22,V!$L:$L,0)),"")</f>
        <v/>
      </c>
      <c r="Z22" s="785" t="str">
        <f t="shared" si="4"/>
        <v/>
      </c>
      <c r="AA22" s="757"/>
    </row>
    <row r="23" spans="1:27" x14ac:dyDescent="0.2">
      <c r="A23" s="765">
        <v>3</v>
      </c>
      <c r="B23" s="775" t="s">
        <v>460</v>
      </c>
      <c r="C23" s="778">
        <v>13</v>
      </c>
      <c r="D23" s="787">
        <v>8</v>
      </c>
      <c r="E23" s="776"/>
      <c r="F23" s="788">
        <v>3</v>
      </c>
      <c r="G23" s="778"/>
      <c r="H23" s="796" t="str">
        <f>(IF(C23-E21&gt;0,1)+IF(D23-E22&gt;0,1)+IF(F23-E24&gt;0,1)+IF(G23-E25&gt;0,1))&amp;"-"&amp;(IF(C23-E21&lt;0,1)+IF(D23-E22&lt;0,1)+IF(F23-E24&lt;0,1)+IF(G23-E25&lt;0,1))</f>
        <v>1-2</v>
      </c>
      <c r="I23" s="778" t="str">
        <f>IF(AND(B23&lt;&gt;"",M$20=TRUE),A$20&amp;RANK(M23,M$21:M$25,0),"")</f>
        <v>C4</v>
      </c>
      <c r="J23" s="821">
        <f t="shared" si="9"/>
        <v>1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98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-10</v>
      </c>
      <c r="M23" s="824">
        <f t="shared" si="10"/>
        <v>9990</v>
      </c>
      <c r="O23" s="770"/>
      <c r="P23" s="770"/>
      <c r="Q23" s="770"/>
      <c r="R23" s="764">
        <f t="shared" si="0"/>
        <v>93</v>
      </c>
      <c r="S23" s="784">
        <f>IFERROR(INDEX(V!$R:$R,MATCH(T23,V!$L:$L,0)),"")</f>
        <v>46.5</v>
      </c>
      <c r="T23" s="783" t="str">
        <f t="shared" si="1"/>
        <v>Ljudmila Varendi</v>
      </c>
      <c r="U23" s="784">
        <f>IFERROR(INDEX(V!$R:$R,MATCH(V23,V!$L:$L,0)),"")</f>
        <v>46.5</v>
      </c>
      <c r="V23" s="783" t="str">
        <f t="shared" si="2"/>
        <v>Viktor Švarõgin</v>
      </c>
      <c r="W23" s="784" t="str">
        <f>IFERROR(INDEX(V!$R:$R,MATCH(X23,V!$L:$L,0)),"")</f>
        <v/>
      </c>
      <c r="X23" s="785" t="str">
        <f t="shared" si="3"/>
        <v/>
      </c>
      <c r="Y23" s="784" t="str">
        <f>IFERROR(INDEX(V!$R:$R,MATCH(Z23,V!$L:$L,0)),"")</f>
        <v/>
      </c>
      <c r="Z23" s="785" t="str">
        <f t="shared" si="4"/>
        <v/>
      </c>
      <c r="AA23" s="757"/>
    </row>
    <row r="24" spans="1:27" x14ac:dyDescent="0.2">
      <c r="A24" s="765">
        <v>4</v>
      </c>
      <c r="B24" s="775" t="s">
        <v>583</v>
      </c>
      <c r="C24" s="778">
        <v>10</v>
      </c>
      <c r="D24" s="787">
        <v>2</v>
      </c>
      <c r="E24" s="788">
        <v>13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1-2</v>
      </c>
      <c r="I24" s="778" t="str">
        <f>IF(AND(B24&lt;&gt;"",M$20=TRUE),A$20&amp;RANK(M24,M$21:M$25,0),"")</f>
        <v>C3</v>
      </c>
      <c r="J24" s="821">
        <f t="shared" si="9"/>
        <v>1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1</v>
      </c>
      <c r="L24" s="98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10</v>
      </c>
      <c r="M24" s="824">
        <f t="shared" si="10"/>
        <v>10110</v>
      </c>
      <c r="O24" s="771"/>
      <c r="P24" s="770"/>
      <c r="Q24" s="770"/>
      <c r="R24" s="764">
        <f t="shared" si="0"/>
        <v>14</v>
      </c>
      <c r="S24" s="784">
        <f>IFERROR(INDEX(V!$R:$R,MATCH(T24,V!$L:$L,0)),"")</f>
        <v>7</v>
      </c>
      <c r="T24" s="783" t="str">
        <f t="shared" si="1"/>
        <v>Kevin Sten Liik</v>
      </c>
      <c r="U24" s="784">
        <f>IFERROR(INDEX(V!$R:$R,MATCH(V24,V!$L:$L,0)),"")</f>
        <v>7</v>
      </c>
      <c r="V24" s="783" t="str">
        <f t="shared" si="2"/>
        <v>Silver Kingissepp</v>
      </c>
      <c r="W24" s="784" t="str">
        <f>IFERROR(INDEX(V!$R:$R,MATCH(X24,V!$L:$L,0)),"")</f>
        <v/>
      </c>
      <c r="X24" s="785" t="str">
        <f t="shared" si="3"/>
        <v/>
      </c>
      <c r="Y24" s="784" t="str">
        <f>IFERROR(INDEX(V!$R:$R,MATCH(Z24,V!$L:$L,0)),"")</f>
        <v/>
      </c>
      <c r="Z24" s="785" t="str">
        <f t="shared" si="4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0"/>
        <v>0</v>
      </c>
      <c r="S25" s="784" t="str">
        <f>IFERROR(INDEX(V!$R:$R,MATCH(T25,V!$L:$L,0)),"")</f>
        <v/>
      </c>
      <c r="T25" s="783" t="str">
        <f t="shared" si="1"/>
        <v/>
      </c>
      <c r="U25" s="784" t="str">
        <f>IFERROR(INDEX(V!$R:$R,MATCH(V25,V!$L:$L,0)),"")</f>
        <v/>
      </c>
      <c r="V25" s="783" t="str">
        <f t="shared" si="2"/>
        <v/>
      </c>
      <c r="W25" s="784" t="str">
        <f>IFERROR(INDEX(V!$R:$R,MATCH(X25,V!$L:$L,0)),"")</f>
        <v/>
      </c>
      <c r="X25" s="785" t="str">
        <f t="shared" si="3"/>
        <v/>
      </c>
      <c r="Y25" s="784" t="str">
        <f>IFERROR(INDEX(V!$R:$R,MATCH(Z25,V!$L:$L,0)),"")</f>
        <v/>
      </c>
      <c r="Z25" s="785" t="str">
        <f t="shared" si="4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0"/>
        <v>0</v>
      </c>
      <c r="S26" s="784" t="str">
        <f>IFERROR(INDEX(V!$R:$R,MATCH(T26,V!$L:$L,0)),"")</f>
        <v/>
      </c>
      <c r="T26" s="783" t="str">
        <f t="shared" si="1"/>
        <v/>
      </c>
      <c r="U26" s="784" t="str">
        <f>IFERROR(INDEX(V!$R:$R,MATCH(V26,V!$L:$L,0)),"")</f>
        <v/>
      </c>
      <c r="V26" s="783" t="str">
        <f t="shared" si="2"/>
        <v/>
      </c>
      <c r="W26" s="784" t="str">
        <f>IFERROR(INDEX(V!$R:$R,MATCH(X26,V!$L:$L,0)),"")</f>
        <v/>
      </c>
      <c r="X26" s="785" t="str">
        <f t="shared" si="3"/>
        <v/>
      </c>
      <c r="Y26" s="784" t="str">
        <f>IFERROR(INDEX(V!$R:$R,MATCH(Z26,V!$L:$L,0)),"")</f>
        <v/>
      </c>
      <c r="Z26" s="785" t="str">
        <f t="shared" si="4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/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0"/>
        <v>0</v>
      </c>
      <c r="S27" s="784" t="str">
        <f>IFERROR(INDEX(V!$R:$R,MATCH(T27,V!$L:$L,0)),"")</f>
        <v/>
      </c>
      <c r="T27" s="783" t="str">
        <f t="shared" si="1"/>
        <v/>
      </c>
      <c r="U27" s="784" t="str">
        <f>IFERROR(INDEX(V!$R:$R,MATCH(V27,V!$L:$L,0)),"")</f>
        <v/>
      </c>
      <c r="V27" s="783" t="str">
        <f t="shared" si="2"/>
        <v/>
      </c>
      <c r="W27" s="784" t="str">
        <f>IFERROR(INDEX(V!$R:$R,MATCH(X27,V!$L:$L,0)),"")</f>
        <v/>
      </c>
      <c r="X27" s="785" t="str">
        <f t="shared" si="3"/>
        <v/>
      </c>
      <c r="Y27" s="784" t="str">
        <f>IFERROR(INDEX(V!$R:$R,MATCH(Z27,V!$L:$L,0)),"")</f>
        <v/>
      </c>
      <c r="Z27" s="785" t="str">
        <f t="shared" si="4"/>
        <v/>
      </c>
      <c r="AA27" s="760"/>
    </row>
    <row r="28" spans="1:27" x14ac:dyDescent="0.2">
      <c r="A28" s="765">
        <v>1</v>
      </c>
      <c r="B28" s="820" t="s">
        <v>584</v>
      </c>
      <c r="C28" s="776"/>
      <c r="D28" s="778">
        <v>13</v>
      </c>
      <c r="E28" s="778">
        <v>13</v>
      </c>
      <c r="F28" s="778"/>
      <c r="G28" s="778"/>
      <c r="H28" s="796" t="str">
        <f>(IF(D28-C29&gt;0,1)+IF(E28-C30&gt;0,1)+IF(F28-C31&gt;0,1)+IF(G28-C32&gt;0,1))&amp;"-"&amp;(IF(D28-C29&lt;0,1)+IF(E28-C30&lt;0,1)+IF(F28-C31&lt;0,1)+IF(G28-C32&lt;0,1))</f>
        <v>2-0</v>
      </c>
      <c r="I28" s="778" t="str">
        <f>IF(AND(B28&lt;&gt;"",M$27=TRUE),A$27&amp;RANK(M28,M$28:M$32,0),"")</f>
        <v>D1</v>
      </c>
      <c r="J28" s="821">
        <f>VALUE(LEFT(H28,1))</f>
        <v>2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20000</v>
      </c>
      <c r="O28" s="212"/>
      <c r="P28" s="212"/>
      <c r="Q28" s="212"/>
      <c r="R28" s="764">
        <f t="shared" si="0"/>
        <v>245</v>
      </c>
      <c r="S28" s="784">
        <f>IFERROR(INDEX(V!$R:$R,MATCH(T28,V!$L:$L,0)),"")</f>
        <v>120</v>
      </c>
      <c r="T28" s="783" t="str">
        <f t="shared" si="1"/>
        <v>Ivar Viljaste</v>
      </c>
      <c r="U28" s="784">
        <f>IFERROR(INDEX(V!$R:$R,MATCH(V28,V!$L:$L,0)),"")</f>
        <v>125</v>
      </c>
      <c r="V28" s="783" t="str">
        <f t="shared" si="2"/>
        <v>Meelis Luud</v>
      </c>
      <c r="W28" s="784" t="str">
        <f>IFERROR(INDEX(V!$R:$R,MATCH(X28,V!$L:$L,0)),"")</f>
        <v/>
      </c>
      <c r="X28" s="785" t="str">
        <f t="shared" si="3"/>
        <v/>
      </c>
      <c r="Y28" s="784" t="str">
        <f>IFERROR(INDEX(V!$R:$R,MATCH(Z28,V!$L:$L,0)),"")</f>
        <v/>
      </c>
      <c r="Z28" s="785" t="str">
        <f t="shared" si="4"/>
        <v/>
      </c>
      <c r="AA28" s="760"/>
    </row>
    <row r="29" spans="1:27" x14ac:dyDescent="0.2">
      <c r="A29" s="765">
        <v>2</v>
      </c>
      <c r="B29" s="775" t="s">
        <v>459</v>
      </c>
      <c r="C29" s="778">
        <v>7</v>
      </c>
      <c r="D29" s="776"/>
      <c r="E29" s="778">
        <v>13</v>
      </c>
      <c r="F29" s="778"/>
      <c r="G29" s="778"/>
      <c r="H29" s="796" t="str">
        <f>(IF(C29-D28&gt;0,1)+IF(E29-D30&gt;0,1)+IF(F29-D31&gt;0,1)+IF(G29-D32&gt;0,1))&amp;"-"&amp;(IF(C29-D28&lt;0,1)+IF(E29-D30&lt;0,1)+IF(F29-D31&lt;0,1)+IF(G29-D32&lt;0,1))</f>
        <v>1-1</v>
      </c>
      <c r="I29" s="778" t="str">
        <f>IF(AND(B29&lt;&gt;"",M$27=TRUE),A$27&amp;RANK(M29,M$28:M$32,0),"")</f>
        <v>D2</v>
      </c>
      <c r="J29" s="821">
        <f t="shared" ref="J29:J32" si="11">VALUE(LEFT(H29,1))</f>
        <v>1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10000</v>
      </c>
      <c r="O29" s="212"/>
      <c r="P29" s="212"/>
      <c r="Q29" s="212"/>
      <c r="R29" s="764">
        <f t="shared" si="0"/>
        <v>215.5</v>
      </c>
      <c r="S29" s="784">
        <f>IFERROR(INDEX(V!$R:$R,MATCH(T29,V!$L:$L,0)),"")</f>
        <v>105.5</v>
      </c>
      <c r="T29" s="783" t="str">
        <f t="shared" si="1"/>
        <v>Mait Metsla</v>
      </c>
      <c r="U29" s="784">
        <f>IFERROR(INDEX(V!$R:$R,MATCH(V29,V!$L:$L,0)),"")</f>
        <v>110</v>
      </c>
      <c r="V29" s="783" t="str">
        <f t="shared" si="2"/>
        <v>Matti Vinni</v>
      </c>
      <c r="W29" s="784" t="str">
        <f>IFERROR(INDEX(V!$R:$R,MATCH(X29,V!$L:$L,0)),"")</f>
        <v/>
      </c>
      <c r="X29" s="785" t="str">
        <f t="shared" si="3"/>
        <v/>
      </c>
      <c r="Y29" s="784" t="str">
        <f>IFERROR(INDEX(V!$R:$R,MATCH(Z29,V!$L:$L,0)),"")</f>
        <v/>
      </c>
      <c r="Z29" s="785" t="str">
        <f t="shared" si="4"/>
        <v/>
      </c>
      <c r="AA29" s="760"/>
    </row>
    <row r="30" spans="1:27" x14ac:dyDescent="0.2">
      <c r="A30" s="765">
        <v>3</v>
      </c>
      <c r="B30" s="775" t="s">
        <v>585</v>
      </c>
      <c r="C30" s="778">
        <v>8</v>
      </c>
      <c r="D30" s="787">
        <v>4</v>
      </c>
      <c r="E30" s="776"/>
      <c r="F30" s="778"/>
      <c r="G30" s="778"/>
      <c r="H30" s="796" t="str">
        <f>(IF(C30-E28&gt;0,1)+IF(D30-E29&gt;0,1)+IF(F30-E31&gt;0,1)+IF(G30-E32&gt;0,1))&amp;"-"&amp;(IF(C30-E28&lt;0,1)+IF(D30-E29&lt;0,1)+IF(F30-E31&lt;0,1)+IF(G30-E32&lt;0,1))</f>
        <v>0-2</v>
      </c>
      <c r="I30" s="778" t="str">
        <f>IF(AND(B30&lt;&gt;"",M$27=TRUE),A$27&amp;RANK(M30,M$28:M$32,0),"")</f>
        <v>D3</v>
      </c>
      <c r="J30" s="821">
        <f t="shared" si="11"/>
        <v>0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0</v>
      </c>
      <c r="O30" s="212"/>
      <c r="P30" s="212"/>
      <c r="Q30" s="212"/>
      <c r="R30" s="764">
        <f t="shared" si="0"/>
        <v>37</v>
      </c>
      <c r="S30" s="784">
        <f>IFERROR(INDEX(V!$R:$R,MATCH(T30,V!$L:$L,0)),"")</f>
        <v>22</v>
      </c>
      <c r="T30" s="783" t="str">
        <f t="shared" si="1"/>
        <v>Kaspar Mänd</v>
      </c>
      <c r="U30" s="784">
        <f>IFERROR(INDEX(V!$R:$R,MATCH(V30,V!$L:$L,0)),"")</f>
        <v>15</v>
      </c>
      <c r="V30" s="783" t="str">
        <f t="shared" si="2"/>
        <v>Veroonika Mendes</v>
      </c>
      <c r="W30" s="784" t="str">
        <f>IFERROR(INDEX(V!$R:$R,MATCH(X30,V!$L:$L,0)),"")</f>
        <v/>
      </c>
      <c r="X30" s="785" t="str">
        <f t="shared" si="3"/>
        <v/>
      </c>
      <c r="Y30" s="784" t="str">
        <f>IFERROR(INDEX(V!$R:$R,MATCH(Z30,V!$L:$L,0)),"")</f>
        <v/>
      </c>
      <c r="Z30" s="785" t="str">
        <f t="shared" si="4"/>
        <v/>
      </c>
      <c r="AA30" s="760"/>
    </row>
    <row r="31" spans="1:27" hidden="1" x14ac:dyDescent="0.2">
      <c r="A31" s="765">
        <v>4</v>
      </c>
      <c r="B31" s="792"/>
      <c r="C31" s="778"/>
      <c r="D31" s="787"/>
      <c r="E31" s="778"/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0-0</v>
      </c>
      <c r="I31" s="778" t="str">
        <f>IF(AND(B31&lt;&gt;"",M$27=TRUE),A$27&amp;RANK(M31,M$28:M$32,0),"")</f>
        <v/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803"/>
      <c r="P31" s="212"/>
      <c r="Q31" s="212"/>
      <c r="R31" s="764">
        <f t="shared" si="0"/>
        <v>0</v>
      </c>
      <c r="S31" s="784" t="str">
        <f>IFERROR(INDEX(V!$R:$R,MATCH(T31,V!$L:$L,0)),"")</f>
        <v/>
      </c>
      <c r="T31" s="783" t="str">
        <f t="shared" si="1"/>
        <v/>
      </c>
      <c r="U31" s="784" t="str">
        <f>IFERROR(INDEX(V!$R:$R,MATCH(V31,V!$L:$L,0)),"")</f>
        <v/>
      </c>
      <c r="V31" s="783" t="str">
        <f t="shared" si="2"/>
        <v/>
      </c>
      <c r="W31" s="784" t="str">
        <f>IFERROR(INDEX(V!$R:$R,MATCH(X31,V!$L:$L,0)),"")</f>
        <v/>
      </c>
      <c r="X31" s="785" t="str">
        <f t="shared" si="3"/>
        <v/>
      </c>
      <c r="Y31" s="784" t="str">
        <f>IFERROR(INDEX(V!$R:$R,MATCH(Z31,V!$L:$L,0)),"")</f>
        <v/>
      </c>
      <c r="Z31" s="785" t="str">
        <f t="shared" si="4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0"/>
        <v>0</v>
      </c>
      <c r="S32" s="784" t="str">
        <f>IFERROR(INDEX(V!$R:$R,MATCH(T32,V!$L:$L,0)),"")</f>
        <v/>
      </c>
      <c r="T32" s="783" t="str">
        <f t="shared" si="1"/>
        <v/>
      </c>
      <c r="U32" s="784" t="str">
        <f>IFERROR(INDEX(V!$R:$R,MATCH(V32,V!$L:$L,0)),"")</f>
        <v/>
      </c>
      <c r="V32" s="783" t="str">
        <f t="shared" si="2"/>
        <v/>
      </c>
      <c r="W32" s="784" t="str">
        <f>IFERROR(INDEX(V!$R:$R,MATCH(X32,V!$L:$L,0)),"")</f>
        <v/>
      </c>
      <c r="X32" s="785" t="str">
        <f t="shared" si="3"/>
        <v/>
      </c>
      <c r="Y32" s="784" t="str">
        <f>IFERROR(INDEX(V!$R:$R,MATCH(Z32,V!$L:$L,0)),"")</f>
        <v/>
      </c>
      <c r="Z32" s="785" t="str">
        <f t="shared" si="4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0"/>
        <v>0</v>
      </c>
      <c r="S33" s="784" t="str">
        <f>IFERROR(INDEX(V!$R:$R,MATCH(T33,V!$L:$L,0)),"")</f>
        <v/>
      </c>
      <c r="T33" s="783" t="str">
        <f t="shared" si="1"/>
        <v/>
      </c>
      <c r="U33" s="784" t="str">
        <f>IFERROR(INDEX(V!$R:$R,MATCH(V33,V!$L:$L,0)),"")</f>
        <v/>
      </c>
      <c r="V33" s="783" t="str">
        <f t="shared" si="2"/>
        <v/>
      </c>
      <c r="W33" s="784" t="str">
        <f>IFERROR(INDEX(V!$R:$R,MATCH(X33,V!$L:$L,0)),"")</f>
        <v/>
      </c>
      <c r="X33" s="785" t="str">
        <f t="shared" si="3"/>
        <v/>
      </c>
      <c r="Y33" s="784" t="str">
        <f>IFERROR(INDEX(V!$R:$R,MATCH(Z33,V!$L:$L,0)),"")</f>
        <v/>
      </c>
      <c r="Z33" s="785" t="str">
        <f t="shared" si="4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0"/>
        <v>0</v>
      </c>
      <c r="S34" s="784" t="str">
        <f>IFERROR(INDEX(V!$R:$R,MATCH(T34,V!$L:$L,0)),"")</f>
        <v/>
      </c>
      <c r="T34" s="783" t="str">
        <f t="shared" si="1"/>
        <v/>
      </c>
      <c r="U34" s="784" t="str">
        <f>IFERROR(INDEX(V!$R:$R,MATCH(V34,V!$L:$L,0)),"")</f>
        <v/>
      </c>
      <c r="V34" s="783" t="str">
        <f t="shared" si="2"/>
        <v/>
      </c>
      <c r="W34" s="784" t="str">
        <f>IFERROR(INDEX(V!$R:$R,MATCH(X34,V!$L:$L,0)),"")</f>
        <v/>
      </c>
      <c r="X34" s="785" t="str">
        <f t="shared" si="3"/>
        <v/>
      </c>
      <c r="Y34" s="784" t="str">
        <f>IFERROR(INDEX(V!$R:$R,MATCH(Z34,V!$L:$L,0)),"")</f>
        <v/>
      </c>
      <c r="Z34" s="785" t="str">
        <f t="shared" si="4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0"/>
        <v>0</v>
      </c>
      <c r="S35" s="784" t="str">
        <f>IFERROR(INDEX(V!$R:$R,MATCH(T35,V!$L:$L,0)),"")</f>
        <v/>
      </c>
      <c r="T35" s="783" t="str">
        <f t="shared" si="1"/>
        <v/>
      </c>
      <c r="U35" s="784" t="str">
        <f>IFERROR(INDEX(V!$R:$R,MATCH(V35,V!$L:$L,0)),"")</f>
        <v/>
      </c>
      <c r="V35" s="783" t="str">
        <f t="shared" si="2"/>
        <v/>
      </c>
      <c r="W35" s="784" t="str">
        <f>IFERROR(INDEX(V!$R:$R,MATCH(X35,V!$L:$L,0)),"")</f>
        <v/>
      </c>
      <c r="X35" s="785" t="str">
        <f t="shared" si="3"/>
        <v/>
      </c>
      <c r="Y35" s="784" t="str">
        <f>IFERROR(INDEX(V!$R:$R,MATCH(Z35,V!$L:$L,0)),"")</f>
        <v/>
      </c>
      <c r="Z35" s="785" t="str">
        <f t="shared" si="4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0"/>
        <v>0</v>
      </c>
      <c r="S36" s="784" t="str">
        <f>IFERROR(INDEX(V!$R:$R,MATCH(T36,V!$L:$L,0)),"")</f>
        <v/>
      </c>
      <c r="T36" s="783" t="str">
        <f t="shared" si="1"/>
        <v/>
      </c>
      <c r="U36" s="784" t="str">
        <f>IFERROR(INDEX(V!$R:$R,MATCH(V36,V!$L:$L,0)),"")</f>
        <v/>
      </c>
      <c r="V36" s="783" t="str">
        <f t="shared" si="2"/>
        <v/>
      </c>
      <c r="W36" s="784" t="str">
        <f>IFERROR(INDEX(V!$R:$R,MATCH(X36,V!$L:$L,0)),"")</f>
        <v/>
      </c>
      <c r="X36" s="785" t="str">
        <f t="shared" si="3"/>
        <v/>
      </c>
      <c r="Y36" s="784" t="str">
        <f>IFERROR(INDEX(V!$R:$R,MATCH(Z36,V!$L:$L,0)),"")</f>
        <v/>
      </c>
      <c r="Z36" s="785" t="str">
        <f t="shared" si="4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0"/>
        <v>0</v>
      </c>
      <c r="S37" s="784" t="str">
        <f>IFERROR(INDEX(V!$R:$R,MATCH(T37,V!$L:$L,0)),"")</f>
        <v/>
      </c>
      <c r="T37" s="783" t="str">
        <f t="shared" si="1"/>
        <v/>
      </c>
      <c r="U37" s="784" t="str">
        <f>IFERROR(INDEX(V!$R:$R,MATCH(V37,V!$L:$L,0)),"")</f>
        <v/>
      </c>
      <c r="V37" s="783" t="str">
        <f t="shared" si="2"/>
        <v/>
      </c>
      <c r="W37" s="784" t="str">
        <f>IFERROR(INDEX(V!$R:$R,MATCH(X37,V!$L:$L,0)),"")</f>
        <v/>
      </c>
      <c r="X37" s="785" t="str">
        <f t="shared" si="3"/>
        <v/>
      </c>
      <c r="Y37" s="784" t="str">
        <f>IFERROR(INDEX(V!$R:$R,MATCH(Z37,V!$L:$L,0)),"")</f>
        <v/>
      </c>
      <c r="Z37" s="785" t="str">
        <f t="shared" si="4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0"/>
        <v>0</v>
      </c>
      <c r="S38" s="784" t="str">
        <f>IFERROR(INDEX(V!$R:$R,MATCH(T38,V!$L:$L,0)),"")</f>
        <v/>
      </c>
      <c r="T38" s="783" t="str">
        <f t="shared" si="1"/>
        <v/>
      </c>
      <c r="U38" s="784" t="str">
        <f>IFERROR(INDEX(V!$R:$R,MATCH(V38,V!$L:$L,0)),"")</f>
        <v/>
      </c>
      <c r="V38" s="783" t="str">
        <f t="shared" si="2"/>
        <v/>
      </c>
      <c r="W38" s="784" t="str">
        <f>IFERROR(INDEX(V!$R:$R,MATCH(X38,V!$L:$L,0)),"")</f>
        <v/>
      </c>
      <c r="X38" s="785" t="str">
        <f t="shared" si="3"/>
        <v/>
      </c>
      <c r="Y38" s="784" t="str">
        <f>IFERROR(INDEX(V!$R:$R,MATCH(Z38,V!$L:$L,0)),"")</f>
        <v/>
      </c>
      <c r="Z38" s="785" t="str">
        <f t="shared" si="4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ref="R39:R60" si="15">SUM(S39:AB39)</f>
        <v>0</v>
      </c>
      <c r="S39" s="784" t="str">
        <f>IFERROR(INDEX(V!$R:$R,MATCH(T39,V!$L:$L,0)),"")</f>
        <v/>
      </c>
      <c r="T39" s="783" t="str">
        <f t="shared" si="1"/>
        <v/>
      </c>
      <c r="U39" s="784" t="str">
        <f>IFERROR(INDEX(V!$R:$R,MATCH(V39,V!$L:$L,0)),"")</f>
        <v/>
      </c>
      <c r="V39" s="783" t="str">
        <f t="shared" si="2"/>
        <v/>
      </c>
      <c r="W39" s="784" t="str">
        <f>IFERROR(INDEX(V!$R:$R,MATCH(X39,V!$L:$L,0)),"")</f>
        <v/>
      </c>
      <c r="X39" s="785" t="str">
        <f t="shared" si="3"/>
        <v/>
      </c>
      <c r="Y39" s="784" t="str">
        <f>IFERROR(INDEX(V!$R:$R,MATCH(Z39,V!$L:$L,0)),"")</f>
        <v/>
      </c>
      <c r="Z39" s="785" t="str">
        <f t="shared" si="4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si="15"/>
        <v>0</v>
      </c>
      <c r="S40" s="784" t="str">
        <f>IFERROR(INDEX(V!$R:$R,MATCH(T40,V!$L:$L,0)),"")</f>
        <v/>
      </c>
      <c r="T40" s="783" t="str">
        <f t="shared" si="1"/>
        <v/>
      </c>
      <c r="U40" s="784" t="str">
        <f>IFERROR(INDEX(V!$R:$R,MATCH(V40,V!$L:$L,0)),"")</f>
        <v/>
      </c>
      <c r="V40" s="783" t="str">
        <f t="shared" si="2"/>
        <v/>
      </c>
      <c r="W40" s="784" t="str">
        <f>IFERROR(INDEX(V!$R:$R,MATCH(X40,V!$L:$L,0)),"")</f>
        <v/>
      </c>
      <c r="X40" s="785" t="str">
        <f t="shared" si="3"/>
        <v/>
      </c>
      <c r="Y40" s="784" t="str">
        <f>IFERROR(INDEX(V!$R:$R,MATCH(Z40,V!$L:$L,0)),"")</f>
        <v/>
      </c>
      <c r="Z40" s="785" t="str">
        <f t="shared" si="4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1"/>
        <v/>
      </c>
      <c r="U41" s="784" t="str">
        <f>IFERROR(INDEX(V!$R:$R,MATCH(V41,V!$L:$L,0)),"")</f>
        <v/>
      </c>
      <c r="V41" s="783" t="str">
        <f t="shared" si="2"/>
        <v/>
      </c>
      <c r="W41" s="784" t="str">
        <f>IFERROR(INDEX(V!$R:$R,MATCH(X41,V!$L:$L,0)),"")</f>
        <v/>
      </c>
      <c r="X41" s="785" t="str">
        <f t="shared" si="3"/>
        <v/>
      </c>
      <c r="Y41" s="784" t="str">
        <f>IFERROR(INDEX(V!$R:$R,MATCH(Z41,V!$L:$L,0)),"")</f>
        <v/>
      </c>
      <c r="Z41" s="785" t="str">
        <f t="shared" si="4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1"/>
        <v/>
      </c>
      <c r="U42" s="784" t="str">
        <f>IFERROR(INDEX(V!$R:$R,MATCH(V42,V!$L:$L,0)),"")</f>
        <v/>
      </c>
      <c r="V42" s="783" t="str">
        <f t="shared" si="2"/>
        <v/>
      </c>
      <c r="W42" s="784" t="str">
        <f>IFERROR(INDEX(V!$R:$R,MATCH(X42,V!$L:$L,0)),"")</f>
        <v/>
      </c>
      <c r="X42" s="785" t="str">
        <f t="shared" si="3"/>
        <v/>
      </c>
      <c r="Y42" s="784" t="str">
        <f>IFERROR(INDEX(V!$R:$R,MATCH(Z42,V!$L:$L,0)),"")</f>
        <v/>
      </c>
      <c r="Z42" s="785" t="str">
        <f t="shared" si="4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1"/>
        <v/>
      </c>
      <c r="U43" s="784" t="str">
        <f>IFERROR(INDEX(V!$R:$R,MATCH(V43,V!$L:$L,0)),"")</f>
        <v/>
      </c>
      <c r="V43" s="783" t="str">
        <f t="shared" si="2"/>
        <v/>
      </c>
      <c r="W43" s="784" t="str">
        <f>IFERROR(INDEX(V!$R:$R,MATCH(X43,V!$L:$L,0)),"")</f>
        <v/>
      </c>
      <c r="X43" s="785" t="str">
        <f t="shared" si="3"/>
        <v/>
      </c>
      <c r="Y43" s="784" t="str">
        <f>IFERROR(INDEX(V!$R:$R,MATCH(Z43,V!$L:$L,0)),"")</f>
        <v/>
      </c>
      <c r="Z43" s="785" t="str">
        <f t="shared" si="4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1"/>
        <v/>
      </c>
      <c r="U44" s="784" t="str">
        <f>IFERROR(INDEX(V!$R:$R,MATCH(V44,V!$L:$L,0)),"")</f>
        <v/>
      </c>
      <c r="V44" s="783" t="str">
        <f t="shared" si="2"/>
        <v/>
      </c>
      <c r="W44" s="784" t="str">
        <f>IFERROR(INDEX(V!$R:$R,MATCH(X44,V!$L:$L,0)),"")</f>
        <v/>
      </c>
      <c r="X44" s="785" t="str">
        <f t="shared" si="3"/>
        <v/>
      </c>
      <c r="Y44" s="784" t="str">
        <f>IFERROR(INDEX(V!$R:$R,MATCH(Z44,V!$L:$L,0)),"")</f>
        <v/>
      </c>
      <c r="Z44" s="785" t="str">
        <f t="shared" si="4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1"/>
        <v/>
      </c>
      <c r="U45" s="784" t="str">
        <f>IFERROR(INDEX(V!$R:$R,MATCH(V45,V!$L:$L,0)),"")</f>
        <v/>
      </c>
      <c r="V45" s="783" t="str">
        <f t="shared" si="2"/>
        <v/>
      </c>
      <c r="W45" s="784" t="str">
        <f>IFERROR(INDEX(V!$R:$R,MATCH(X45,V!$L:$L,0)),"")</f>
        <v/>
      </c>
      <c r="X45" s="785" t="str">
        <f t="shared" si="3"/>
        <v/>
      </c>
      <c r="Y45" s="784" t="str">
        <f>IFERROR(INDEX(V!$R:$R,MATCH(Z45,V!$L:$L,0)),"")</f>
        <v/>
      </c>
      <c r="Z45" s="785" t="str">
        <f t="shared" si="4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1"/>
        <v/>
      </c>
      <c r="U46" s="784" t="str">
        <f>IFERROR(INDEX(V!$R:$R,MATCH(V46,V!$L:$L,0)),"")</f>
        <v/>
      </c>
      <c r="V46" s="783" t="str">
        <f t="shared" si="2"/>
        <v/>
      </c>
      <c r="W46" s="784" t="str">
        <f>IFERROR(INDEX(V!$R:$R,MATCH(X46,V!$L:$L,0)),"")</f>
        <v/>
      </c>
      <c r="X46" s="785" t="str">
        <f t="shared" si="3"/>
        <v/>
      </c>
      <c r="Y46" s="784" t="str">
        <f>IFERROR(INDEX(V!$R:$R,MATCH(Z46,V!$L:$L,0)),"")</f>
        <v/>
      </c>
      <c r="Z46" s="785" t="str">
        <f t="shared" si="4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1"/>
        <v/>
      </c>
      <c r="U47" s="784" t="str">
        <f>IFERROR(INDEX(V!$R:$R,MATCH(V47,V!$L:$L,0)),"")</f>
        <v/>
      </c>
      <c r="V47" s="783" t="str">
        <f t="shared" si="2"/>
        <v/>
      </c>
      <c r="W47" s="784" t="str">
        <f>IFERROR(INDEX(V!$R:$R,MATCH(X47,V!$L:$L,0)),"")</f>
        <v/>
      </c>
      <c r="X47" s="785" t="str">
        <f t="shared" si="3"/>
        <v/>
      </c>
      <c r="Y47" s="784" t="str">
        <f>IFERROR(INDEX(V!$R:$R,MATCH(Z47,V!$L:$L,0)),"")</f>
        <v/>
      </c>
      <c r="Z47" s="785" t="str">
        <f t="shared" si="4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1"/>
        <v/>
      </c>
      <c r="U48" s="784" t="str">
        <f>IFERROR(INDEX(V!$R:$R,MATCH(V48,V!$L:$L,0)),"")</f>
        <v/>
      </c>
      <c r="V48" s="783" t="str">
        <f t="shared" si="2"/>
        <v/>
      </c>
      <c r="W48" s="784" t="str">
        <f>IFERROR(INDEX(V!$R:$R,MATCH(X48,V!$L:$L,0)),"")</f>
        <v/>
      </c>
      <c r="X48" s="785" t="str">
        <f t="shared" si="3"/>
        <v/>
      </c>
      <c r="Y48" s="784" t="str">
        <f>IFERROR(INDEX(V!$R:$R,MATCH(Z48,V!$L:$L,0)),"")</f>
        <v/>
      </c>
      <c r="Z48" s="785" t="str">
        <f t="shared" si="4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1"/>
        <v/>
      </c>
      <c r="U49" s="784" t="str">
        <f>IFERROR(INDEX(V!$R:$R,MATCH(V49,V!$L:$L,0)),"")</f>
        <v/>
      </c>
      <c r="V49" s="783" t="str">
        <f t="shared" si="2"/>
        <v/>
      </c>
      <c r="W49" s="784" t="str">
        <f>IFERROR(INDEX(V!$R:$R,MATCH(X49,V!$L:$L,0)),"")</f>
        <v/>
      </c>
      <c r="X49" s="785" t="str">
        <f t="shared" si="3"/>
        <v/>
      </c>
      <c r="Y49" s="784" t="str">
        <f>IFERROR(INDEX(V!$R:$R,MATCH(Z49,V!$L:$L,0)),"")</f>
        <v/>
      </c>
      <c r="Z49" s="785" t="str">
        <f t="shared" si="4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1"/>
        <v/>
      </c>
      <c r="U50" s="784" t="str">
        <f>IFERROR(INDEX(V!$R:$R,MATCH(V50,V!$L:$L,0)),"")</f>
        <v/>
      </c>
      <c r="V50" s="783" t="str">
        <f t="shared" si="2"/>
        <v/>
      </c>
      <c r="W50" s="784" t="str">
        <f>IFERROR(INDEX(V!$R:$R,MATCH(X50,V!$L:$L,0)),"")</f>
        <v/>
      </c>
      <c r="X50" s="785" t="str">
        <f t="shared" si="3"/>
        <v/>
      </c>
      <c r="Y50" s="784" t="str">
        <f>IFERROR(INDEX(V!$R:$R,MATCH(Z50,V!$L:$L,0)),"")</f>
        <v/>
      </c>
      <c r="Z50" s="785" t="str">
        <f t="shared" si="4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1"/>
        <v/>
      </c>
      <c r="U51" s="784" t="str">
        <f>IFERROR(INDEX(V!$R:$R,MATCH(V51,V!$L:$L,0)),"")</f>
        <v/>
      </c>
      <c r="V51" s="783" t="str">
        <f t="shared" si="2"/>
        <v/>
      </c>
      <c r="W51" s="784" t="str">
        <f>IFERROR(INDEX(V!$R:$R,MATCH(X51,V!$L:$L,0)),"")</f>
        <v/>
      </c>
      <c r="X51" s="785" t="str">
        <f t="shared" si="3"/>
        <v/>
      </c>
      <c r="Y51" s="784" t="str">
        <f>IFERROR(INDEX(V!$R:$R,MATCH(Z51,V!$L:$L,0)),"")</f>
        <v/>
      </c>
      <c r="Z51" s="785" t="str">
        <f t="shared" si="4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1"/>
        <v/>
      </c>
      <c r="U52" s="784" t="str">
        <f>IFERROR(INDEX(V!$R:$R,MATCH(V52,V!$L:$L,0)),"")</f>
        <v/>
      </c>
      <c r="V52" s="783" t="str">
        <f t="shared" si="2"/>
        <v/>
      </c>
      <c r="W52" s="784" t="str">
        <f>IFERROR(INDEX(V!$R:$R,MATCH(X52,V!$L:$L,0)),"")</f>
        <v/>
      </c>
      <c r="X52" s="785" t="str">
        <f t="shared" si="3"/>
        <v/>
      </c>
      <c r="Y52" s="784" t="str">
        <f>IFERROR(INDEX(V!$R:$R,MATCH(Z52,V!$L:$L,0)),"")</f>
        <v/>
      </c>
      <c r="Z52" s="785" t="str">
        <f t="shared" si="4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1"/>
        <v/>
      </c>
      <c r="U53" s="784" t="str">
        <f>IFERROR(INDEX(V!$R:$R,MATCH(V53,V!$L:$L,0)),"")</f>
        <v/>
      </c>
      <c r="V53" s="783" t="str">
        <f t="shared" si="2"/>
        <v/>
      </c>
      <c r="W53" s="784" t="str">
        <f>IFERROR(INDEX(V!$R:$R,MATCH(X53,V!$L:$L,0)),"")</f>
        <v/>
      </c>
      <c r="X53" s="785" t="str">
        <f t="shared" si="3"/>
        <v/>
      </c>
      <c r="Y53" s="784" t="str">
        <f>IFERROR(INDEX(V!$R:$R,MATCH(Z53,V!$L:$L,0)),"")</f>
        <v/>
      </c>
      <c r="Z53" s="785" t="str">
        <f t="shared" si="4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1"/>
        <v/>
      </c>
      <c r="U54" s="784" t="str">
        <f>IFERROR(INDEX(V!$R:$R,MATCH(V54,V!$L:$L,0)),"")</f>
        <v/>
      </c>
      <c r="V54" s="783" t="str">
        <f t="shared" si="2"/>
        <v/>
      </c>
      <c r="W54" s="784" t="str">
        <f>IFERROR(INDEX(V!$R:$R,MATCH(X54,V!$L:$L,0)),"")</f>
        <v/>
      </c>
      <c r="X54" s="785" t="str">
        <f t="shared" si="3"/>
        <v/>
      </c>
      <c r="Y54" s="784" t="str">
        <f>IFERROR(INDEX(V!$R:$R,MATCH(Z54,V!$L:$L,0)),"")</f>
        <v/>
      </c>
      <c r="Z54" s="785" t="str">
        <f t="shared" si="4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1"/>
        <v/>
      </c>
      <c r="U55" s="784" t="str">
        <f>IFERROR(INDEX(V!$R:$R,MATCH(V55,V!$L:$L,0)),"")</f>
        <v/>
      </c>
      <c r="V55" s="783" t="str">
        <f t="shared" si="2"/>
        <v/>
      </c>
      <c r="W55" s="784" t="str">
        <f>IFERROR(INDEX(V!$R:$R,MATCH(X55,V!$L:$L,0)),"")</f>
        <v/>
      </c>
      <c r="X55" s="785" t="str">
        <f t="shared" si="3"/>
        <v/>
      </c>
      <c r="Y55" s="784" t="str">
        <f>IFERROR(INDEX(V!$R:$R,MATCH(Z55,V!$L:$L,0)),"")</f>
        <v/>
      </c>
      <c r="Z55" s="785" t="str">
        <f t="shared" si="4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1"/>
        <v/>
      </c>
      <c r="U56" s="784" t="str">
        <f>IFERROR(INDEX(V!$R:$R,MATCH(V56,V!$L:$L,0)),"")</f>
        <v/>
      </c>
      <c r="V56" s="783" t="str">
        <f t="shared" si="2"/>
        <v/>
      </c>
      <c r="W56" s="784" t="str">
        <f>IFERROR(INDEX(V!$R:$R,MATCH(X56,V!$L:$L,0)),"")</f>
        <v/>
      </c>
      <c r="X56" s="785" t="str">
        <f t="shared" si="3"/>
        <v/>
      </c>
      <c r="Y56" s="784" t="str">
        <f>IFERROR(INDEX(V!$R:$R,MATCH(Z56,V!$L:$L,0)),"")</f>
        <v/>
      </c>
      <c r="Z56" s="785" t="str">
        <f t="shared" si="4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1"/>
        <v/>
      </c>
      <c r="U57" s="784" t="str">
        <f>IFERROR(INDEX(V!$R:$R,MATCH(V57,V!$L:$L,0)),"")</f>
        <v/>
      </c>
      <c r="V57" s="783" t="str">
        <f t="shared" si="2"/>
        <v/>
      </c>
      <c r="W57" s="784" t="str">
        <f>IFERROR(INDEX(V!$R:$R,MATCH(X57,V!$L:$L,0)),"")</f>
        <v/>
      </c>
      <c r="X57" s="785" t="str">
        <f t="shared" si="3"/>
        <v/>
      </c>
      <c r="Y57" s="784" t="str">
        <f>IFERROR(INDEX(V!$R:$R,MATCH(Z57,V!$L:$L,0)),"")</f>
        <v/>
      </c>
      <c r="Z57" s="785" t="str">
        <f t="shared" si="4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1"/>
        <v/>
      </c>
      <c r="U58" s="784" t="str">
        <f>IFERROR(INDEX(V!$R:$R,MATCH(V58,V!$L:$L,0)),"")</f>
        <v/>
      </c>
      <c r="V58" s="783" t="str">
        <f t="shared" si="2"/>
        <v/>
      </c>
      <c r="W58" s="784" t="str">
        <f>IFERROR(INDEX(V!$R:$R,MATCH(X58,V!$L:$L,0)),"")</f>
        <v/>
      </c>
      <c r="X58" s="785" t="str">
        <f t="shared" si="3"/>
        <v/>
      </c>
      <c r="Y58" s="784" t="str">
        <f>IFERROR(INDEX(V!$R:$R,MATCH(Z58,V!$L:$L,0)),"")</f>
        <v/>
      </c>
      <c r="Z58" s="785" t="str">
        <f t="shared" si="4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1"/>
        <v/>
      </c>
      <c r="U59" s="784" t="str">
        <f>IFERROR(INDEX(V!$R:$R,MATCH(V59,V!$L:$L,0)),"")</f>
        <v/>
      </c>
      <c r="V59" s="783" t="str">
        <f t="shared" si="2"/>
        <v/>
      </c>
      <c r="W59" s="784" t="str">
        <f>IFERROR(INDEX(V!$R:$R,MATCH(X59,V!$L:$L,0)),"")</f>
        <v/>
      </c>
      <c r="X59" s="785" t="str">
        <f t="shared" si="3"/>
        <v/>
      </c>
      <c r="Y59" s="784" t="str">
        <f>IFERROR(INDEX(V!$R:$R,MATCH(Z59,V!$L:$L,0)),"")</f>
        <v/>
      </c>
      <c r="Z59" s="785" t="str">
        <f t="shared" si="4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1"/>
        <v/>
      </c>
      <c r="U60" s="784" t="str">
        <f>IFERROR(INDEX(V!$R:$R,MATCH(V60,V!$L:$L,0)),"")</f>
        <v/>
      </c>
      <c r="V60" s="783" t="str">
        <f t="shared" si="2"/>
        <v/>
      </c>
      <c r="W60" s="784" t="str">
        <f>IFERROR(INDEX(V!$R:$R,MATCH(X60,V!$L:$L,0)),"")</f>
        <v/>
      </c>
      <c r="X60" s="785" t="str">
        <f t="shared" si="3"/>
        <v/>
      </c>
      <c r="Y60" s="784" t="str">
        <f>IFERROR(INDEX(V!$R:$R,MATCH(Z60,V!$L:$L,0)),"")</f>
        <v/>
      </c>
      <c r="Z60" s="785" t="str">
        <f t="shared" si="4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Enn Tokman, Johannes Neiland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Enn Tokman, Johannes Neiland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Mait Metsla, Matti Vinni</v>
      </c>
      <c r="C104" s="856">
        <v>3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Enn Tokman, Johannes Neiland</v>
      </c>
      <c r="F105" s="755"/>
      <c r="G105" s="851">
        <v>13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Henri Mitt, Ülo Piik</v>
      </c>
      <c r="C106" s="851">
        <v>10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Jaan Saar, Klavdia Piik</v>
      </c>
      <c r="D107" s="860"/>
      <c r="E107" s="851">
        <v>6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Jaan Saar, Klavdia Piik</v>
      </c>
      <c r="C108" s="856">
        <v>13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951" t="str">
        <f>IF(COUNT(G105,G113)=2,IF(G105&gt;G113,E105,E113),"")</f>
        <v>Enn Tokman, Johannes Neiland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414</v>
      </c>
      <c r="B110" s="850" t="str">
        <f>IF(A110="-","-",IFERROR(INDEX(B$1:B$100,MATCH(A110,I$1:I$100,0)),""))</f>
        <v>Elmo Lageda, Tõnu Piik</v>
      </c>
      <c r="C110" s="851">
        <v>2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Mihkel Palk, Uku Kollom</v>
      </c>
      <c r="D111" s="755"/>
      <c r="E111" s="851">
        <v>8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415</v>
      </c>
      <c r="B112" s="855" t="str">
        <f>IF(A112="-","-",IFERROR(INDEX(B$1:B$100,MATCH(A112,I$1:I$100,0)),""))</f>
        <v>Mihkel Palk, Uku Kollom</v>
      </c>
      <c r="C112" s="856">
        <v>13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Argo Sepp, Karla Purgats</v>
      </c>
      <c r="F113" s="860"/>
      <c r="G113" s="851">
        <v>8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417</v>
      </c>
      <c r="B114" s="850" t="str">
        <f>IF(A114="-","-",IFERROR(INDEX(B$1:B$100,MATCH(A114,I$1:I$100,0)),""))</f>
        <v>Ivar Viljaste, Meelis Luud</v>
      </c>
      <c r="C114" s="851">
        <v>9</v>
      </c>
      <c r="D114" s="858"/>
      <c r="E114" s="859"/>
      <c r="F114" s="807"/>
      <c r="G114" s="807"/>
      <c r="H114" s="951" t="str">
        <f>IF(COUNT(G105,G113)=2,IF(G105&lt;G113,E105,E113),"")</f>
        <v>Argo Sepp, Karla Purgats</v>
      </c>
      <c r="I114" s="938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Argo Sepp, Karla Purgats</v>
      </c>
      <c r="D115" s="860"/>
      <c r="E115" s="962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416</v>
      </c>
      <c r="B116" s="855" t="str">
        <f>IF(A116="-","-",IFERROR(INDEX(B$1:B$100,MATCH(A116,I$1:I$100,0)),""))</f>
        <v>Argo Sepp, Karla Purgats</v>
      </c>
      <c r="C116" s="856">
        <v>13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Jaan Saar, Klavdia Piik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64"/>
      <c r="H118" s="951" t="str">
        <f>IF(COUNT(G117,G119)=2,IF(G117&gt;G119,E117,E119),"")</f>
        <v>Jaan Saar, Klavdia Piik</v>
      </c>
      <c r="I118" s="938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Mihkel Palk, Uku Kollom</v>
      </c>
      <c r="F119" s="860"/>
      <c r="G119" s="856">
        <v>6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951" t="str">
        <f>IF(COUNT(G117,G119)=2,IF(G117&lt;G119,E117,E119),"")</f>
        <v>Mihkel Palk, Uku Kollom</v>
      </c>
      <c r="I121" s="938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Mait Metsla, Matti Vinni</v>
      </c>
      <c r="D123" s="755"/>
      <c r="E123" s="851">
        <v>11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Henri Mitt, Ülo Piik</v>
      </c>
      <c r="F124" s="755"/>
      <c r="G124" s="851">
        <v>11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Henri Mitt, Ülo Piik</v>
      </c>
      <c r="D125" s="868"/>
      <c r="E125" s="856">
        <v>13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951" t="str">
        <f>IF(COUNT(G124,G128)=2,IF(G124&gt;G128,E124,E128),"")</f>
        <v>Ivar Viljaste, Meelis Luud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Elmo Lageda, Tõnu Piik</v>
      </c>
      <c r="D127" s="851"/>
      <c r="E127" s="851">
        <v>8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Ivar Viljaste, Meelis Luud</v>
      </c>
      <c r="F128" s="860"/>
      <c r="G128" s="856">
        <v>13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Ivar Viljaste, Meelis Luud</v>
      </c>
      <c r="D129" s="868"/>
      <c r="E129" s="856">
        <v>13</v>
      </c>
      <c r="F129" s="851"/>
      <c r="G129" s="869"/>
      <c r="H129" s="951" t="str">
        <f>IF(COUNT(G124,G128)=2,IF(G124&lt;G128,E124,E128),"")</f>
        <v>Henri Mitt, Ülo Piik</v>
      </c>
      <c r="I129" s="938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Mait Metsla, Matti Vinni</v>
      </c>
      <c r="F131" s="755"/>
      <c r="G131" s="851">
        <v>13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938"/>
      <c r="H132" s="951" t="str">
        <f>IF(COUNT(G131,G133)=2,IF(G131&gt;G133,E131,E133),"")</f>
        <v>Mait Metsla, Matti Vinni</v>
      </c>
      <c r="I132" s="938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Elmo Lageda, Tõnu Piik</v>
      </c>
      <c r="F133" s="860"/>
      <c r="G133" s="856">
        <v>1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938" t="str">
        <f>IF(COUNT(G131,G133)=2,IF(G131&lt;G133,E131,E133),"")</f>
        <v>Elmo Lageda, Tõnu Piik</v>
      </c>
      <c r="I135" s="938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Kenneth Muusikus, Oskar Sepp, Sandra Laura Nõmmeloo</v>
      </c>
      <c r="C140" s="851">
        <v>13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Kenneth Muusikus, Oskar Sepp, Sandra Laura Nõmmeloo</v>
      </c>
      <c r="D141" s="755"/>
      <c r="E141" s="851">
        <v>4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429</v>
      </c>
      <c r="B142" s="855" t="str">
        <f>IF(A142="-","-",IFERROR(INDEX(B$1:B$100,MATCH(A142,I$1:I$100,0)),""))</f>
        <v>Andres Veski, Svetlana Veski</v>
      </c>
      <c r="C142" s="856">
        <v>11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Kevin Sten Liik, Silver Kingissepp</v>
      </c>
      <c r="F143" s="755"/>
      <c r="G143" s="962">
        <v>13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425</v>
      </c>
      <c r="B144" s="855" t="str">
        <f>IF(A144="-","-",IFERROR(INDEX(B$1:B$100,MATCH(A144,I$1:I$100,0)),""))</f>
        <v>Kevin Sten Liik, Silver Kingissepp</v>
      </c>
      <c r="C144" s="851">
        <f>IF(B144="-",0,IF(B146="-",13,""))</f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Kevin Sten Liik, Silver Kingissepp</v>
      </c>
      <c r="D145" s="860"/>
      <c r="E145" s="851">
        <v>13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424</v>
      </c>
      <c r="B146" s="855" t="str">
        <f>IF(A146="-","-",IFERROR(INDEX(B$1:B$100,MATCH(A146,I$1:I$100,0)),""))</f>
        <v>-</v>
      </c>
      <c r="C146" s="856">
        <f>IF(B146="-",0,IF(B144="-",13,""))</f>
        <v>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951" t="str">
        <f>IF(COUNT(G143,G151)=2,IF(G143&gt;G151,E143,E151),"")</f>
        <v>Kevin Sten Liik, Silver Kingissepp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423</v>
      </c>
      <c r="B148" s="850" t="str">
        <f>IF(A148="-","-",IFERROR(INDEX(B$1:B$100,MATCH(A148,I$1:I$100,0)),""))</f>
        <v>Jaan Sepp, Vladimir Ogneštšikov</v>
      </c>
      <c r="C148" s="851">
        <f>IF(B148="-",0,IF(B150="-",13,""))</f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Jaan Sepp, Vladimir Ogneštšikov</v>
      </c>
      <c r="D149" s="755"/>
      <c r="E149" s="851">
        <v>2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424</v>
      </c>
      <c r="B150" s="855" t="str">
        <f>IF(A150="-","-",IFERROR(INDEX(B$1:B$100,MATCH(A150,I$1:I$100,0)),""))</f>
        <v>-</v>
      </c>
      <c r="C150" s="856">
        <f>IF(B150="-",0,IF(B148="-",13,""))</f>
        <v>0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Ljudmila Varendi, Viktor Švarõgin</v>
      </c>
      <c r="F151" s="860"/>
      <c r="G151" s="851">
        <v>8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427</v>
      </c>
      <c r="B152" s="850" t="str">
        <f>IF(A152="-","-",IFERROR(INDEX(B$1:B$100,MATCH(A152,I$1:I$100,0)),""))</f>
        <v>Kaspar Mänd, Veroonika Mendes</v>
      </c>
      <c r="C152" s="851">
        <v>4</v>
      </c>
      <c r="D152" s="858"/>
      <c r="E152" s="859"/>
      <c r="F152" s="807"/>
      <c r="G152" s="807"/>
      <c r="H152" s="951" t="str">
        <f>IF(COUNT(G143,G151)=2,IF(G143&lt;G151,E143,E151),"")</f>
        <v>Ljudmila Varendi, Viktor Švarõgin</v>
      </c>
      <c r="I152" s="938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Ljudmila Varendi, Viktor Švarõgin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422</v>
      </c>
      <c r="B154" s="855" t="str">
        <f>IF(A154="-","-",IFERROR(INDEX(B$1:B$100,MATCH(A154,I$1:I$100,0)),""))</f>
        <v>Ljudmila Varendi, Viktor Švarõgin</v>
      </c>
      <c r="C154" s="856">
        <v>13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Kenneth Muusikus, Oskar Sepp, Sandra Laura Nõmmeloo</v>
      </c>
      <c r="F155" s="755"/>
      <c r="G155" s="851">
        <v>13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951" t="str">
        <f>IF(COUNT(G155,G157)=2,IF(G155&gt;G157,E155,E157),"")</f>
        <v>Kenneth Muusikus, Oskar Sepp, Sandra Laura Nõmmeloo</v>
      </c>
      <c r="I156" s="938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Jaan Sepp, Vladimir Ogneštšikov</v>
      </c>
      <c r="F157" s="860"/>
      <c r="G157" s="856">
        <v>10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951" t="str">
        <f>IF(COUNT(G155,G157)=2,IF(G155&lt;G157,E155,E157),"")</f>
        <v>Jaan Sepp, Vladimir Ogneštšikov</v>
      </c>
      <c r="I159" s="938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Andres Veski, Svetlana Veski</v>
      </c>
      <c r="D161" s="755"/>
      <c r="E161" s="851">
        <f>IF(C161="-",0,IF(C163="-",13,""))</f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Andres Veski, Svetlana Veski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-</v>
      </c>
      <c r="D163" s="868"/>
      <c r="E163" s="856">
        <f>IF(C163="-",0,IF(C161="-",13,""))</f>
        <v>0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951" t="str">
        <f>IF(COUNT(G162,G166)=2,IF(G162&gt;G166,E162,E166),"")</f>
        <v>Andres Veski, Svetlana Veski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-</v>
      </c>
      <c r="D165" s="851"/>
      <c r="E165" s="851">
        <f>IF(C165="-",0,IF(C167="-",13,""))</f>
        <v>0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Kaspar Mänd, Veroonika Mendes</v>
      </c>
      <c r="F166" s="860"/>
      <c r="G166" s="971">
        <v>3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Kaspar Mänd, Veroonika Mendes</v>
      </c>
      <c r="D167" s="868"/>
      <c r="E167" s="856">
        <f>IF(C167="-",0,IF(C165="-",13,""))</f>
        <v>13</v>
      </c>
      <c r="F167" s="851"/>
      <c r="G167" s="869"/>
      <c r="H167" s="951" t="str">
        <f>IF(COUNT(G162,G166)=2,IF(G162&lt;G166,E162,E166),"")</f>
        <v>Kaspar Mänd, Veroonika Mendes</v>
      </c>
      <c r="I167" s="938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938"/>
      <c r="H170" s="951" t="str">
        <f>IF(COUNT(G169,G171)=2,IF(G169&gt;G171,E169,E171),"")</f>
        <v>-</v>
      </c>
      <c r="I170" s="938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755"/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938" t="str">
        <f>IF(COUNT(G169,G171)=2,IF(G169&lt;G171,E169,E171),"")</f>
        <v>-</v>
      </c>
      <c r="I173" s="938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 t="s">
        <v>232</v>
      </c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3" si="22">IFERROR(INDEX(H$100:H$300,MATCH(A300&amp;". koht",H$101:H$301,0)),"")</f>
        <v>Enn Tokman, Johannes Neiland</v>
      </c>
      <c r="C300" s="755">
        <f>IF(16-A300&gt;0,16-A300,1)</f>
        <v>15</v>
      </c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Argo Sepp, Karla Purgats</v>
      </c>
      <c r="C301" s="755">
        <f t="shared" ref="C301:C313" si="23">IF(16-A301&gt;0,16-A301,1)</f>
        <v>14</v>
      </c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Jaan Saar, Klavdia Piik</v>
      </c>
      <c r="C302" s="755">
        <f t="shared" si="23"/>
        <v>13</v>
      </c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Mihkel Palk, Uku Kollom</v>
      </c>
      <c r="C303" s="755">
        <f t="shared" si="23"/>
        <v>12</v>
      </c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Ivar Viljaste, Meelis Luud</v>
      </c>
      <c r="C304" s="755">
        <f t="shared" si="23"/>
        <v>11</v>
      </c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Henri Mitt, Ülo Piik</v>
      </c>
      <c r="C305" s="755">
        <f t="shared" si="23"/>
        <v>10</v>
      </c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75">
        <v>7</v>
      </c>
      <c r="B306" s="816" t="str">
        <f t="shared" si="22"/>
        <v>Mait Metsla, Matti Vinni</v>
      </c>
      <c r="C306" s="755">
        <f t="shared" si="23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Elmo Lageda, Tõnu Piik</v>
      </c>
      <c r="C307" s="755">
        <f t="shared" si="23"/>
        <v>8</v>
      </c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Kevin Sten Liik, Silver Kingissepp</v>
      </c>
      <c r="C308" s="755">
        <f t="shared" si="23"/>
        <v>7</v>
      </c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Ljudmila Varendi, Viktor Švarõgin</v>
      </c>
      <c r="C309" s="755">
        <f t="shared" si="23"/>
        <v>6</v>
      </c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ht="25.5" x14ac:dyDescent="0.2">
      <c r="A310" s="1032">
        <v>11</v>
      </c>
      <c r="B310" s="1041" t="str">
        <f t="shared" si="22"/>
        <v>Kenneth Muusikus, Oskar Sepp, Sandra Laura Nõmmeloo</v>
      </c>
      <c r="C310" s="1031">
        <f t="shared" si="23"/>
        <v>5</v>
      </c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Jaan Sepp, Vladimir Ogneštšikov</v>
      </c>
      <c r="C311" s="755">
        <f t="shared" si="23"/>
        <v>4</v>
      </c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Andres Veski, Svetlana Veski</v>
      </c>
      <c r="C312" s="755">
        <f t="shared" si="23"/>
        <v>3</v>
      </c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875">
        <v>14</v>
      </c>
      <c r="B313" s="816" t="str">
        <f t="shared" si="22"/>
        <v>Kaspar Mänd, Veroonika Mendes</v>
      </c>
      <c r="C313" s="755">
        <f t="shared" si="23"/>
        <v>2</v>
      </c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  <row r="314" spans="1:27" x14ac:dyDescent="0.2">
      <c r="A314" s="755"/>
      <c r="B314" s="755"/>
      <c r="C314" s="755"/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</row>
    <row r="315" spans="1:27" x14ac:dyDescent="0.2">
      <c r="A315" s="755"/>
      <c r="B315" s="754"/>
      <c r="C315" s="755"/>
      <c r="D315" s="755"/>
      <c r="E315" s="755"/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</row>
  </sheetData>
  <conditionalFormatting sqref="B313">
    <cfRule type="containsBlanks" dxfId="728" priority="271">
      <formula>LEN(TRIM(B313))=0</formula>
    </cfRule>
    <cfRule type="duplicateValues" dxfId="727" priority="272"/>
  </conditionalFormatting>
  <conditionalFormatting sqref="I56:I60">
    <cfRule type="expression" dxfId="726" priority="110">
      <formula>FIND(2,I56,1)</formula>
    </cfRule>
    <cfRule type="expression" dxfId="725" priority="111">
      <formula>FIND(1,I56,1)</formula>
    </cfRule>
  </conditionalFormatting>
  <conditionalFormatting sqref="A102:A116">
    <cfRule type="cellIs" dxfId="724" priority="264" operator="equal">
      <formula>"-"</formula>
    </cfRule>
    <cfRule type="duplicateValues" dxfId="723" priority="265"/>
  </conditionalFormatting>
  <conditionalFormatting sqref="A140:A145 A147:A149 A151:A153">
    <cfRule type="cellIs" dxfId="722" priority="262" operator="equal">
      <formula>"-"</formula>
    </cfRule>
    <cfRule type="duplicateValues" dxfId="721" priority="263"/>
  </conditionalFormatting>
  <conditionalFormatting sqref="D7 C8">
    <cfRule type="aboveAverage" dxfId="720" priority="261"/>
  </conditionalFormatting>
  <conditionalFormatting sqref="E7 C9">
    <cfRule type="aboveAverage" dxfId="719" priority="260"/>
  </conditionalFormatting>
  <conditionalFormatting sqref="F7 C10">
    <cfRule type="aboveAverage" dxfId="718" priority="259"/>
  </conditionalFormatting>
  <conditionalFormatting sqref="E8 D9">
    <cfRule type="aboveAverage" dxfId="717" priority="258"/>
  </conditionalFormatting>
  <conditionalFormatting sqref="G7 C11">
    <cfRule type="aboveAverage" dxfId="716" priority="257"/>
  </conditionalFormatting>
  <conditionalFormatting sqref="F8 D10">
    <cfRule type="aboveAverage" dxfId="715" priority="256"/>
  </conditionalFormatting>
  <conditionalFormatting sqref="G8 D11">
    <cfRule type="aboveAverage" dxfId="714" priority="255"/>
  </conditionalFormatting>
  <conditionalFormatting sqref="F9 E10">
    <cfRule type="aboveAverage" dxfId="713" priority="254"/>
  </conditionalFormatting>
  <conditionalFormatting sqref="G9 E11">
    <cfRule type="aboveAverage" dxfId="712" priority="253"/>
  </conditionalFormatting>
  <conditionalFormatting sqref="F11 G10">
    <cfRule type="aboveAverage" dxfId="711" priority="252"/>
  </conditionalFormatting>
  <conditionalFormatting sqref="K14:K18">
    <cfRule type="expression" dxfId="710" priority="244">
      <formula>AND(J14=3,IF(COUNTIF(J$14:J$18,"=3")&gt;=2,TRUE))</formula>
    </cfRule>
    <cfRule type="expression" dxfId="709" priority="250">
      <formula>AND(J14=1,IF(COUNTIF(J$14:J$18,"=1")&gt;=2,TRUE))</formula>
    </cfRule>
    <cfRule type="expression" dxfId="708" priority="251">
      <formula>AND(J14=2,IF(COUNTIF(J$14:J$18,"=2")&gt;=2,TRUE))</formula>
    </cfRule>
  </conditionalFormatting>
  <conditionalFormatting sqref="K21:K25">
    <cfRule type="expression" dxfId="707" priority="243">
      <formula>AND(J21=3,IF(COUNTIF(J$21:J$25,"=3")&gt;=2,TRUE))</formula>
    </cfRule>
    <cfRule type="expression" dxfId="706" priority="248">
      <formula>AND(J21=1,IF(COUNTIF(J$21:J$25,"=1")&gt;=2,TRUE))</formula>
    </cfRule>
    <cfRule type="expression" dxfId="705" priority="249">
      <formula>AND(J21=2,IF(COUNTIF(J$21:J$25,"=2")&gt;=2,TRUE))</formula>
    </cfRule>
  </conditionalFormatting>
  <conditionalFormatting sqref="K7:K11">
    <cfRule type="expression" dxfId="704" priority="245">
      <formula>AND(J7=3,IF(COUNTIF(J$7:J$11,"=3")&gt;=2,TRUE))</formula>
    </cfRule>
    <cfRule type="expression" dxfId="703" priority="246">
      <formula>AND(J7=1,IF(COUNTIF(J$7:J$11,"=1")&gt;=2,TRUE))</formula>
    </cfRule>
    <cfRule type="expression" dxfId="702" priority="247">
      <formula>AND(J7=2,IF(COUNTIF(J$7:J$11,"=2")&gt;=2,TRUE))</formula>
    </cfRule>
  </conditionalFormatting>
  <conditionalFormatting sqref="H7:H11">
    <cfRule type="expression" dxfId="701" priority="234">
      <formula>AND(J7=1,IF(COUNTIF(J$7:J$11,"=1")&gt;=2,TRUE))</formula>
    </cfRule>
    <cfRule type="expression" dxfId="700" priority="241">
      <formula>AND(J7=3,IF(COUNTIF(J$7:J$11,"=3")&gt;=2,TRUE))</formula>
    </cfRule>
    <cfRule type="expression" dxfId="699" priority="242">
      <formula>AND(J7=2,IF(COUNTIF(J$7:J$11,"=2")&gt;=2,TRUE))</formula>
    </cfRule>
  </conditionalFormatting>
  <conditionalFormatting sqref="H17:H18">
    <cfRule type="expression" dxfId="698" priority="235">
      <formula>AND(J17=1,IF(COUNTIF(J$14:J$18,"=1")&gt;=2,TRUE))</formula>
    </cfRule>
    <cfRule type="expression" dxfId="697" priority="239">
      <formula>AND(J17=3,IF(COUNTIF(J$14:J$18,"=3")&gt;=2,TRUE))</formula>
    </cfRule>
    <cfRule type="expression" dxfId="696" priority="240">
      <formula>AND(J17=2,IF(COUNTIF(J$14:J$18,"=2")&gt;=2,TRUE))</formula>
    </cfRule>
  </conditionalFormatting>
  <conditionalFormatting sqref="H21:H25">
    <cfRule type="expression" dxfId="695" priority="236">
      <formula>AND(J21=1,IF(COUNTIF(J$21:J$25,"=1")&gt;=2,TRUE))</formula>
    </cfRule>
    <cfRule type="expression" dxfId="694" priority="237">
      <formula>AND(J21=3,IF(COUNTIF(J$21:J$25,"=3")&gt;=2,TRUE))</formula>
    </cfRule>
    <cfRule type="expression" dxfId="693" priority="238">
      <formula>AND(J21=2,IF(COUNTIF(J$21:J$25,"=2")&gt;=2,TRUE))</formula>
    </cfRule>
  </conditionalFormatting>
  <conditionalFormatting sqref="C69 C73:C74">
    <cfRule type="aboveAverage" dxfId="692" priority="233"/>
  </conditionalFormatting>
  <conditionalFormatting sqref="D69 D73:D74">
    <cfRule type="aboveAverage" dxfId="691" priority="232"/>
  </conditionalFormatting>
  <conditionalFormatting sqref="K28:K32">
    <cfRule type="expression" dxfId="690" priority="229">
      <formula>AND(J28=3,IF(COUNTIF(J$28:J$32,"=3")&gt;=2,TRUE))</formula>
    </cfRule>
    <cfRule type="expression" dxfId="689" priority="230">
      <formula>AND(J28=1,IF(COUNTIF(J$28:J$32,"=1")&gt;=2,TRUE))</formula>
    </cfRule>
    <cfRule type="expression" dxfId="688" priority="231">
      <formula>AND(J28=2,IF(COUNTIF(J$28:J$32,"=2")&gt;=2,TRUE))</formula>
    </cfRule>
  </conditionalFormatting>
  <conditionalFormatting sqref="H28:H32">
    <cfRule type="expression" dxfId="687" priority="226">
      <formula>AND(J28=1,IF(COUNTIF(J$28:J$32,"=1")&gt;=2,TRUE))</formula>
    </cfRule>
    <cfRule type="expression" dxfId="686" priority="227">
      <formula>AND(J28=3,IF(COUNTIF(J$28:J$32,"=3")&gt;=2,TRUE))</formula>
    </cfRule>
    <cfRule type="expression" dxfId="685" priority="228">
      <formula>AND(J28=2,IF(COUNTIF(J$28:J$32,"=2")&gt;=2,TRUE))</formula>
    </cfRule>
  </conditionalFormatting>
  <conditionalFormatting sqref="D14 C15">
    <cfRule type="aboveAverage" dxfId="684" priority="225"/>
  </conditionalFormatting>
  <conditionalFormatting sqref="E14 C16">
    <cfRule type="aboveAverage" dxfId="683" priority="224"/>
  </conditionalFormatting>
  <conditionalFormatting sqref="F14 C17">
    <cfRule type="aboveAverage" dxfId="682" priority="223"/>
  </conditionalFormatting>
  <conditionalFormatting sqref="E15 D16">
    <cfRule type="aboveAverage" dxfId="681" priority="222"/>
  </conditionalFormatting>
  <conditionalFormatting sqref="G14 C18">
    <cfRule type="aboveAverage" dxfId="680" priority="221"/>
  </conditionalFormatting>
  <conditionalFormatting sqref="F15 D17">
    <cfRule type="aboveAverage" dxfId="679" priority="220"/>
  </conditionalFormatting>
  <conditionalFormatting sqref="G15 D18">
    <cfRule type="aboveAverage" dxfId="678" priority="219"/>
  </conditionalFormatting>
  <conditionalFormatting sqref="F16 E17">
    <cfRule type="aboveAverage" dxfId="677" priority="218"/>
  </conditionalFormatting>
  <conditionalFormatting sqref="G16 E18">
    <cfRule type="aboveAverage" dxfId="676" priority="217"/>
  </conditionalFormatting>
  <conditionalFormatting sqref="F18 G17">
    <cfRule type="aboveAverage" dxfId="675" priority="216"/>
  </conditionalFormatting>
  <conditionalFormatting sqref="D21 C22">
    <cfRule type="aboveAverage" dxfId="674" priority="215"/>
  </conditionalFormatting>
  <conditionalFormatting sqref="E21 C23">
    <cfRule type="aboveAverage" dxfId="673" priority="214"/>
  </conditionalFormatting>
  <conditionalFormatting sqref="F21 C24">
    <cfRule type="aboveAverage" dxfId="672" priority="213"/>
  </conditionalFormatting>
  <conditionalFormatting sqref="E22 D23">
    <cfRule type="aboveAverage" dxfId="671" priority="212"/>
  </conditionalFormatting>
  <conditionalFormatting sqref="G21 C25">
    <cfRule type="aboveAverage" dxfId="670" priority="211"/>
  </conditionalFormatting>
  <conditionalFormatting sqref="F22 D24">
    <cfRule type="aboveAverage" dxfId="669" priority="210"/>
  </conditionalFormatting>
  <conditionalFormatting sqref="G22 D25">
    <cfRule type="aboveAverage" dxfId="668" priority="209"/>
  </conditionalFormatting>
  <conditionalFormatting sqref="F23 E24">
    <cfRule type="aboveAverage" dxfId="667" priority="208"/>
  </conditionalFormatting>
  <conditionalFormatting sqref="G23 E25">
    <cfRule type="aboveAverage" dxfId="666" priority="207"/>
  </conditionalFormatting>
  <conditionalFormatting sqref="F25 G24">
    <cfRule type="aboveAverage" dxfId="665" priority="206"/>
  </conditionalFormatting>
  <conditionalFormatting sqref="D28 C29">
    <cfRule type="aboveAverage" dxfId="664" priority="205"/>
  </conditionalFormatting>
  <conditionalFormatting sqref="E28 C30">
    <cfRule type="aboveAverage" dxfId="663" priority="204"/>
  </conditionalFormatting>
  <conditionalFormatting sqref="F28 C31">
    <cfRule type="aboveAverage" dxfId="662" priority="203"/>
  </conditionalFormatting>
  <conditionalFormatting sqref="E29 D30">
    <cfRule type="aboveAverage" dxfId="661" priority="202"/>
  </conditionalFormatting>
  <conditionalFormatting sqref="G28 C32">
    <cfRule type="aboveAverage" dxfId="660" priority="201"/>
  </conditionalFormatting>
  <conditionalFormatting sqref="F29 D31">
    <cfRule type="aboveAverage" dxfId="659" priority="200"/>
  </conditionalFormatting>
  <conditionalFormatting sqref="G29 D32">
    <cfRule type="aboveAverage" dxfId="658" priority="199"/>
  </conditionalFormatting>
  <conditionalFormatting sqref="F30 E31">
    <cfRule type="aboveAverage" dxfId="657" priority="198"/>
  </conditionalFormatting>
  <conditionalFormatting sqref="G30 E32">
    <cfRule type="aboveAverage" dxfId="656" priority="197"/>
  </conditionalFormatting>
  <conditionalFormatting sqref="F32 G31">
    <cfRule type="aboveAverage" dxfId="655" priority="196"/>
  </conditionalFormatting>
  <conditionalFormatting sqref="D35 C36">
    <cfRule type="aboveAverage" dxfId="654" priority="194"/>
  </conditionalFormatting>
  <conditionalFormatting sqref="E35 C37">
    <cfRule type="aboveAverage" dxfId="653" priority="193"/>
  </conditionalFormatting>
  <conditionalFormatting sqref="F35 C38">
    <cfRule type="aboveAverage" dxfId="652" priority="192"/>
  </conditionalFormatting>
  <conditionalFormatting sqref="E36 D37">
    <cfRule type="aboveAverage" dxfId="651" priority="191"/>
  </conditionalFormatting>
  <conditionalFormatting sqref="G35 C39">
    <cfRule type="aboveAverage" dxfId="650" priority="190"/>
  </conditionalFormatting>
  <conditionalFormatting sqref="F36 D38">
    <cfRule type="aboveAverage" dxfId="649" priority="189"/>
  </conditionalFormatting>
  <conditionalFormatting sqref="G36 D39">
    <cfRule type="aboveAverage" dxfId="648" priority="188"/>
  </conditionalFormatting>
  <conditionalFormatting sqref="F37 E38">
    <cfRule type="aboveAverage" dxfId="647" priority="187"/>
  </conditionalFormatting>
  <conditionalFormatting sqref="G37 E39">
    <cfRule type="aboveAverage" dxfId="646" priority="186"/>
  </conditionalFormatting>
  <conditionalFormatting sqref="F39 G38">
    <cfRule type="aboveAverage" dxfId="645" priority="185"/>
  </conditionalFormatting>
  <conditionalFormatting sqref="K42:K46">
    <cfRule type="expression" dxfId="644" priority="177">
      <formula>AND(J42=3,IF(COUNTIF(J$14:J$18,"=3")&gt;=2,TRUE))</formula>
    </cfRule>
    <cfRule type="expression" dxfId="643" priority="183">
      <formula>AND(J42=1,IF(COUNTIF(J$14:J$18,"=1")&gt;=2,TRUE))</formula>
    </cfRule>
    <cfRule type="expression" dxfId="642" priority="184">
      <formula>AND(J42=2,IF(COUNTIF(J$14:J$18,"=2")&gt;=2,TRUE))</formula>
    </cfRule>
  </conditionalFormatting>
  <conditionalFormatting sqref="K49:K53">
    <cfRule type="expression" dxfId="641" priority="176">
      <formula>AND(J49=3,IF(COUNTIF(J$21:J$25,"=3")&gt;=2,TRUE))</formula>
    </cfRule>
    <cfRule type="expression" dxfId="640" priority="181">
      <formula>AND(J49=1,IF(COUNTIF(J$21:J$25,"=1")&gt;=2,TRUE))</formula>
    </cfRule>
    <cfRule type="expression" dxfId="639" priority="182">
      <formula>AND(J49=2,IF(COUNTIF(J$21:J$25,"=2")&gt;=2,TRUE))</formula>
    </cfRule>
  </conditionalFormatting>
  <conditionalFormatting sqref="K35:K39">
    <cfRule type="expression" dxfId="638" priority="178">
      <formula>AND(J35=3,IF(COUNTIF(J$7:J$11,"=3")&gt;=2,TRUE))</formula>
    </cfRule>
    <cfRule type="expression" dxfId="637" priority="179">
      <formula>AND(J35=1,IF(COUNTIF(J$7:J$11,"=1")&gt;=2,TRUE))</formula>
    </cfRule>
    <cfRule type="expression" dxfId="636" priority="180">
      <formula>AND(J35=2,IF(COUNTIF(J$7:J$11,"=2")&gt;=2,TRUE))</formula>
    </cfRule>
  </conditionalFormatting>
  <conditionalFormatting sqref="H35:H39">
    <cfRule type="expression" dxfId="635" priority="167">
      <formula>AND(J35=1,IF(COUNTIF(J$7:J$11,"=1")&gt;=2,TRUE))</formula>
    </cfRule>
    <cfRule type="expression" dxfId="634" priority="174">
      <formula>AND(J35=3,IF(COUNTIF(J$7:J$11,"=3")&gt;=2,TRUE))</formula>
    </cfRule>
    <cfRule type="expression" dxfId="633" priority="175">
      <formula>AND(J35=2,IF(COUNTIF(J$7:J$11,"=2")&gt;=2,TRUE))</formula>
    </cfRule>
  </conditionalFormatting>
  <conditionalFormatting sqref="H42:H46">
    <cfRule type="expression" dxfId="632" priority="168">
      <formula>AND(J42=1,IF(COUNTIF(J$14:J$18,"=1")&gt;=2,TRUE))</formula>
    </cfRule>
    <cfRule type="expression" dxfId="631" priority="172">
      <formula>AND(J42=3,IF(COUNTIF(J$14:J$18,"=3")&gt;=2,TRUE))</formula>
    </cfRule>
    <cfRule type="expression" dxfId="630" priority="173">
      <formula>AND(J42=2,IF(COUNTIF(J$14:J$18,"=2")&gt;=2,TRUE))</formula>
    </cfRule>
  </conditionalFormatting>
  <conditionalFormatting sqref="H49:H53">
    <cfRule type="expression" dxfId="629" priority="169">
      <formula>AND(J49=1,IF(COUNTIF(J$21:J$25,"=1")&gt;=2,TRUE))</formula>
    </cfRule>
    <cfRule type="expression" dxfId="628" priority="170">
      <formula>AND(J49=3,IF(COUNTIF(J$21:J$25,"=3")&gt;=2,TRUE))</formula>
    </cfRule>
    <cfRule type="expression" dxfId="627" priority="171">
      <formula>AND(J49=2,IF(COUNTIF(J$21:J$25,"=2")&gt;=2,TRUE))</formula>
    </cfRule>
  </conditionalFormatting>
  <conditionalFormatting sqref="K56:K60">
    <cfRule type="expression" dxfId="626" priority="164">
      <formula>AND(J56=3,IF(COUNTIF(J$28:J$32,"=3")&gt;=2,TRUE))</formula>
    </cfRule>
    <cfRule type="expression" dxfId="625" priority="165">
      <formula>AND(J56=1,IF(COUNTIF(J$28:J$32,"=1")&gt;=2,TRUE))</formula>
    </cfRule>
    <cfRule type="expression" dxfId="624" priority="166">
      <formula>AND(J56=2,IF(COUNTIF(J$28:J$32,"=2")&gt;=2,TRUE))</formula>
    </cfRule>
  </conditionalFormatting>
  <conditionalFormatting sqref="H56:H60">
    <cfRule type="expression" dxfId="623" priority="161">
      <formula>AND(J56=1,IF(COUNTIF(J$28:J$32,"=1")&gt;=2,TRUE))</formula>
    </cfRule>
    <cfRule type="expression" dxfId="622" priority="162">
      <formula>AND(J56=3,IF(COUNTIF(J$28:J$32,"=3")&gt;=2,TRUE))</formula>
    </cfRule>
    <cfRule type="expression" dxfId="621" priority="163">
      <formula>AND(J56=2,IF(COUNTIF(J$28:J$32,"=2")&gt;=2,TRUE))</formula>
    </cfRule>
  </conditionalFormatting>
  <conditionalFormatting sqref="B37">
    <cfRule type="duplicateValues" dxfId="620" priority="195"/>
  </conditionalFormatting>
  <conditionalFormatting sqref="D42 C43">
    <cfRule type="aboveAverage" dxfId="619" priority="159"/>
  </conditionalFormatting>
  <conditionalFormatting sqref="E42 C44">
    <cfRule type="aboveAverage" dxfId="618" priority="158"/>
  </conditionalFormatting>
  <conditionalFormatting sqref="F42 C45">
    <cfRule type="aboveAverage" dxfId="617" priority="157"/>
  </conditionalFormatting>
  <conditionalFormatting sqref="E43 D44">
    <cfRule type="aboveAverage" dxfId="616" priority="156"/>
  </conditionalFormatting>
  <conditionalFormatting sqref="G42 C46">
    <cfRule type="aboveAverage" dxfId="615" priority="155"/>
  </conditionalFormatting>
  <conditionalFormatting sqref="F43 D45">
    <cfRule type="aboveAverage" dxfId="614" priority="154"/>
  </conditionalFormatting>
  <conditionalFormatting sqref="G43 D46">
    <cfRule type="aboveAverage" dxfId="613" priority="153"/>
  </conditionalFormatting>
  <conditionalFormatting sqref="F44 E45">
    <cfRule type="aboveAverage" dxfId="612" priority="152"/>
  </conditionalFormatting>
  <conditionalFormatting sqref="G44 E46">
    <cfRule type="aboveAverage" dxfId="611" priority="151"/>
  </conditionalFormatting>
  <conditionalFormatting sqref="F46 G45">
    <cfRule type="aboveAverage" dxfId="610" priority="150"/>
  </conditionalFormatting>
  <conditionalFormatting sqref="B44">
    <cfRule type="duplicateValues" dxfId="609" priority="160"/>
  </conditionalFormatting>
  <conditionalFormatting sqref="D49 C50">
    <cfRule type="aboveAverage" dxfId="608" priority="148"/>
  </conditionalFormatting>
  <conditionalFormatting sqref="E49 C51">
    <cfRule type="aboveAverage" dxfId="607" priority="147"/>
  </conditionalFormatting>
  <conditionalFormatting sqref="F49 C52">
    <cfRule type="aboveAverage" dxfId="606" priority="146"/>
  </conditionalFormatting>
  <conditionalFormatting sqref="E50 D51">
    <cfRule type="aboveAverage" dxfId="605" priority="145"/>
  </conditionalFormatting>
  <conditionalFormatting sqref="G49 C53">
    <cfRule type="aboveAverage" dxfId="604" priority="144"/>
  </conditionalFormatting>
  <conditionalFormatting sqref="F50 D52">
    <cfRule type="aboveAverage" dxfId="603" priority="143"/>
  </conditionalFormatting>
  <conditionalFormatting sqref="G50 D53">
    <cfRule type="aboveAverage" dxfId="602" priority="142"/>
  </conditionalFormatting>
  <conditionalFormatting sqref="F51 E52">
    <cfRule type="aboveAverage" dxfId="601" priority="141"/>
  </conditionalFormatting>
  <conditionalFormatting sqref="G51 E53">
    <cfRule type="aboveAverage" dxfId="600" priority="140"/>
  </conditionalFormatting>
  <conditionalFormatting sqref="F53 G52">
    <cfRule type="aboveAverage" dxfId="599" priority="139"/>
  </conditionalFormatting>
  <conditionalFormatting sqref="B51">
    <cfRule type="duplicateValues" dxfId="598" priority="149"/>
  </conditionalFormatting>
  <conditionalFormatting sqref="D56 C57">
    <cfRule type="aboveAverage" dxfId="597" priority="137"/>
  </conditionalFormatting>
  <conditionalFormatting sqref="E56 C58">
    <cfRule type="aboveAverage" dxfId="596" priority="136"/>
  </conditionalFormatting>
  <conditionalFormatting sqref="F56 C59">
    <cfRule type="aboveAverage" dxfId="595" priority="135"/>
  </conditionalFormatting>
  <conditionalFormatting sqref="E57 D58">
    <cfRule type="aboveAverage" dxfId="594" priority="134"/>
  </conditionalFormatting>
  <conditionalFormatting sqref="G56 C60">
    <cfRule type="aboveAverage" dxfId="593" priority="133"/>
  </conditionalFormatting>
  <conditionalFormatting sqref="F57 D59">
    <cfRule type="aboveAverage" dxfId="592" priority="132"/>
  </conditionalFormatting>
  <conditionalFormatting sqref="G57 D60">
    <cfRule type="aboveAverage" dxfId="591" priority="131"/>
  </conditionalFormatting>
  <conditionalFormatting sqref="F58 E59">
    <cfRule type="aboveAverage" dxfId="590" priority="130"/>
  </conditionalFormatting>
  <conditionalFormatting sqref="G58 E60">
    <cfRule type="aboveAverage" dxfId="589" priority="129"/>
  </conditionalFormatting>
  <conditionalFormatting sqref="F60 G59">
    <cfRule type="aboveAverage" dxfId="588" priority="128"/>
  </conditionalFormatting>
  <conditionalFormatting sqref="B58">
    <cfRule type="duplicateValues" dxfId="587" priority="138"/>
  </conditionalFormatting>
  <conditionalFormatting sqref="I10:I11">
    <cfRule type="expression" dxfId="586" priority="126">
      <formula>FIND(2,I10,1)</formula>
    </cfRule>
    <cfRule type="expression" dxfId="585" priority="127">
      <formula>FIND(1,I10,1)</formula>
    </cfRule>
  </conditionalFormatting>
  <conditionalFormatting sqref="I7:I9">
    <cfRule type="expression" dxfId="584" priority="124">
      <formula>FIND(2,I7,1)</formula>
    </cfRule>
    <cfRule type="expression" dxfId="583" priority="125">
      <formula>FIND(1,I7,1)</formula>
    </cfRule>
  </conditionalFormatting>
  <conditionalFormatting sqref="I28:I32">
    <cfRule type="expression" dxfId="582" priority="120">
      <formula>FIND(2,I28,1)</formula>
    </cfRule>
    <cfRule type="expression" dxfId="581" priority="121">
      <formula>FIND(1,I28,1)</formula>
    </cfRule>
  </conditionalFormatting>
  <conditionalFormatting sqref="I21:I25">
    <cfRule type="expression" dxfId="580" priority="122">
      <formula>FIND(2,I21,1)</formula>
    </cfRule>
    <cfRule type="expression" dxfId="579" priority="123">
      <formula>FIND(1,I21,1)</formula>
    </cfRule>
  </conditionalFormatting>
  <conditionalFormatting sqref="I38:I39">
    <cfRule type="expression" dxfId="578" priority="118">
      <formula>FIND(2,I38,1)</formula>
    </cfRule>
    <cfRule type="expression" dxfId="577" priority="119">
      <formula>FIND(1,I38,1)</formula>
    </cfRule>
  </conditionalFormatting>
  <conditionalFormatting sqref="I35:I37">
    <cfRule type="expression" dxfId="576" priority="116">
      <formula>FIND(2,I35,1)</formula>
    </cfRule>
    <cfRule type="expression" dxfId="575" priority="117">
      <formula>FIND(1,I35,1)</formula>
    </cfRule>
  </conditionalFormatting>
  <conditionalFormatting sqref="I42:I46">
    <cfRule type="expression" dxfId="574" priority="114">
      <formula>FIND(2,I42,1)</formula>
    </cfRule>
    <cfRule type="expression" dxfId="573" priority="115">
      <formula>FIND(1,I42,1)</formula>
    </cfRule>
  </conditionalFormatting>
  <conditionalFormatting sqref="I49:I53">
    <cfRule type="expression" dxfId="572" priority="112">
      <formula>FIND(2,I49,1)</formula>
    </cfRule>
    <cfRule type="expression" dxfId="571" priority="113">
      <formula>FIND(1,I49,1)</formula>
    </cfRule>
  </conditionalFormatting>
  <conditionalFormatting sqref="L15:L18">
    <cfRule type="expression" dxfId="570" priority="104">
      <formula>OR(J15=0,J15=4)</formula>
    </cfRule>
    <cfRule type="expression" dxfId="569" priority="108">
      <formula>AND(J15=1,IF(COUNTIF(J$14:J$18,"=1")=1,TRUE))</formula>
    </cfRule>
    <cfRule type="expression" dxfId="568" priority="109">
      <formula>AND(J15=3,IF(COUNTIF(J$14:J$18,"=3")=1,TRUE))</formula>
    </cfRule>
  </conditionalFormatting>
  <conditionalFormatting sqref="L21:L25">
    <cfRule type="expression" dxfId="567" priority="105">
      <formula>OR(J21=0,J21=4)</formula>
    </cfRule>
    <cfRule type="expression" dxfId="566" priority="106">
      <formula>AND(J21=1,IF(COUNTIF(J$21:J$25,"=1")=1,TRUE))</formula>
    </cfRule>
    <cfRule type="expression" dxfId="565" priority="107">
      <formula>AND(J21=3,IF(COUNTIF(J$21:J$25,"=3")=1,TRUE))</formula>
    </cfRule>
  </conditionalFormatting>
  <conditionalFormatting sqref="L7:L11">
    <cfRule type="expression" dxfId="564" priority="101">
      <formula>OR(J7=0,J7=4)</formula>
    </cfRule>
    <cfRule type="expression" dxfId="563" priority="102">
      <formula>AND(J7=1,IF(COUNTIF(J$7:J$11,"=1")=1,TRUE))</formula>
    </cfRule>
    <cfRule type="expression" dxfId="562" priority="103">
      <formula>AND(J7=3,IF(COUNTIF(J$7:J$11,"=3")=1,TRUE))</formula>
    </cfRule>
  </conditionalFormatting>
  <conditionalFormatting sqref="L28:L32">
    <cfRule type="expression" dxfId="561" priority="98">
      <formula>OR(J28=0,J28=4)</formula>
    </cfRule>
    <cfRule type="expression" dxfId="560" priority="99">
      <formula>AND(J28=1,IF(COUNTIF(J$28:J$32,"=1")=1,TRUE))</formula>
    </cfRule>
    <cfRule type="expression" dxfId="559" priority="100">
      <formula>AND(J28=3,IF(COUNTIF(J$28:J$32,"=3")=1,TRUE))</formula>
    </cfRule>
  </conditionalFormatting>
  <conditionalFormatting sqref="L43:L46">
    <cfRule type="expression" dxfId="558" priority="92">
      <formula>OR(J43=0,J43=4)</formula>
    </cfRule>
    <cfRule type="expression" dxfId="557" priority="96">
      <formula>AND(J43=1,IF(COUNTIF(J$14:J$18,"=1")=1,TRUE))</formula>
    </cfRule>
    <cfRule type="expression" dxfId="556" priority="97">
      <formula>AND(J43=3,IF(COUNTIF(J$14:J$18,"=3")=1,TRUE))</formula>
    </cfRule>
  </conditionalFormatting>
  <conditionalFormatting sqref="L49:L53">
    <cfRule type="expression" dxfId="555" priority="93">
      <formula>OR(J49=0,J49=4)</formula>
    </cfRule>
    <cfRule type="expression" dxfId="554" priority="94">
      <formula>AND(J49=1,IF(COUNTIF(J$21:J$25,"=1")=1,TRUE))</formula>
    </cfRule>
    <cfRule type="expression" dxfId="553" priority="95">
      <formula>AND(J49=3,IF(COUNTIF(J$21:J$25,"=3")=1,TRUE))</formula>
    </cfRule>
  </conditionalFormatting>
  <conditionalFormatting sqref="L35:L39">
    <cfRule type="expression" dxfId="552" priority="89">
      <formula>OR(J35=0,J35=4)</formula>
    </cfRule>
    <cfRule type="expression" dxfId="551" priority="90">
      <formula>AND(J35=1,IF(COUNTIF(J$7:J$11,"=1")=1,TRUE))</formula>
    </cfRule>
    <cfRule type="expression" dxfId="550" priority="91">
      <formula>AND(J35=3,IF(COUNTIF(J$7:J$11,"=3")=1,TRUE))</formula>
    </cfRule>
  </conditionalFormatting>
  <conditionalFormatting sqref="L56:L60">
    <cfRule type="expression" dxfId="549" priority="86">
      <formula>OR(J56=0,J56=4)</formula>
    </cfRule>
    <cfRule type="expression" dxfId="548" priority="87">
      <formula>AND(J56=1,IF(COUNTIF(J$28:J$32,"=1")=1,TRUE))</formula>
    </cfRule>
    <cfRule type="expression" dxfId="547" priority="88">
      <formula>AND(J56=3,IF(COUNTIF(J$28:J$32,"=3")=1,TRUE))</formula>
    </cfRule>
  </conditionalFormatting>
  <conditionalFormatting sqref="L42">
    <cfRule type="expression" dxfId="546" priority="83">
      <formula>OR(J42=0,J42=4)</formula>
    </cfRule>
    <cfRule type="expression" dxfId="545" priority="84">
      <formula>AND(J42=1,IF(COUNTIF(J$7:J$11,"=1")=1,TRUE))</formula>
    </cfRule>
    <cfRule type="expression" dxfId="544" priority="85">
      <formula>AND(J42=3,IF(COUNTIF(J$7:J$11,"=3")=1,TRUE))</formula>
    </cfRule>
  </conditionalFormatting>
  <conditionalFormatting sqref="E123 E125">
    <cfRule type="aboveAverage" dxfId="543" priority="82"/>
  </conditionalFormatting>
  <conditionalFormatting sqref="E127 E129">
    <cfRule type="aboveAverage" dxfId="542" priority="81"/>
  </conditionalFormatting>
  <conditionalFormatting sqref="G124 G128">
    <cfRule type="aboveAverage" dxfId="541" priority="80"/>
  </conditionalFormatting>
  <conditionalFormatting sqref="G131 G133">
    <cfRule type="aboveAverage" dxfId="540" priority="79"/>
  </conditionalFormatting>
  <conditionalFormatting sqref="E123 E125 E127 E129 G124 G128 G131 G133">
    <cfRule type="containsBlanks" dxfId="539" priority="78">
      <formula>LEN(TRIM(E123))=0</formula>
    </cfRule>
  </conditionalFormatting>
  <conditionalFormatting sqref="C102 C104">
    <cfRule type="aboveAverage" dxfId="538" priority="77"/>
  </conditionalFormatting>
  <conditionalFormatting sqref="E103 E107">
    <cfRule type="aboveAverage" dxfId="537" priority="76"/>
  </conditionalFormatting>
  <conditionalFormatting sqref="C110 C112">
    <cfRule type="aboveAverage" dxfId="536" priority="75"/>
  </conditionalFormatting>
  <conditionalFormatting sqref="G105 G113">
    <cfRule type="aboveAverage" dxfId="535" priority="74"/>
  </conditionalFormatting>
  <conditionalFormatting sqref="C102 C104 C110 C112 E103 G105 E107 G113">
    <cfRule type="containsBlanks" dxfId="534" priority="73">
      <formula>LEN(TRIM(C102))=0</formula>
    </cfRule>
  </conditionalFormatting>
  <conditionalFormatting sqref="C106 C108">
    <cfRule type="aboveAverage" dxfId="533" priority="72"/>
  </conditionalFormatting>
  <conditionalFormatting sqref="C106 C108">
    <cfRule type="containsBlanks" dxfId="532" priority="71">
      <formula>LEN(TRIM(C106))=0</formula>
    </cfRule>
  </conditionalFormatting>
  <conditionalFormatting sqref="C114 C116">
    <cfRule type="aboveAverage" dxfId="531" priority="70"/>
  </conditionalFormatting>
  <conditionalFormatting sqref="C114 C116">
    <cfRule type="containsBlanks" dxfId="530" priority="69">
      <formula>LEN(TRIM(C114))=0</formula>
    </cfRule>
  </conditionalFormatting>
  <conditionalFormatting sqref="E103">
    <cfRule type="aboveAverage" dxfId="529" priority="68"/>
  </conditionalFormatting>
  <conditionalFormatting sqref="E107">
    <cfRule type="aboveAverage" dxfId="528" priority="67"/>
  </conditionalFormatting>
  <conditionalFormatting sqref="G105">
    <cfRule type="aboveAverage" dxfId="527" priority="66"/>
  </conditionalFormatting>
  <conditionalFormatting sqref="G105">
    <cfRule type="aboveAverage" dxfId="526" priority="65"/>
  </conditionalFormatting>
  <conditionalFormatting sqref="G113">
    <cfRule type="aboveAverage" dxfId="525" priority="64"/>
  </conditionalFormatting>
  <conditionalFormatting sqref="G113">
    <cfRule type="aboveAverage" dxfId="524" priority="63"/>
  </conditionalFormatting>
  <conditionalFormatting sqref="G117 G119">
    <cfRule type="aboveAverage" dxfId="523" priority="62"/>
  </conditionalFormatting>
  <conditionalFormatting sqref="G117 G119">
    <cfRule type="containsBlanks" dxfId="522" priority="61">
      <formula>LEN(TRIM(G117))=0</formula>
    </cfRule>
  </conditionalFormatting>
  <conditionalFormatting sqref="E107">
    <cfRule type="aboveAverage" dxfId="521" priority="60"/>
  </conditionalFormatting>
  <conditionalFormatting sqref="E111 E115">
    <cfRule type="aboveAverage" dxfId="520" priority="59"/>
  </conditionalFormatting>
  <conditionalFormatting sqref="E111 E115">
    <cfRule type="containsBlanks" dxfId="519" priority="58">
      <formula>LEN(TRIM(E111))=0</formula>
    </cfRule>
  </conditionalFormatting>
  <conditionalFormatting sqref="E111">
    <cfRule type="aboveAverage" dxfId="518" priority="57"/>
  </conditionalFormatting>
  <conditionalFormatting sqref="E115">
    <cfRule type="aboveAverage" dxfId="517" priority="56"/>
  </conditionalFormatting>
  <conditionalFormatting sqref="E115">
    <cfRule type="aboveAverage" dxfId="516" priority="55"/>
  </conditionalFormatting>
  <conditionalFormatting sqref="G113">
    <cfRule type="aboveAverage" dxfId="515" priority="54"/>
  </conditionalFormatting>
  <conditionalFormatting sqref="G113">
    <cfRule type="aboveAverage" dxfId="514" priority="53"/>
  </conditionalFormatting>
  <conditionalFormatting sqref="E165 E167">
    <cfRule type="aboveAverage" dxfId="513" priority="52"/>
  </conditionalFormatting>
  <conditionalFormatting sqref="G162 G166">
    <cfRule type="aboveAverage" dxfId="512" priority="51"/>
  </conditionalFormatting>
  <conditionalFormatting sqref="G169 G171">
    <cfRule type="aboveAverage" dxfId="511" priority="50"/>
  </conditionalFormatting>
  <conditionalFormatting sqref="E165 E167 G162 G166 G169 G171">
    <cfRule type="containsBlanks" dxfId="510" priority="49">
      <formula>LEN(TRIM(E162))=0</formula>
    </cfRule>
  </conditionalFormatting>
  <conditionalFormatting sqref="E141 E145">
    <cfRule type="aboveAverage" dxfId="509" priority="48"/>
  </conditionalFormatting>
  <conditionalFormatting sqref="G143 G151">
    <cfRule type="aboveAverage" dxfId="508" priority="47"/>
  </conditionalFormatting>
  <conditionalFormatting sqref="E141 G143 E145 G151">
    <cfRule type="containsBlanks" dxfId="507" priority="46">
      <formula>LEN(TRIM(E141))=0</formula>
    </cfRule>
  </conditionalFormatting>
  <conditionalFormatting sqref="E141">
    <cfRule type="aboveAverage" dxfId="506" priority="45"/>
  </conditionalFormatting>
  <conditionalFormatting sqref="E145">
    <cfRule type="aboveAverage" dxfId="505" priority="44"/>
  </conditionalFormatting>
  <conditionalFormatting sqref="G143">
    <cfRule type="aboveAverage" dxfId="504" priority="43"/>
  </conditionalFormatting>
  <conditionalFormatting sqref="G143">
    <cfRule type="aboveAverage" dxfId="503" priority="42"/>
  </conditionalFormatting>
  <conditionalFormatting sqref="G151">
    <cfRule type="aboveAverage" dxfId="502" priority="41"/>
  </conditionalFormatting>
  <conditionalFormatting sqref="G151">
    <cfRule type="aboveAverage" dxfId="501" priority="40"/>
  </conditionalFormatting>
  <conditionalFormatting sqref="G155 G157">
    <cfRule type="aboveAverage" dxfId="500" priority="39"/>
  </conditionalFormatting>
  <conditionalFormatting sqref="G155 G157">
    <cfRule type="containsBlanks" dxfId="499" priority="38">
      <formula>LEN(TRIM(G155))=0</formula>
    </cfRule>
  </conditionalFormatting>
  <conditionalFormatting sqref="E145">
    <cfRule type="aboveAverage" dxfId="498" priority="37"/>
  </conditionalFormatting>
  <conditionalFormatting sqref="E149 E153">
    <cfRule type="aboveAverage" dxfId="497" priority="36"/>
  </conditionalFormatting>
  <conditionalFormatting sqref="E149 E153">
    <cfRule type="containsBlanks" dxfId="496" priority="35">
      <formula>LEN(TRIM(E149))=0</formula>
    </cfRule>
  </conditionalFormatting>
  <conditionalFormatting sqref="E149">
    <cfRule type="aboveAverage" dxfId="495" priority="34"/>
  </conditionalFormatting>
  <conditionalFormatting sqref="E153">
    <cfRule type="aboveAverage" dxfId="494" priority="33"/>
  </conditionalFormatting>
  <conditionalFormatting sqref="E153">
    <cfRule type="aboveAverage" dxfId="493" priority="32"/>
  </conditionalFormatting>
  <conditionalFormatting sqref="G151">
    <cfRule type="aboveAverage" dxfId="492" priority="31"/>
  </conditionalFormatting>
  <conditionalFormatting sqref="G151">
    <cfRule type="aboveAverage" dxfId="491" priority="30"/>
  </conditionalFormatting>
  <conditionalFormatting sqref="B301:B313 B315">
    <cfRule type="containsBlanks" dxfId="490" priority="269">
      <formula>LEN(TRIM(B301))=0</formula>
    </cfRule>
    <cfRule type="duplicateValues" dxfId="489" priority="270"/>
  </conditionalFormatting>
  <conditionalFormatting sqref="B300:B313 B315">
    <cfRule type="expression" dxfId="488" priority="25">
      <formula>A300=3</formula>
    </cfRule>
    <cfRule type="expression" dxfId="487" priority="26">
      <formula>A300=2</formula>
    </cfRule>
    <cfRule type="expression" dxfId="486" priority="27">
      <formula>A300=1</formula>
    </cfRule>
    <cfRule type="containsBlanks" dxfId="485" priority="28">
      <formula>LEN(TRIM(B300))=0</formula>
    </cfRule>
    <cfRule type="duplicateValues" dxfId="484" priority="29"/>
  </conditionalFormatting>
  <conditionalFormatting sqref="L14">
    <cfRule type="expression" dxfId="483" priority="23">
      <formula>OR(J14=0,J14=4)</formula>
    </cfRule>
    <cfRule type="expression" dxfId="482" priority="24">
      <formula>AND(J14=3,IF(COUNTIF(J$7:J$11,"=3")=1,TRUE))</formula>
    </cfRule>
  </conditionalFormatting>
  <conditionalFormatting sqref="H14:H16">
    <cfRule type="expression" dxfId="481" priority="20">
      <formula>AND(J14=1,IF(COUNTIF(J$7:J$11,"=1")&gt;=2,TRUE))</formula>
    </cfRule>
    <cfRule type="expression" dxfId="480" priority="21">
      <formula>AND(J14=3,IF(COUNTIF(J$7:J$11,"=3")&gt;=2,TRUE))</formula>
    </cfRule>
    <cfRule type="expression" dxfId="479" priority="22">
      <formula>AND(J14=2,IF(COUNTIF(J$7:J$11,"=2")&gt;=2,TRUE))</formula>
    </cfRule>
  </conditionalFormatting>
  <conditionalFormatting sqref="I17:I18">
    <cfRule type="expression" dxfId="478" priority="18">
      <formula>FIND(2,I17,1)</formula>
    </cfRule>
    <cfRule type="expression" dxfId="477" priority="19">
      <formula>FIND(1,I17,1)</formula>
    </cfRule>
  </conditionalFormatting>
  <conditionalFormatting sqref="I14:I16">
    <cfRule type="expression" dxfId="476" priority="16">
      <formula>FIND(2,I14,1)</formula>
    </cfRule>
    <cfRule type="expression" dxfId="475" priority="17">
      <formula>FIND(1,I14,1)</formula>
    </cfRule>
  </conditionalFormatting>
  <conditionalFormatting sqref="E161 E163">
    <cfRule type="containsBlanks" dxfId="474" priority="1">
      <formula>LEN(TRIM(E161))=0</formula>
    </cfRule>
  </conditionalFormatting>
  <conditionalFormatting sqref="A154">
    <cfRule type="cellIs" dxfId="473" priority="14" operator="equal">
      <formula>"-"</formula>
    </cfRule>
    <cfRule type="duplicateValues" dxfId="472" priority="15"/>
  </conditionalFormatting>
  <conditionalFormatting sqref="A146">
    <cfRule type="cellIs" dxfId="471" priority="12" operator="equal">
      <formula>"-"</formula>
    </cfRule>
    <cfRule type="duplicateValues" dxfId="470" priority="13"/>
  </conditionalFormatting>
  <conditionalFormatting sqref="C144 C146">
    <cfRule type="containsBlanks" dxfId="469" priority="5">
      <formula>LEN(TRIM(C144))=0</formula>
    </cfRule>
  </conditionalFormatting>
  <conditionalFormatting sqref="A150">
    <cfRule type="cellIs" dxfId="468" priority="10" operator="equal">
      <formula>"-"</formula>
    </cfRule>
    <cfRule type="duplicateValues" dxfId="467" priority="11"/>
  </conditionalFormatting>
  <conditionalFormatting sqref="C140 C142">
    <cfRule type="aboveAverage" dxfId="466" priority="9"/>
  </conditionalFormatting>
  <conditionalFormatting sqref="C148 C150">
    <cfRule type="aboveAverage" dxfId="465" priority="8"/>
  </conditionalFormatting>
  <conditionalFormatting sqref="C140 C142 C148 C150">
    <cfRule type="containsBlanks" dxfId="464" priority="7">
      <formula>LEN(TRIM(C140))=0</formula>
    </cfRule>
  </conditionalFormatting>
  <conditionalFormatting sqref="C144 C146">
    <cfRule type="aboveAverage" dxfId="463" priority="6"/>
  </conditionalFormatting>
  <conditionalFormatting sqref="C152 C154">
    <cfRule type="aboveAverage" dxfId="462" priority="4"/>
  </conditionalFormatting>
  <conditionalFormatting sqref="C152 C154">
    <cfRule type="containsBlanks" dxfId="461" priority="3">
      <formula>LEN(TRIM(C152))=0</formula>
    </cfRule>
  </conditionalFormatting>
  <conditionalFormatting sqref="E161 E163">
    <cfRule type="aboveAverage" dxfId="460" priority="2"/>
  </conditionalFormatting>
  <conditionalFormatting sqref="T7:T60 X7:X60 Z7:Z60">
    <cfRule type="expression" dxfId="459" priority="303">
      <formula>AND(S7="",COUNTIF(T7,"*,*")=0)</formula>
    </cfRule>
  </conditionalFormatting>
  <conditionalFormatting sqref="V7:V60">
    <cfRule type="expression" dxfId="458" priority="304">
      <formula>AND(U7="",FIND(",",V7))</formula>
    </cfRule>
    <cfRule type="expression" dxfId="457" priority="305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2" manualBreakCount="2">
    <brk id="68" max="16383" man="1"/>
    <brk id="13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19"/>
  <sheetViews>
    <sheetView showGridLines="0" showRowColHeaders="0" workbookViewId="0">
      <pane ySplit="3" topLeftCell="A4" activePane="bottomLeft" state="frozen"/>
      <selection pane="bottomLeft" activeCell="G1" sqref="G1"/>
    </sheetView>
  </sheetViews>
  <sheetFormatPr defaultRowHeight="12.75" x14ac:dyDescent="0.2"/>
  <cols>
    <col min="1" max="1" width="6.140625" style="1" customWidth="1"/>
    <col min="2" max="2" width="18.85546875" style="1" customWidth="1"/>
    <col min="3" max="3" width="7.5703125" style="1" customWidth="1"/>
    <col min="4" max="6" width="7" style="1" customWidth="1"/>
    <col min="7" max="7" width="7" style="1" bestFit="1" customWidth="1"/>
    <col min="8" max="9" width="7" style="1" customWidth="1"/>
    <col min="10" max="16384" width="9.140625" style="1"/>
  </cols>
  <sheetData>
    <row r="1" spans="1:9" x14ac:dyDescent="0.2">
      <c r="A1" s="594" t="s">
        <v>212</v>
      </c>
      <c r="B1" s="595"/>
      <c r="C1" s="595"/>
      <c r="D1" s="595"/>
      <c r="E1" s="595"/>
      <c r="F1" s="595"/>
      <c r="G1" s="595"/>
      <c r="I1" s="626" t="s">
        <v>228</v>
      </c>
    </row>
    <row r="2" spans="1:9" x14ac:dyDescent="0.2">
      <c r="A2" s="595" t="s">
        <v>213</v>
      </c>
      <c r="B2" s="595"/>
      <c r="C2" s="595"/>
      <c r="D2" s="595"/>
      <c r="E2" s="595"/>
      <c r="F2" s="595"/>
      <c r="G2" s="595"/>
      <c r="I2" s="627" t="s">
        <v>229</v>
      </c>
    </row>
    <row r="3" spans="1:9" x14ac:dyDescent="0.2">
      <c r="B3" s="595"/>
      <c r="C3" s="595"/>
      <c r="D3" s="595"/>
      <c r="E3" s="595"/>
      <c r="F3" s="595"/>
      <c r="G3" s="876" t="s">
        <v>214</v>
      </c>
      <c r="I3" s="628" t="s">
        <v>230</v>
      </c>
    </row>
    <row r="4" spans="1:9" x14ac:dyDescent="0.2">
      <c r="A4" s="595"/>
      <c r="B4" s="595"/>
      <c r="C4" s="595"/>
      <c r="D4" s="595"/>
      <c r="E4" s="595"/>
      <c r="F4" s="595"/>
      <c r="G4" s="595"/>
    </row>
    <row r="5" spans="1:9" x14ac:dyDescent="0.2">
      <c r="A5" s="596"/>
      <c r="B5" s="596"/>
      <c r="C5" s="596"/>
      <c r="D5" s="597" t="str">
        <f>MID(Kalend!$A13,4,5)</f>
        <v>25.11</v>
      </c>
      <c r="E5" s="597" t="str">
        <f>MID(Kalend!$A29,4,5)</f>
        <v>20.01</v>
      </c>
      <c r="F5" s="598" t="str">
        <f>MID(Kalend!$A37,4,5)</f>
        <v>17.02</v>
      </c>
      <c r="G5" s="599" t="str">
        <f>MID(Kalend!$A49,4,5)</f>
        <v>24.03</v>
      </c>
    </row>
    <row r="6" spans="1:9" x14ac:dyDescent="0.2">
      <c r="A6" s="596"/>
      <c r="B6" s="596"/>
      <c r="C6" s="596"/>
      <c r="D6" s="600" t="s">
        <v>173</v>
      </c>
      <c r="E6" s="600" t="s">
        <v>173</v>
      </c>
      <c r="F6" s="601" t="s">
        <v>173</v>
      </c>
      <c r="G6" s="602" t="s">
        <v>173</v>
      </c>
    </row>
    <row r="7" spans="1:9" ht="15" x14ac:dyDescent="0.25">
      <c r="A7" s="603" t="s">
        <v>215</v>
      </c>
      <c r="B7" s="604" t="s">
        <v>216</v>
      </c>
      <c r="C7" s="603" t="s">
        <v>217</v>
      </c>
      <c r="D7" s="605">
        <v>1</v>
      </c>
      <c r="E7" s="605">
        <v>2</v>
      </c>
      <c r="F7" s="606">
        <v>3</v>
      </c>
      <c r="G7" s="607" t="s">
        <v>218</v>
      </c>
    </row>
    <row r="8" spans="1:9" ht="15" x14ac:dyDescent="0.25">
      <c r="A8" s="608">
        <f>RANK(C8,C$8:C$16,0)</f>
        <v>1</v>
      </c>
      <c r="B8" s="596" t="s">
        <v>65</v>
      </c>
      <c r="C8" s="603">
        <f t="shared" ref="C8:C16" si="0">SUM(D8:F8)</f>
        <v>163</v>
      </c>
      <c r="D8" s="609">
        <v>56</v>
      </c>
      <c r="E8" s="609">
        <v>53</v>
      </c>
      <c r="F8" s="610">
        <v>54</v>
      </c>
      <c r="G8" s="611">
        <v>2</v>
      </c>
    </row>
    <row r="9" spans="1:9" ht="15" x14ac:dyDescent="0.25">
      <c r="A9" s="608">
        <f t="shared" ref="A9:A16" si="1">RANK(C9,C$8:C$16,0)</f>
        <v>2</v>
      </c>
      <c r="B9" s="596" t="s">
        <v>219</v>
      </c>
      <c r="C9" s="603">
        <f t="shared" si="0"/>
        <v>78</v>
      </c>
      <c r="D9" s="612">
        <v>43</v>
      </c>
      <c r="E9" s="613">
        <v>35</v>
      </c>
      <c r="F9" s="614"/>
      <c r="G9" s="615"/>
    </row>
    <row r="10" spans="1:9" ht="15" x14ac:dyDescent="0.25">
      <c r="A10" s="608">
        <f t="shared" si="1"/>
        <v>3</v>
      </c>
      <c r="B10" s="596" t="s">
        <v>220</v>
      </c>
      <c r="C10" s="603">
        <f t="shared" si="0"/>
        <v>46</v>
      </c>
      <c r="D10" s="616">
        <v>18</v>
      </c>
      <c r="E10" s="616"/>
      <c r="F10" s="617">
        <v>28</v>
      </c>
      <c r="G10" s="615">
        <v>4</v>
      </c>
    </row>
    <row r="11" spans="1:9" ht="15" x14ac:dyDescent="0.25">
      <c r="A11" s="608">
        <f t="shared" si="1"/>
        <v>4</v>
      </c>
      <c r="B11" s="596" t="s">
        <v>221</v>
      </c>
      <c r="C11" s="603">
        <f t="shared" si="0"/>
        <v>44</v>
      </c>
      <c r="D11" s="613">
        <v>44</v>
      </c>
      <c r="E11" s="616"/>
      <c r="F11" s="614"/>
      <c r="G11" s="618">
        <v>1</v>
      </c>
    </row>
    <row r="12" spans="1:9" ht="15" x14ac:dyDescent="0.25">
      <c r="A12" s="608">
        <f t="shared" si="1"/>
        <v>5</v>
      </c>
      <c r="B12" s="596" t="s">
        <v>222</v>
      </c>
      <c r="C12" s="603">
        <f t="shared" si="0"/>
        <v>25</v>
      </c>
      <c r="D12" s="616"/>
      <c r="E12" s="616"/>
      <c r="F12" s="619">
        <v>25</v>
      </c>
      <c r="G12" s="615"/>
    </row>
    <row r="13" spans="1:9" ht="15" x14ac:dyDescent="0.25">
      <c r="A13" s="608">
        <f t="shared" si="1"/>
        <v>6</v>
      </c>
      <c r="B13" s="596" t="s">
        <v>223</v>
      </c>
      <c r="C13" s="603">
        <f t="shared" si="0"/>
        <v>24</v>
      </c>
      <c r="D13" s="616">
        <v>24</v>
      </c>
      <c r="E13" s="616"/>
      <c r="F13" s="614"/>
      <c r="G13" s="620">
        <v>3</v>
      </c>
    </row>
    <row r="14" spans="1:9" ht="15" x14ac:dyDescent="0.25">
      <c r="A14" s="608">
        <f t="shared" si="1"/>
        <v>7</v>
      </c>
      <c r="B14" s="621" t="s">
        <v>224</v>
      </c>
      <c r="C14" s="603">
        <f t="shared" si="0"/>
        <v>13</v>
      </c>
      <c r="D14" s="616">
        <v>13</v>
      </c>
      <c r="E14" s="616"/>
      <c r="F14" s="614"/>
      <c r="G14" s="615"/>
    </row>
    <row r="15" spans="1:9" ht="15" x14ac:dyDescent="0.25">
      <c r="A15" s="608">
        <f t="shared" si="1"/>
        <v>7</v>
      </c>
      <c r="B15" s="621" t="s">
        <v>225</v>
      </c>
      <c r="C15" s="603">
        <f t="shared" si="0"/>
        <v>13</v>
      </c>
      <c r="D15" s="616">
        <v>13</v>
      </c>
      <c r="E15" s="616"/>
      <c r="F15" s="614"/>
      <c r="G15" s="615">
        <v>5</v>
      </c>
    </row>
    <row r="16" spans="1:9" ht="15" x14ac:dyDescent="0.25">
      <c r="A16" s="608">
        <f t="shared" si="1"/>
        <v>9</v>
      </c>
      <c r="B16" s="596" t="s">
        <v>226</v>
      </c>
      <c r="C16" s="603">
        <f t="shared" si="0"/>
        <v>12</v>
      </c>
      <c r="D16" s="616"/>
      <c r="E16" s="612">
        <v>12</v>
      </c>
      <c r="F16" s="614"/>
      <c r="G16" s="615"/>
    </row>
    <row r="17" spans="1:7" x14ac:dyDescent="0.2">
      <c r="A17" s="622"/>
      <c r="B17" s="623" t="s">
        <v>227</v>
      </c>
      <c r="C17" s="624"/>
      <c r="D17" s="625">
        <f>COUNTIF(D$8:D$16,"&gt;0")</f>
        <v>7</v>
      </c>
      <c r="E17" s="625">
        <f t="shared" ref="E17:G17" si="2">COUNTIF(E$8:E$16,"&gt;0")</f>
        <v>3</v>
      </c>
      <c r="F17" s="625">
        <f t="shared" si="2"/>
        <v>3</v>
      </c>
      <c r="G17" s="625">
        <f t="shared" si="2"/>
        <v>5</v>
      </c>
    </row>
    <row r="18" spans="1:7" x14ac:dyDescent="0.2">
      <c r="A18" s="595"/>
      <c r="B18" s="595"/>
      <c r="C18" s="595"/>
      <c r="D18" s="595"/>
      <c r="E18" s="595"/>
      <c r="F18" s="595"/>
      <c r="G18" s="595"/>
    </row>
    <row r="19" spans="1:7" x14ac:dyDescent="0.2">
      <c r="A19" s="595"/>
      <c r="B19" s="595"/>
      <c r="C19" s="595"/>
      <c r="D19" s="595"/>
      <c r="E19" s="595"/>
      <c r="F19" s="595"/>
      <c r="G19" s="595"/>
    </row>
  </sheetData>
  <conditionalFormatting sqref="D17:G17">
    <cfRule type="top10" dxfId="3704" priority="3" rank="1"/>
  </conditionalFormatting>
  <conditionalFormatting sqref="C8:C16">
    <cfRule type="duplicateValues" dxfId="3703" priority="2"/>
  </conditionalFormatting>
  <conditionalFormatting sqref="A8:A16">
    <cfRule type="duplicateValues" dxfId="3702" priority="1"/>
  </conditionalFormatting>
  <pageMargins left="0.78740157480314965" right="0.39370078740157483" top="0.78740157480314965" bottom="0.39370078740157483" header="0.59055118110236227" footer="0"/>
  <pageSetup paperSize="9" fitToHeight="0" orientation="portrait" verticalDpi="0" r:id="rId1"/>
  <headerFooter>
    <oddHeader>&amp;R&amp;9Page &amp;P of &amp;N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R307"/>
  <sheetViews>
    <sheetView showGridLines="0" showRowColHeaders="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51" style="1" bestFit="1" customWidth="1"/>
    <col min="3" max="12" width="5.140625" style="1" customWidth="1"/>
    <col min="13" max="14" width="4.7109375" style="1" customWidth="1"/>
    <col min="15" max="16384" width="9.140625" style="1"/>
  </cols>
  <sheetData>
    <row r="1" spans="1:18" x14ac:dyDescent="0.2">
      <c r="A1" s="753" t="str">
        <f>UPPER((Kalend!E55)&amp;" - "&amp;(Kalend!C55)&amp;" - "&amp;(Kalend!D55))</f>
        <v>V-FIN - VOKA 2. SISE-KV SUPERFINAAL - LOOSITRIO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755"/>
      <c r="K1" s="755"/>
      <c r="M1" s="755"/>
      <c r="N1" s="755"/>
      <c r="O1" s="755"/>
      <c r="P1" s="755"/>
      <c r="Q1" s="755"/>
      <c r="R1" s="755"/>
    </row>
    <row r="2" spans="1:18" x14ac:dyDescent="0.2">
      <c r="A2" s="757" t="str">
        <f>"Toimumisaeg: "&amp;(Kalend!A55)&amp;" kell "&amp;(Kalend!B55)</f>
        <v>Toimumisaeg: P, 14.04.2019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</row>
    <row r="3" spans="1:18" x14ac:dyDescent="0.2">
      <c r="A3" s="757" t="str">
        <f>"Toimumiskoht: "&amp;(Kalend!F55)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</row>
    <row r="4" spans="1:18" x14ac:dyDescent="0.2">
      <c r="A4" s="757" t="str">
        <f>"Korraldaja: "&amp;(Kalend!G55)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9" t="s">
        <v>357</v>
      </c>
      <c r="M4" s="757"/>
      <c r="N4" s="757"/>
      <c r="O4" s="757"/>
      <c r="P4" s="757"/>
      <c r="Q4" s="757"/>
      <c r="R4" s="757"/>
    </row>
    <row r="5" spans="1:18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N5" s="760"/>
      <c r="O5" s="760"/>
      <c r="Q5" s="760"/>
      <c r="R5" s="757"/>
    </row>
    <row r="6" spans="1:18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>
        <v>6</v>
      </c>
      <c r="I6" s="767">
        <v>7</v>
      </c>
      <c r="J6" s="767">
        <v>8</v>
      </c>
      <c r="K6" s="767" t="s">
        <v>363</v>
      </c>
      <c r="L6" s="766" t="s">
        <v>364</v>
      </c>
      <c r="M6" s="768" t="s">
        <v>21</v>
      </c>
      <c r="N6" s="769" t="s">
        <v>365</v>
      </c>
      <c r="Q6" s="771"/>
      <c r="R6" s="212"/>
    </row>
    <row r="7" spans="1:18" x14ac:dyDescent="0.2">
      <c r="A7" s="765">
        <v>1</v>
      </c>
      <c r="B7" s="775" t="s">
        <v>599</v>
      </c>
      <c r="C7" s="776"/>
      <c r="D7" s="766">
        <v>13</v>
      </c>
      <c r="E7" s="766">
        <v>13</v>
      </c>
      <c r="F7" s="778">
        <v>5</v>
      </c>
      <c r="G7" s="766">
        <v>13</v>
      </c>
      <c r="H7" s="767">
        <v>12</v>
      </c>
      <c r="I7" s="779">
        <v>5</v>
      </c>
      <c r="J7" s="779">
        <v>11</v>
      </c>
      <c r="K7" s="1069" t="s">
        <v>606</v>
      </c>
      <c r="L7" s="766">
        <v>3</v>
      </c>
      <c r="M7" s="843"/>
      <c r="N7" s="782"/>
      <c r="Q7" s="770"/>
      <c r="R7" s="212"/>
    </row>
    <row r="8" spans="1:18" x14ac:dyDescent="0.2">
      <c r="A8" s="765">
        <v>2</v>
      </c>
      <c r="B8" s="775" t="s">
        <v>600</v>
      </c>
      <c r="C8" s="778">
        <v>6</v>
      </c>
      <c r="D8" s="776"/>
      <c r="E8" s="1071">
        <v>13</v>
      </c>
      <c r="F8" s="766">
        <v>13</v>
      </c>
      <c r="G8" s="766">
        <v>13</v>
      </c>
      <c r="H8" s="767">
        <v>13</v>
      </c>
      <c r="I8" s="767">
        <v>13</v>
      </c>
      <c r="J8" s="779">
        <v>7</v>
      </c>
      <c r="K8" s="1070" t="s">
        <v>607</v>
      </c>
      <c r="L8" s="766">
        <v>1</v>
      </c>
      <c r="M8" s="1072" t="s">
        <v>269</v>
      </c>
      <c r="N8" s="782"/>
      <c r="Q8" s="770"/>
      <c r="R8" s="212"/>
    </row>
    <row r="9" spans="1:18" x14ac:dyDescent="0.2">
      <c r="A9" s="765">
        <v>3</v>
      </c>
      <c r="B9" s="775" t="s">
        <v>601</v>
      </c>
      <c r="C9" s="778">
        <v>9</v>
      </c>
      <c r="D9" s="966">
        <v>4</v>
      </c>
      <c r="E9" s="776"/>
      <c r="F9" s="766">
        <v>13</v>
      </c>
      <c r="G9" s="766">
        <v>13</v>
      </c>
      <c r="H9" s="766">
        <v>13</v>
      </c>
      <c r="I9" s="766">
        <v>13</v>
      </c>
      <c r="J9" s="766">
        <v>13</v>
      </c>
      <c r="K9" s="1070" t="s">
        <v>607</v>
      </c>
      <c r="L9" s="766">
        <v>2</v>
      </c>
      <c r="M9" s="1072" t="s">
        <v>268</v>
      </c>
      <c r="N9" s="782"/>
      <c r="Q9" s="771"/>
      <c r="R9" s="212"/>
    </row>
    <row r="10" spans="1:18" x14ac:dyDescent="0.2">
      <c r="A10" s="765">
        <v>4</v>
      </c>
      <c r="B10" s="775" t="s">
        <v>602</v>
      </c>
      <c r="C10" s="766">
        <v>13</v>
      </c>
      <c r="D10" s="787">
        <v>10</v>
      </c>
      <c r="E10" s="778">
        <v>11</v>
      </c>
      <c r="F10" s="776"/>
      <c r="G10" s="766">
        <v>13</v>
      </c>
      <c r="H10" s="788">
        <v>5</v>
      </c>
      <c r="I10" s="1076">
        <v>13</v>
      </c>
      <c r="J10" s="1077">
        <v>2</v>
      </c>
      <c r="K10" s="1073" t="s">
        <v>381</v>
      </c>
      <c r="L10" s="766">
        <v>7</v>
      </c>
      <c r="M10" s="932" t="s">
        <v>608</v>
      </c>
      <c r="N10" s="1080">
        <v>-9</v>
      </c>
      <c r="O10" s="791"/>
      <c r="Q10" s="770"/>
      <c r="R10" s="212"/>
    </row>
    <row r="11" spans="1:18" x14ac:dyDescent="0.2">
      <c r="A11" s="765">
        <v>5</v>
      </c>
      <c r="B11" s="792" t="s">
        <v>603</v>
      </c>
      <c r="C11" s="778">
        <v>6</v>
      </c>
      <c r="D11" s="778">
        <v>3</v>
      </c>
      <c r="E11" s="778">
        <v>3</v>
      </c>
      <c r="F11" s="778">
        <v>5</v>
      </c>
      <c r="G11" s="776"/>
      <c r="H11" s="767">
        <v>13</v>
      </c>
      <c r="I11" s="779">
        <v>10</v>
      </c>
      <c r="J11" s="767">
        <v>13</v>
      </c>
      <c r="K11" s="1069" t="s">
        <v>380</v>
      </c>
      <c r="L11" s="766">
        <v>8</v>
      </c>
      <c r="M11" s="843"/>
      <c r="N11" s="782"/>
      <c r="Q11" s="770"/>
      <c r="R11" s="212"/>
    </row>
    <row r="12" spans="1:18" x14ac:dyDescent="0.2">
      <c r="A12" s="765">
        <v>6</v>
      </c>
      <c r="B12" s="775" t="s">
        <v>604</v>
      </c>
      <c r="C12" s="793">
        <v>8</v>
      </c>
      <c r="D12" s="793">
        <v>9</v>
      </c>
      <c r="E12" s="794">
        <v>9</v>
      </c>
      <c r="F12" s="1074">
        <v>13</v>
      </c>
      <c r="G12" s="793">
        <v>10</v>
      </c>
      <c r="H12" s="977"/>
      <c r="I12" s="1074">
        <v>13</v>
      </c>
      <c r="J12" s="1074">
        <v>13</v>
      </c>
      <c r="K12" s="1073" t="s">
        <v>381</v>
      </c>
      <c r="L12" s="766">
        <v>4</v>
      </c>
      <c r="M12" s="1083" t="s">
        <v>609</v>
      </c>
      <c r="N12" s="798"/>
      <c r="Q12" s="770"/>
      <c r="R12" s="757"/>
    </row>
    <row r="13" spans="1:18" x14ac:dyDescent="0.2">
      <c r="A13" s="765">
        <v>7</v>
      </c>
      <c r="B13" s="775" t="s">
        <v>605</v>
      </c>
      <c r="C13" s="980">
        <v>13</v>
      </c>
      <c r="D13" s="793">
        <v>2</v>
      </c>
      <c r="E13" s="794">
        <v>1</v>
      </c>
      <c r="F13" s="1078">
        <v>11</v>
      </c>
      <c r="G13" s="980">
        <v>13</v>
      </c>
      <c r="H13" s="1075">
        <v>10</v>
      </c>
      <c r="I13" s="977"/>
      <c r="J13" s="1079">
        <v>13</v>
      </c>
      <c r="K13" s="1073" t="s">
        <v>381</v>
      </c>
      <c r="L13" s="766">
        <v>5</v>
      </c>
      <c r="M13" s="1083" t="s">
        <v>608</v>
      </c>
      <c r="N13" s="1081">
        <v>9</v>
      </c>
      <c r="Q13" s="770"/>
      <c r="R13" s="757"/>
    </row>
    <row r="14" spans="1:18" x14ac:dyDescent="0.2">
      <c r="A14" s="765">
        <v>8</v>
      </c>
      <c r="B14" s="775" t="s">
        <v>525</v>
      </c>
      <c r="C14" s="980">
        <v>13</v>
      </c>
      <c r="D14" s="980">
        <v>13</v>
      </c>
      <c r="E14" s="794">
        <v>7</v>
      </c>
      <c r="F14" s="1079">
        <v>13</v>
      </c>
      <c r="G14" s="793">
        <v>4</v>
      </c>
      <c r="H14" s="1075">
        <v>11</v>
      </c>
      <c r="I14" s="1078">
        <v>2</v>
      </c>
      <c r="J14" s="977"/>
      <c r="K14" s="1073" t="s">
        <v>381</v>
      </c>
      <c r="L14" s="766">
        <v>6</v>
      </c>
      <c r="M14" s="1084" t="s">
        <v>608</v>
      </c>
      <c r="N14" s="1082">
        <v>0</v>
      </c>
      <c r="O14" s="770"/>
      <c r="P14" s="771"/>
      <c r="Q14" s="770"/>
      <c r="R14" s="757"/>
    </row>
    <row r="15" spans="1:18" x14ac:dyDescent="0.2">
      <c r="A15" s="757"/>
      <c r="L15" s="770"/>
      <c r="M15" s="770"/>
      <c r="N15" s="770"/>
      <c r="O15" s="770"/>
      <c r="Q15" s="770"/>
      <c r="R15" s="757"/>
    </row>
    <row r="16" spans="1:18" x14ac:dyDescent="0.2">
      <c r="A16" s="757"/>
      <c r="B16" s="1067" t="s">
        <v>373</v>
      </c>
      <c r="C16" s="846" t="s">
        <v>610</v>
      </c>
      <c r="D16" s="846" t="s">
        <v>587</v>
      </c>
      <c r="E16" s="846" t="s">
        <v>499</v>
      </c>
      <c r="F16" s="846" t="s">
        <v>378</v>
      </c>
      <c r="G16" s="846"/>
      <c r="H16" s="846"/>
      <c r="I16" s="846"/>
      <c r="J16" s="846"/>
      <c r="L16" s="770"/>
      <c r="M16" s="770"/>
      <c r="N16" s="770"/>
      <c r="O16" s="770"/>
      <c r="Q16" s="770"/>
      <c r="R16" s="757"/>
    </row>
    <row r="17" spans="1:18" x14ac:dyDescent="0.2">
      <c r="A17" s="757"/>
      <c r="B17" s="1067" t="s">
        <v>376</v>
      </c>
      <c r="C17" s="846" t="s">
        <v>611</v>
      </c>
      <c r="D17" s="846" t="s">
        <v>612</v>
      </c>
      <c r="E17" s="846" t="s">
        <v>381</v>
      </c>
      <c r="F17" s="846" t="s">
        <v>501</v>
      </c>
      <c r="G17" s="846"/>
      <c r="H17" s="846"/>
      <c r="I17" s="846"/>
      <c r="J17" s="846"/>
      <c r="L17" s="770"/>
      <c r="M17" s="770"/>
      <c r="N17" s="770"/>
      <c r="O17" s="770"/>
      <c r="Q17" s="770"/>
      <c r="R17" s="757"/>
    </row>
    <row r="18" spans="1:18" x14ac:dyDescent="0.2">
      <c r="A18" s="757"/>
      <c r="B18" s="1067" t="s">
        <v>379</v>
      </c>
      <c r="C18" s="846" t="s">
        <v>497</v>
      </c>
      <c r="D18" s="846" t="s">
        <v>380</v>
      </c>
      <c r="E18" s="846" t="s">
        <v>613</v>
      </c>
      <c r="F18" s="846" t="s">
        <v>614</v>
      </c>
      <c r="G18" s="846"/>
      <c r="H18" s="846"/>
      <c r="I18" s="846"/>
      <c r="J18" s="846"/>
      <c r="L18" s="770"/>
      <c r="M18" s="770"/>
      <c r="N18" s="770"/>
      <c r="O18" s="770"/>
      <c r="P18" s="770"/>
      <c r="Q18" s="770"/>
      <c r="R18" s="757"/>
    </row>
    <row r="19" spans="1:18" x14ac:dyDescent="0.2">
      <c r="A19" s="212"/>
      <c r="B19" s="1067" t="s">
        <v>382</v>
      </c>
      <c r="C19" s="846" t="s">
        <v>374</v>
      </c>
      <c r="D19" s="846" t="s">
        <v>386</v>
      </c>
      <c r="E19" s="846" t="s">
        <v>613</v>
      </c>
      <c r="F19" s="846" t="s">
        <v>614</v>
      </c>
      <c r="G19" s="846"/>
      <c r="H19" s="846"/>
      <c r="I19" s="846"/>
      <c r="J19" s="846"/>
      <c r="L19" s="770"/>
      <c r="M19" s="770"/>
      <c r="N19" s="770"/>
      <c r="O19" s="770"/>
      <c r="P19" s="770"/>
      <c r="Q19" s="770"/>
      <c r="R19" s="212"/>
    </row>
    <row r="20" spans="1:18" x14ac:dyDescent="0.2">
      <c r="A20" s="770"/>
      <c r="B20" s="1067" t="s">
        <v>385</v>
      </c>
      <c r="C20" s="846" t="s">
        <v>387</v>
      </c>
      <c r="D20" s="846" t="s">
        <v>500</v>
      </c>
      <c r="E20" s="846" t="s">
        <v>384</v>
      </c>
      <c r="F20" s="846" t="s">
        <v>615</v>
      </c>
      <c r="G20" s="846"/>
      <c r="H20" s="846"/>
      <c r="I20" s="846"/>
      <c r="J20" s="846"/>
      <c r="K20" s="770"/>
      <c r="L20" s="770"/>
      <c r="M20" s="770"/>
      <c r="N20" s="770"/>
      <c r="O20" s="770"/>
      <c r="Q20" s="770"/>
      <c r="R20" s="212"/>
    </row>
    <row r="21" spans="1:18" x14ac:dyDescent="0.2">
      <c r="A21" s="770"/>
      <c r="B21" s="982" t="s">
        <v>446</v>
      </c>
      <c r="C21" s="846" t="s">
        <v>408</v>
      </c>
      <c r="D21" s="846" t="s">
        <v>616</v>
      </c>
      <c r="E21" s="846" t="s">
        <v>617</v>
      </c>
      <c r="F21" s="846" t="s">
        <v>498</v>
      </c>
      <c r="G21" s="846"/>
      <c r="H21" s="846"/>
      <c r="I21" s="846"/>
      <c r="J21" s="846"/>
      <c r="K21" s="212"/>
      <c r="L21" s="212"/>
      <c r="M21" s="770"/>
      <c r="N21" s="770"/>
      <c r="O21" s="770"/>
      <c r="P21" s="770"/>
      <c r="Q21" s="770"/>
      <c r="R21" s="212"/>
    </row>
    <row r="22" spans="1:18" x14ac:dyDescent="0.2">
      <c r="A22" s="770"/>
      <c r="B22" s="982" t="s">
        <v>586</v>
      </c>
      <c r="C22" s="846" t="s">
        <v>377</v>
      </c>
      <c r="D22" s="846" t="s">
        <v>375</v>
      </c>
      <c r="E22" s="846" t="s">
        <v>539</v>
      </c>
      <c r="F22" s="846" t="s">
        <v>595</v>
      </c>
      <c r="G22" s="846"/>
      <c r="H22" s="846"/>
      <c r="I22" s="846"/>
      <c r="J22" s="846"/>
      <c r="K22" s="212"/>
      <c r="L22" s="212"/>
      <c r="M22" s="770"/>
      <c r="N22" s="770"/>
      <c r="O22" s="770"/>
      <c r="Q22" s="770"/>
      <c r="R22" s="212"/>
    </row>
    <row r="23" spans="1:18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212"/>
      <c r="L23" s="212"/>
      <c r="M23" s="770"/>
      <c r="N23" s="770"/>
      <c r="O23" s="770"/>
      <c r="P23" s="770"/>
      <c r="Q23" s="770"/>
      <c r="R23" s="212"/>
    </row>
    <row r="24" spans="1:18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212"/>
      <c r="L24" s="212"/>
      <c r="M24" s="770"/>
      <c r="N24" s="770"/>
      <c r="O24" s="770"/>
      <c r="P24" s="771"/>
      <c r="Q24" s="770"/>
      <c r="R24" s="212"/>
    </row>
    <row r="25" spans="1:18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212"/>
      <c r="L25" s="212"/>
      <c r="M25" s="770"/>
      <c r="N25" s="770"/>
      <c r="O25" s="770"/>
      <c r="Q25" s="770"/>
      <c r="R25" s="212"/>
    </row>
    <row r="26" spans="1:18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212"/>
      <c r="L26" s="212"/>
      <c r="M26" s="770"/>
      <c r="N26" s="770"/>
      <c r="O26" s="770"/>
      <c r="P26" s="770"/>
      <c r="Q26" s="770"/>
      <c r="R26" s="212"/>
    </row>
    <row r="27" spans="1:18" hidden="1" x14ac:dyDescent="0.2">
      <c r="A27" s="770"/>
      <c r="B27" s="770"/>
      <c r="C27" s="770"/>
      <c r="D27" s="770"/>
      <c r="E27" s="770"/>
      <c r="F27" s="770"/>
      <c r="G27" s="770"/>
      <c r="H27" s="212"/>
      <c r="I27" s="212"/>
      <c r="J27" s="212"/>
      <c r="K27" s="212"/>
      <c r="L27" s="212"/>
      <c r="M27" s="770"/>
      <c r="N27" s="770"/>
      <c r="O27" s="770"/>
      <c r="P27" s="801"/>
      <c r="Q27" s="770"/>
      <c r="R27" s="212"/>
    </row>
    <row r="28" spans="1:18" hidden="1" x14ac:dyDescent="0.2">
      <c r="A28" s="770"/>
      <c r="B28" s="770"/>
      <c r="C28" s="770"/>
      <c r="D28" s="770"/>
      <c r="E28" s="770"/>
      <c r="F28" s="770"/>
      <c r="G28" s="770"/>
      <c r="H28" s="212"/>
      <c r="I28" s="212"/>
      <c r="J28" s="212"/>
      <c r="K28" s="212"/>
      <c r="L28" s="212"/>
      <c r="M28" s="770"/>
      <c r="N28" s="770"/>
      <c r="O28" s="770"/>
      <c r="Q28" s="770"/>
      <c r="R28" s="212"/>
    </row>
    <row r="29" spans="1:18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802"/>
      <c r="L29" s="802"/>
      <c r="M29" s="770"/>
      <c r="N29" s="770"/>
      <c r="O29" s="770"/>
      <c r="Q29" s="770"/>
      <c r="R29" s="802"/>
    </row>
    <row r="30" spans="1:18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802"/>
      <c r="L30" s="802"/>
      <c r="M30" s="770"/>
      <c r="N30" s="770"/>
      <c r="O30" s="770"/>
      <c r="Q30" s="770"/>
      <c r="R30" s="802"/>
    </row>
    <row r="31" spans="1:18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802"/>
      <c r="L31" s="802"/>
      <c r="M31" s="770"/>
      <c r="N31" s="770"/>
      <c r="O31" s="770"/>
      <c r="P31" s="801"/>
      <c r="Q31" s="770"/>
      <c r="R31" s="802"/>
    </row>
    <row r="32" spans="1:18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802"/>
      <c r="L32" s="802"/>
      <c r="M32" s="770"/>
      <c r="N32" s="770"/>
      <c r="O32" s="770"/>
      <c r="Q32" s="770"/>
      <c r="R32" s="802"/>
    </row>
    <row r="33" spans="1:18" hidden="1" x14ac:dyDescent="0.2">
      <c r="A33" s="770"/>
      <c r="B33" s="770"/>
      <c r="C33" s="770"/>
      <c r="D33" s="770"/>
      <c r="E33" s="770"/>
      <c r="F33" s="770"/>
      <c r="G33" s="770"/>
      <c r="H33" s="802"/>
      <c r="I33" s="802"/>
      <c r="J33" s="802"/>
      <c r="K33" s="802"/>
      <c r="L33" s="802"/>
      <c r="M33" s="770"/>
      <c r="N33" s="770"/>
      <c r="O33" s="770"/>
      <c r="P33" s="770"/>
      <c r="Q33" s="770"/>
      <c r="R33" s="802"/>
    </row>
    <row r="34" spans="1:18" hidden="1" x14ac:dyDescent="0.2">
      <c r="A34" s="770"/>
      <c r="B34" s="770"/>
      <c r="C34" s="770"/>
      <c r="D34" s="770"/>
      <c r="E34" s="770"/>
      <c r="F34" s="770"/>
      <c r="G34" s="770"/>
      <c r="H34" s="802"/>
      <c r="I34" s="802"/>
      <c r="J34" s="802"/>
      <c r="K34" s="802"/>
      <c r="L34" s="802"/>
      <c r="M34" s="770"/>
      <c r="N34" s="770"/>
      <c r="O34" s="770"/>
      <c r="P34" s="770"/>
      <c r="Q34" s="770"/>
      <c r="R34" s="802"/>
    </row>
    <row r="35" spans="1:18" hidden="1" x14ac:dyDescent="0.2">
      <c r="A35" s="770"/>
      <c r="B35" s="770"/>
      <c r="C35" s="770"/>
      <c r="D35" s="770"/>
      <c r="E35" s="770"/>
      <c r="F35" s="770"/>
      <c r="G35" s="770"/>
      <c r="H35" s="770"/>
      <c r="I35" s="770"/>
      <c r="J35" s="770"/>
      <c r="K35" s="802"/>
      <c r="L35" s="802"/>
      <c r="M35" s="770"/>
      <c r="N35" s="770"/>
      <c r="O35" s="770"/>
      <c r="P35" s="212"/>
      <c r="Q35" s="770"/>
      <c r="R35" s="802"/>
    </row>
    <row r="36" spans="1:18" hidden="1" x14ac:dyDescent="0.2">
      <c r="A36" s="770"/>
      <c r="B36" s="770"/>
      <c r="C36" s="770"/>
      <c r="D36" s="770"/>
      <c r="E36" s="770"/>
      <c r="F36" s="770"/>
      <c r="G36" s="770"/>
      <c r="H36" s="770"/>
      <c r="I36" s="770"/>
      <c r="J36" s="770"/>
      <c r="K36" s="802"/>
      <c r="L36" s="802"/>
      <c r="M36" s="770"/>
      <c r="N36" s="770"/>
      <c r="O36" s="770"/>
      <c r="P36" s="803"/>
      <c r="Q36" s="770"/>
      <c r="R36" s="802"/>
    </row>
    <row r="37" spans="1:18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802"/>
      <c r="L37" s="802"/>
      <c r="M37" s="770"/>
      <c r="N37" s="770"/>
      <c r="O37" s="770"/>
      <c r="P37" s="212"/>
      <c r="Q37" s="770"/>
      <c r="R37" s="802"/>
    </row>
    <row r="38" spans="1:18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770"/>
      <c r="P38" s="212"/>
      <c r="Q38" s="770"/>
      <c r="R38" s="802"/>
    </row>
    <row r="39" spans="1:18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770"/>
      <c r="Q39" s="770"/>
      <c r="R39" s="802"/>
    </row>
    <row r="40" spans="1:18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770"/>
      <c r="O40" s="770"/>
      <c r="P40" s="212"/>
      <c r="Q40" s="770"/>
      <c r="R40" s="802"/>
    </row>
    <row r="41" spans="1:18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N41" s="770"/>
      <c r="O41" s="770"/>
      <c r="P41" s="801"/>
      <c r="Q41" s="770"/>
      <c r="R41" s="802"/>
    </row>
    <row r="42" spans="1:18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770"/>
      <c r="P42" s="771"/>
      <c r="Q42" s="770"/>
      <c r="R42" s="802"/>
    </row>
    <row r="43" spans="1:18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770"/>
      <c r="Q43" s="770"/>
      <c r="R43" s="802"/>
    </row>
    <row r="44" spans="1:18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N44" s="770"/>
      <c r="O44" s="770"/>
      <c r="Q44" s="770"/>
      <c r="R44" s="802"/>
    </row>
    <row r="45" spans="1:18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Q45" s="770"/>
      <c r="R45" s="802"/>
    </row>
    <row r="46" spans="1:18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  <c r="P46" s="770"/>
      <c r="Q46" s="770"/>
      <c r="R46" s="802"/>
    </row>
    <row r="47" spans="1:18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770"/>
      <c r="P47" s="770"/>
      <c r="Q47" s="770"/>
      <c r="R47" s="802"/>
    </row>
    <row r="48" spans="1:18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0"/>
      <c r="O48" s="770"/>
      <c r="Q48" s="770"/>
      <c r="R48" s="802"/>
    </row>
    <row r="49" spans="1:18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N49" s="770"/>
      <c r="O49" s="770"/>
      <c r="P49" s="770"/>
      <c r="Q49" s="770"/>
      <c r="R49" s="802"/>
    </row>
    <row r="50" spans="1:18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770"/>
      <c r="Q50" s="770"/>
      <c r="R50" s="802"/>
    </row>
    <row r="51" spans="1:18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770"/>
      <c r="P51" s="770"/>
      <c r="Q51" s="770"/>
      <c r="R51" s="802"/>
    </row>
    <row r="52" spans="1:18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N52" s="770"/>
      <c r="O52" s="770"/>
      <c r="P52" s="771"/>
      <c r="Q52" s="770"/>
      <c r="R52" s="802"/>
    </row>
    <row r="53" spans="1:18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Q53" s="770"/>
      <c r="R53" s="802"/>
    </row>
    <row r="54" spans="1:18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770"/>
      <c r="P54" s="770"/>
      <c r="Q54" s="770"/>
      <c r="R54" s="802"/>
    </row>
    <row r="55" spans="1:18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770"/>
      <c r="P55" s="801"/>
      <c r="Q55" s="770"/>
      <c r="R55" s="802"/>
    </row>
    <row r="56" spans="1:18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N56" s="770"/>
      <c r="O56" s="770"/>
      <c r="Q56" s="770"/>
      <c r="R56" s="802"/>
    </row>
    <row r="57" spans="1:18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N57" s="770"/>
      <c r="O57" s="770"/>
      <c r="Q57" s="770"/>
      <c r="R57" s="802"/>
    </row>
    <row r="58" spans="1:18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770"/>
      <c r="O58" s="770"/>
      <c r="Q58" s="770"/>
      <c r="R58" s="802"/>
    </row>
    <row r="59" spans="1:18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770"/>
      <c r="P59" s="801"/>
      <c r="Q59" s="770"/>
      <c r="R59" s="802"/>
    </row>
    <row r="60" spans="1:18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0"/>
      <c r="O60" s="770"/>
      <c r="Q60" s="770"/>
      <c r="R60" s="802"/>
    </row>
    <row r="61" spans="1:18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70"/>
      <c r="O61" s="770"/>
      <c r="P61" s="770"/>
      <c r="Q61" s="770"/>
      <c r="R61" s="802"/>
    </row>
    <row r="62" spans="1:18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70"/>
      <c r="O62" s="770"/>
      <c r="P62" s="755"/>
      <c r="Q62" s="755"/>
      <c r="R62" s="802"/>
    </row>
    <row r="63" spans="1:18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770"/>
      <c r="P63" s="755"/>
      <c r="Q63" s="755"/>
      <c r="R63" s="802"/>
    </row>
    <row r="64" spans="1:18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70"/>
      <c r="O64" s="770"/>
      <c r="P64" s="755"/>
      <c r="Q64" s="755"/>
      <c r="R64" s="802"/>
    </row>
    <row r="65" spans="1:18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70"/>
      <c r="O65" s="770"/>
      <c r="P65" s="755"/>
      <c r="Q65" s="755"/>
      <c r="R65" s="802"/>
    </row>
    <row r="66" spans="1:18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70"/>
      <c r="O66" s="770"/>
      <c r="P66" s="755"/>
      <c r="Q66" s="755"/>
      <c r="R66" s="802"/>
    </row>
    <row r="67" spans="1:18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770"/>
      <c r="P67" s="755"/>
      <c r="Q67" s="755"/>
      <c r="R67" s="802"/>
    </row>
    <row r="68" spans="1:18" hidden="1" x14ac:dyDescent="0.2">
      <c r="A68" s="770"/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70"/>
      <c r="O68" s="770"/>
      <c r="P68" s="755"/>
      <c r="Q68" s="755"/>
      <c r="R68" s="212"/>
    </row>
    <row r="69" spans="1:18" hidden="1" x14ac:dyDescent="0.2">
      <c r="A69" s="770"/>
      <c r="B69" s="770"/>
      <c r="C69" s="770"/>
      <c r="D69" s="770"/>
      <c r="E69" s="770"/>
      <c r="F69" s="770"/>
      <c r="G69" s="770"/>
      <c r="H69" s="770"/>
      <c r="I69" s="770"/>
      <c r="J69" s="770"/>
      <c r="K69" s="770"/>
      <c r="L69" s="770"/>
      <c r="M69" s="770"/>
      <c r="N69" s="770"/>
      <c r="O69" s="770"/>
      <c r="P69" s="755"/>
      <c r="Q69" s="755"/>
      <c r="R69" s="212"/>
    </row>
    <row r="70" spans="1:18" hidden="1" x14ac:dyDescent="0.2">
      <c r="A70" s="755"/>
      <c r="B70" s="804"/>
      <c r="C70" s="805"/>
      <c r="D70" s="80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212"/>
    </row>
    <row r="71" spans="1:18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212"/>
    </row>
    <row r="72" spans="1:18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212"/>
    </row>
    <row r="73" spans="1:18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212"/>
    </row>
    <row r="74" spans="1:18" hidden="1" x14ac:dyDescent="0.2">
      <c r="A74" s="755"/>
      <c r="B74" s="212"/>
      <c r="C74" s="212"/>
      <c r="D74" s="212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212"/>
    </row>
    <row r="75" spans="1:18" hidden="1" x14ac:dyDescent="0.2">
      <c r="A75" s="755"/>
      <c r="B75" s="212"/>
      <c r="C75" s="212"/>
      <c r="D75" s="212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212"/>
    </row>
    <row r="76" spans="1:18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212"/>
    </row>
    <row r="77" spans="1:18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212"/>
    </row>
    <row r="78" spans="1:18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</row>
    <row r="79" spans="1:18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</row>
    <row r="80" spans="1:18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</row>
    <row r="81" spans="1:18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</row>
    <row r="82" spans="1:18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</row>
    <row r="83" spans="1:18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</row>
    <row r="84" spans="1:18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</row>
    <row r="85" spans="1:18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</row>
    <row r="86" spans="1:18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</row>
    <row r="87" spans="1:18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</row>
    <row r="88" spans="1:18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</row>
    <row r="89" spans="1:18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</row>
    <row r="90" spans="1:18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</row>
    <row r="91" spans="1:18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</row>
    <row r="92" spans="1:18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</row>
    <row r="93" spans="1:18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</row>
    <row r="94" spans="1:18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</row>
    <row r="95" spans="1:18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</row>
    <row r="96" spans="1:18" hidden="1" x14ac:dyDescent="0.2">
      <c r="A96" s="755"/>
      <c r="B96" s="802"/>
      <c r="C96" s="802"/>
      <c r="D96" s="802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802"/>
      <c r="R96" s="755"/>
    </row>
    <row r="97" spans="1:18" hidden="1" x14ac:dyDescent="0.2">
      <c r="A97" s="755"/>
      <c r="B97" s="760"/>
      <c r="C97" s="760"/>
      <c r="D97" s="760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60"/>
      <c r="R97" s="755"/>
    </row>
    <row r="98" spans="1:18" hidden="1" x14ac:dyDescent="0.2">
      <c r="A98" s="755"/>
      <c r="B98" s="760"/>
      <c r="C98" s="760"/>
      <c r="D98" s="760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60"/>
      <c r="R98" s="755"/>
    </row>
    <row r="99" spans="1:18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60"/>
      <c r="R99" s="755"/>
    </row>
    <row r="100" spans="1:18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55"/>
      <c r="Q100" s="760"/>
      <c r="R100" s="755"/>
    </row>
    <row r="101" spans="1:18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60"/>
      <c r="R101" s="755"/>
    </row>
    <row r="102" spans="1:18" ht="13.5" thickBot="1" x14ac:dyDescent="0.25">
      <c r="A102" s="755"/>
      <c r="B102" s="755"/>
      <c r="C102" s="755"/>
      <c r="D102" s="755"/>
      <c r="E102" s="755"/>
      <c r="F102" s="755"/>
      <c r="G102" s="755"/>
      <c r="H102" s="809" t="str">
        <f>IFERROR(INDEX(B$1:B$100,MATCH(1,L$1:L$100,0)),"")</f>
        <v>Jaan Saar, Oskar Sepp, Sandra Laura Nõmmeloo</v>
      </c>
      <c r="I102" s="755"/>
      <c r="J102" s="755"/>
      <c r="K102" s="755"/>
      <c r="L102" s="755"/>
      <c r="M102" s="755"/>
      <c r="N102" s="755"/>
      <c r="O102" s="755"/>
      <c r="P102" s="755"/>
      <c r="Q102" s="760"/>
      <c r="R102" s="755"/>
    </row>
    <row r="103" spans="1:18" x14ac:dyDescent="0.2">
      <c r="A103" s="755"/>
      <c r="B103" s="755"/>
      <c r="C103" s="755"/>
      <c r="D103" s="755"/>
      <c r="E103" s="755"/>
      <c r="F103" s="755"/>
      <c r="G103" s="755"/>
      <c r="H103" s="810" t="s">
        <v>389</v>
      </c>
      <c r="I103" s="811"/>
      <c r="J103" s="755"/>
      <c r="L103" s="755"/>
      <c r="M103" s="755"/>
      <c r="N103" s="755"/>
      <c r="O103" s="755"/>
      <c r="P103" s="755"/>
      <c r="Q103" s="760"/>
      <c r="R103" s="755"/>
    </row>
    <row r="104" spans="1:18" x14ac:dyDescent="0.2">
      <c r="A104" s="755"/>
      <c r="B104" s="755"/>
      <c r="C104" s="755"/>
      <c r="D104" s="755"/>
      <c r="E104" s="755"/>
      <c r="F104" s="755"/>
      <c r="G104" s="755"/>
      <c r="H104" s="755"/>
      <c r="I104" s="755"/>
      <c r="J104" s="807"/>
      <c r="L104" s="755"/>
      <c r="M104" s="755"/>
      <c r="N104" s="755"/>
      <c r="O104" s="755"/>
      <c r="P104" s="755"/>
      <c r="Q104" s="760"/>
      <c r="R104" s="755"/>
    </row>
    <row r="105" spans="1:18" ht="13.5" thickBot="1" x14ac:dyDescent="0.25">
      <c r="A105" s="755"/>
      <c r="B105" s="755"/>
      <c r="C105" s="755"/>
      <c r="D105" s="755"/>
      <c r="E105" s="755"/>
      <c r="F105" s="755"/>
      <c r="G105" s="760"/>
      <c r="H105" s="809" t="str">
        <f>IFERROR(INDEX(B$1:B$100,MATCH(2,L$1:L$100,0)),"")</f>
        <v>Kenneth Muusikus, Oleg Rõndenkov, Viktor Švarõgin</v>
      </c>
      <c r="I105" s="812"/>
      <c r="J105" s="755"/>
      <c r="L105" s="755"/>
      <c r="M105" s="755"/>
      <c r="N105" s="755"/>
      <c r="O105" s="755"/>
      <c r="P105" s="755"/>
      <c r="Q105" s="760"/>
      <c r="R105" s="755"/>
    </row>
    <row r="106" spans="1:18" x14ac:dyDescent="0.2">
      <c r="A106" s="755"/>
      <c r="B106" s="755"/>
      <c r="C106" s="755"/>
      <c r="D106" s="755"/>
      <c r="E106" s="755"/>
      <c r="F106" s="755"/>
      <c r="G106" s="760"/>
      <c r="H106" s="810" t="s">
        <v>390</v>
      </c>
      <c r="I106" s="807"/>
      <c r="J106" s="807"/>
      <c r="L106" s="755"/>
      <c r="M106" s="755"/>
      <c r="N106" s="755"/>
      <c r="O106" s="755"/>
      <c r="P106" s="755"/>
      <c r="Q106" s="760"/>
      <c r="R106" s="755"/>
    </row>
    <row r="107" spans="1:18" x14ac:dyDescent="0.2">
      <c r="A107" s="755"/>
      <c r="B107" s="755"/>
      <c r="C107" s="755"/>
      <c r="D107" s="755"/>
      <c r="E107" s="755"/>
      <c r="F107" s="755"/>
      <c r="G107" s="760"/>
      <c r="H107" s="755"/>
      <c r="I107" s="755"/>
      <c r="J107" s="807"/>
      <c r="L107" s="755"/>
      <c r="M107" s="755"/>
      <c r="N107" s="755"/>
      <c r="O107" s="755"/>
      <c r="P107" s="755"/>
      <c r="Q107" s="760"/>
      <c r="R107" s="755"/>
    </row>
    <row r="108" spans="1:18" ht="13.5" thickBot="1" x14ac:dyDescent="0.25">
      <c r="A108" s="755"/>
      <c r="B108" s="755"/>
      <c r="C108" s="755"/>
      <c r="D108" s="755"/>
      <c r="E108" s="755"/>
      <c r="F108" s="755"/>
      <c r="G108" s="760"/>
      <c r="H108" s="809" t="str">
        <f>IFERROR(INDEX(B$1:B$100,MATCH(3,L$1:L$100,0)),"")</f>
        <v>Jaan Sepp, Mait Metsla, Melika Lehtla</v>
      </c>
      <c r="I108" s="807"/>
      <c r="J108" s="755"/>
      <c r="L108" s="755"/>
      <c r="M108" s="755"/>
      <c r="N108" s="755"/>
      <c r="O108" s="755"/>
      <c r="P108" s="755"/>
      <c r="Q108" s="760"/>
      <c r="R108" s="755"/>
    </row>
    <row r="109" spans="1:18" x14ac:dyDescent="0.2">
      <c r="A109" s="755"/>
      <c r="B109" s="755"/>
      <c r="C109" s="755"/>
      <c r="D109" s="755"/>
      <c r="E109" s="755"/>
      <c r="F109" s="755"/>
      <c r="G109" s="760"/>
      <c r="H109" s="810" t="s">
        <v>391</v>
      </c>
      <c r="I109" s="811"/>
      <c r="J109" s="807"/>
      <c r="L109" s="755"/>
      <c r="M109" s="755"/>
      <c r="N109" s="755"/>
      <c r="O109" s="755"/>
      <c r="P109" s="755"/>
      <c r="Q109" s="760"/>
      <c r="R109" s="755"/>
    </row>
    <row r="110" spans="1:18" x14ac:dyDescent="0.2">
      <c r="A110" s="755"/>
      <c r="B110" s="755"/>
      <c r="C110" s="755"/>
      <c r="D110" s="755"/>
      <c r="E110" s="755"/>
      <c r="F110" s="755"/>
      <c r="G110" s="760"/>
      <c r="H110" s="807"/>
      <c r="I110" s="807"/>
      <c r="J110" s="807"/>
      <c r="L110" s="755"/>
      <c r="M110" s="755"/>
      <c r="N110" s="755"/>
      <c r="O110" s="755"/>
      <c r="P110" s="755"/>
      <c r="Q110" s="760"/>
      <c r="R110" s="755"/>
    </row>
    <row r="111" spans="1:18" ht="13.5" thickBot="1" x14ac:dyDescent="0.25">
      <c r="A111" s="755"/>
      <c r="B111" s="755"/>
      <c r="C111" s="755"/>
      <c r="D111" s="755"/>
      <c r="E111" s="755"/>
      <c r="F111" s="755"/>
      <c r="G111" s="760"/>
      <c r="H111" s="813" t="str">
        <f>IFERROR(INDEX(B$1:B$100,MATCH(4,L$1:L$100,0)),"")</f>
        <v>Henri Mitt, Svetlana Veski, Tõnu Piik</v>
      </c>
      <c r="I111" s="812"/>
      <c r="J111" s="807"/>
      <c r="L111" s="755"/>
      <c r="M111" s="755"/>
      <c r="N111" s="755"/>
      <c r="O111" s="755"/>
      <c r="P111" s="755"/>
      <c r="Q111" s="760"/>
      <c r="R111" s="755"/>
    </row>
    <row r="112" spans="1:18" x14ac:dyDescent="0.2">
      <c r="A112" s="755"/>
      <c r="B112" s="755"/>
      <c r="C112" s="755"/>
      <c r="D112" s="755"/>
      <c r="E112" s="755"/>
      <c r="F112" s="755"/>
      <c r="G112" s="760"/>
      <c r="H112" s="754" t="s">
        <v>392</v>
      </c>
      <c r="I112" s="755"/>
      <c r="J112" s="807"/>
      <c r="L112" s="755"/>
      <c r="M112" s="755"/>
      <c r="N112" s="755"/>
      <c r="O112" s="755"/>
      <c r="P112" s="755"/>
      <c r="Q112" s="760"/>
      <c r="R112" s="755"/>
    </row>
    <row r="113" spans="1:18" x14ac:dyDescent="0.2">
      <c r="A113" s="755"/>
      <c r="B113" s="755"/>
      <c r="C113" s="755"/>
      <c r="D113" s="755"/>
      <c r="E113" s="755"/>
      <c r="F113" s="755"/>
      <c r="G113" s="760"/>
      <c r="H113" s="760"/>
      <c r="I113" s="760"/>
      <c r="J113" s="755"/>
      <c r="L113" s="755"/>
      <c r="M113" s="755"/>
      <c r="N113" s="755"/>
      <c r="O113" s="755"/>
      <c r="P113" s="755"/>
      <c r="Q113" s="760"/>
      <c r="R113" s="755"/>
    </row>
    <row r="114" spans="1:18" ht="13.5" thickBot="1" x14ac:dyDescent="0.25">
      <c r="A114" s="755"/>
      <c r="B114" s="755"/>
      <c r="C114" s="755"/>
      <c r="D114" s="755"/>
      <c r="E114" s="755"/>
      <c r="F114" s="755"/>
      <c r="G114" s="760"/>
      <c r="H114" s="813" t="str">
        <f>IFERROR(INDEX(B$1:B$100,MATCH(5,L$1:L$100,0)),"")</f>
        <v>Elmo Lageda, Ljudmila Varendi, Ülo Piik</v>
      </c>
      <c r="I114" s="812"/>
      <c r="J114" s="760"/>
      <c r="L114" s="755"/>
      <c r="M114" s="755"/>
      <c r="N114" s="755"/>
      <c r="O114" s="755"/>
      <c r="P114" s="755"/>
      <c r="Q114" s="760"/>
      <c r="R114" s="755"/>
    </row>
    <row r="115" spans="1:18" x14ac:dyDescent="0.2">
      <c r="A115" s="755"/>
      <c r="B115" s="755"/>
      <c r="C115" s="755"/>
      <c r="D115" s="755"/>
      <c r="E115" s="755"/>
      <c r="F115" s="755"/>
      <c r="G115" s="760"/>
      <c r="H115" s="754" t="s">
        <v>393</v>
      </c>
      <c r="I115" s="755"/>
      <c r="J115" s="807"/>
      <c r="L115" s="755"/>
      <c r="M115" s="755"/>
      <c r="N115" s="755"/>
      <c r="O115" s="755"/>
      <c r="P115" s="755"/>
      <c r="Q115" s="760"/>
      <c r="R115" s="755"/>
    </row>
    <row r="116" spans="1:18" x14ac:dyDescent="0.2">
      <c r="A116" s="755"/>
      <c r="B116" s="755"/>
      <c r="C116" s="755"/>
      <c r="D116" s="755"/>
      <c r="E116" s="755"/>
      <c r="F116" s="755"/>
      <c r="G116" s="760"/>
      <c r="H116" s="770"/>
      <c r="I116" s="770"/>
      <c r="J116" s="755"/>
      <c r="L116" s="755"/>
      <c r="M116" s="755"/>
      <c r="N116" s="755"/>
      <c r="O116" s="755"/>
      <c r="P116" s="755"/>
      <c r="Q116" s="760"/>
      <c r="R116" s="755"/>
    </row>
    <row r="117" spans="1:18" ht="13.5" thickBot="1" x14ac:dyDescent="0.25">
      <c r="A117" s="755"/>
      <c r="B117" s="755"/>
      <c r="C117" s="755"/>
      <c r="D117" s="755"/>
      <c r="E117" s="755"/>
      <c r="F117" s="755"/>
      <c r="G117" s="760"/>
      <c r="H117" s="813" t="str">
        <f>IFERROR(INDEX(B$1:B$100,MATCH(6,L$1:L$100,0)),"")</f>
        <v>Janek Tarto, Tõnu Kapper, Vladimir Ogneštšikov</v>
      </c>
      <c r="I117" s="812"/>
      <c r="J117" s="770"/>
      <c r="L117" s="755"/>
      <c r="M117" s="755"/>
      <c r="N117" s="755"/>
      <c r="O117" s="755"/>
      <c r="P117" s="755"/>
      <c r="Q117" s="760"/>
      <c r="R117" s="755"/>
    </row>
    <row r="118" spans="1:18" x14ac:dyDescent="0.2">
      <c r="A118" s="755"/>
      <c r="B118" s="755"/>
      <c r="C118" s="755"/>
      <c r="D118" s="755"/>
      <c r="E118" s="755"/>
      <c r="F118" s="755"/>
      <c r="G118" s="760"/>
      <c r="H118" s="754" t="s">
        <v>394</v>
      </c>
      <c r="I118" s="755"/>
      <c r="J118" s="807"/>
      <c r="L118" s="755"/>
      <c r="M118" s="755"/>
      <c r="N118" s="755"/>
      <c r="O118" s="755"/>
      <c r="P118" s="755"/>
      <c r="Q118" s="760"/>
      <c r="R118" s="755"/>
    </row>
    <row r="119" spans="1:18" x14ac:dyDescent="0.2">
      <c r="A119" s="755"/>
      <c r="B119" s="755"/>
      <c r="C119" s="755"/>
      <c r="D119" s="755"/>
      <c r="E119" s="755"/>
      <c r="F119" s="755"/>
      <c r="G119" s="760"/>
      <c r="H119" s="755"/>
      <c r="I119" s="755"/>
      <c r="J119" s="755"/>
      <c r="L119" s="755"/>
      <c r="M119" s="755"/>
      <c r="N119" s="755"/>
      <c r="O119" s="755"/>
      <c r="P119" s="755"/>
      <c r="Q119" s="760"/>
      <c r="R119" s="755"/>
    </row>
    <row r="120" spans="1:18" ht="13.5" thickBot="1" x14ac:dyDescent="0.25">
      <c r="A120" s="755"/>
      <c r="B120" s="755"/>
      <c r="C120" s="755"/>
      <c r="D120" s="755"/>
      <c r="E120" s="755"/>
      <c r="F120" s="755"/>
      <c r="G120" s="760"/>
      <c r="H120" s="813" t="str">
        <f>IFERROR(INDEX(B$1:B$100,MATCH(7,L$1:L$100,0)),"")</f>
        <v>Enn Tokman, Meelis Luud, Urmas Randlaine, Vello Vasser</v>
      </c>
      <c r="I120" s="812"/>
      <c r="J120" s="755"/>
      <c r="K120" s="755"/>
      <c r="L120" s="755"/>
      <c r="M120" s="755"/>
      <c r="N120" s="755"/>
      <c r="O120" s="755"/>
      <c r="P120" s="755"/>
      <c r="Q120" s="760"/>
      <c r="R120" s="755"/>
    </row>
    <row r="121" spans="1:18" x14ac:dyDescent="0.2">
      <c r="A121" s="755"/>
      <c r="B121" s="755"/>
      <c r="C121" s="755"/>
      <c r="D121" s="755"/>
      <c r="E121" s="755"/>
      <c r="F121" s="755"/>
      <c r="G121" s="760"/>
      <c r="H121" s="754" t="s">
        <v>418</v>
      </c>
      <c r="I121" s="755"/>
      <c r="J121" s="807"/>
      <c r="K121" s="760"/>
      <c r="L121" s="755"/>
      <c r="M121" s="755"/>
      <c r="N121" s="755"/>
      <c r="O121" s="755"/>
      <c r="P121" s="755"/>
      <c r="Q121" s="760"/>
      <c r="R121" s="755"/>
    </row>
    <row r="122" spans="1:18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55"/>
      <c r="K122" s="760"/>
      <c r="L122" s="755"/>
      <c r="M122" s="755"/>
      <c r="N122" s="755"/>
      <c r="O122" s="755"/>
      <c r="P122" s="755"/>
      <c r="Q122" s="760"/>
      <c r="R122" s="755"/>
    </row>
    <row r="123" spans="1:18" ht="13.5" thickBot="1" x14ac:dyDescent="0.25">
      <c r="A123" s="755"/>
      <c r="B123" s="755"/>
      <c r="C123" s="755"/>
      <c r="D123" s="755"/>
      <c r="E123" s="755"/>
      <c r="F123" s="755"/>
      <c r="G123" s="760"/>
      <c r="H123" s="813" t="str">
        <f>IFERROR(INDEX(B$1:B$100,MATCH(8,L$1:L$100,0)),"")</f>
        <v>Andres Veski, Karla Purgats, Klavdia Piik</v>
      </c>
      <c r="I123" s="812"/>
      <c r="J123" s="760"/>
      <c r="K123" s="760"/>
      <c r="L123" s="755"/>
      <c r="M123" s="755"/>
      <c r="N123" s="755"/>
      <c r="O123" s="755"/>
      <c r="P123" s="755"/>
      <c r="Q123" s="760"/>
      <c r="R123" s="755"/>
    </row>
    <row r="124" spans="1:18" x14ac:dyDescent="0.2">
      <c r="A124" s="755"/>
      <c r="B124" s="755"/>
      <c r="C124" s="755"/>
      <c r="D124" s="755"/>
      <c r="E124" s="755"/>
      <c r="F124" s="755"/>
      <c r="G124" s="760"/>
      <c r="H124" s="754" t="s">
        <v>419</v>
      </c>
      <c r="I124" s="755"/>
      <c r="J124" s="807"/>
      <c r="K124" s="755"/>
      <c r="L124" s="755"/>
      <c r="M124" s="755"/>
      <c r="N124" s="755"/>
      <c r="O124" s="755"/>
      <c r="P124" s="755"/>
      <c r="Q124" s="760"/>
      <c r="R124" s="755"/>
    </row>
    <row r="125" spans="1:18" x14ac:dyDescent="0.2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60"/>
      <c r="R125" s="755"/>
    </row>
    <row r="126" spans="1:18" hidden="1" x14ac:dyDescent="0.2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60"/>
      <c r="R126" s="755"/>
    </row>
    <row r="127" spans="1:18" hidden="1" x14ac:dyDescent="0.2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60"/>
      <c r="R127" s="755"/>
    </row>
    <row r="128" spans="1:18" hidden="1" x14ac:dyDescent="0.2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60"/>
      <c r="R128" s="755"/>
    </row>
    <row r="129" spans="1:18" hidden="1" x14ac:dyDescent="0.2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60"/>
      <c r="R129" s="755"/>
    </row>
    <row r="130" spans="1:18" hidden="1" x14ac:dyDescent="0.2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60"/>
      <c r="R130" s="755"/>
    </row>
    <row r="131" spans="1:18" hidden="1" x14ac:dyDescent="0.2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60"/>
      <c r="R131" s="755"/>
    </row>
    <row r="132" spans="1:18" hidden="1" x14ac:dyDescent="0.2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60"/>
      <c r="N132" s="760"/>
      <c r="O132" s="760"/>
      <c r="P132" s="760"/>
      <c r="Q132" s="760"/>
      <c r="R132" s="755"/>
    </row>
    <row r="133" spans="1:18" hidden="1" x14ac:dyDescent="0.2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60"/>
      <c r="N133" s="760"/>
      <c r="O133" s="760"/>
      <c r="P133" s="760"/>
      <c r="Q133" s="760"/>
      <c r="R133" s="755"/>
    </row>
    <row r="134" spans="1:18" hidden="1" x14ac:dyDescent="0.2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60"/>
      <c r="N134" s="760"/>
      <c r="O134" s="760"/>
      <c r="P134" s="760"/>
      <c r="Q134" s="760"/>
      <c r="R134" s="755"/>
    </row>
    <row r="135" spans="1:18" hidden="1" x14ac:dyDescent="0.2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60"/>
      <c r="N135" s="760"/>
      <c r="O135" s="760"/>
      <c r="P135" s="760"/>
      <c r="Q135" s="760"/>
      <c r="R135" s="755"/>
    </row>
    <row r="136" spans="1:18" hidden="1" x14ac:dyDescent="0.2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60"/>
      <c r="N136" s="760"/>
      <c r="O136" s="760"/>
      <c r="P136" s="760"/>
      <c r="Q136" s="760"/>
      <c r="R136" s="755"/>
    </row>
    <row r="137" spans="1:18" hidden="1" x14ac:dyDescent="0.2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60"/>
      <c r="N137" s="760"/>
      <c r="O137" s="760"/>
      <c r="P137" s="760"/>
      <c r="Q137" s="760"/>
      <c r="R137" s="755"/>
    </row>
    <row r="138" spans="1:18" hidden="1" x14ac:dyDescent="0.2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60"/>
      <c r="N138" s="760"/>
      <c r="O138" s="760"/>
      <c r="P138" s="760"/>
      <c r="Q138" s="760"/>
      <c r="R138" s="755"/>
    </row>
    <row r="139" spans="1:18" hidden="1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60"/>
      <c r="N139" s="760"/>
      <c r="O139" s="760"/>
      <c r="P139" s="760"/>
      <c r="Q139" s="760"/>
      <c r="R139" s="755"/>
    </row>
    <row r="140" spans="1:18" hidden="1" x14ac:dyDescent="0.2">
      <c r="A140" s="760"/>
      <c r="B140" s="760"/>
      <c r="C140" s="760"/>
      <c r="D140" s="760"/>
      <c r="E140" s="760"/>
      <c r="F140" s="760"/>
      <c r="G140" s="755"/>
      <c r="H140" s="755"/>
      <c r="I140" s="755"/>
      <c r="J140" s="755"/>
      <c r="K140" s="755"/>
      <c r="L140" s="755"/>
      <c r="M140" s="760"/>
      <c r="N140" s="760"/>
      <c r="O140" s="760"/>
      <c r="P140" s="760"/>
      <c r="Q140" s="760"/>
      <c r="R140" s="755"/>
    </row>
    <row r="141" spans="1:18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55"/>
      <c r="K141" s="755"/>
      <c r="L141" s="755"/>
      <c r="M141" s="760"/>
      <c r="N141" s="760"/>
      <c r="O141" s="760"/>
      <c r="P141" s="760"/>
      <c r="Q141" s="760"/>
      <c r="R141" s="755"/>
    </row>
    <row r="142" spans="1:18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55"/>
    </row>
    <row r="143" spans="1:18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55"/>
    </row>
    <row r="144" spans="1:18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55"/>
    </row>
    <row r="145" spans="1:18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55"/>
    </row>
    <row r="146" spans="1:18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55"/>
    </row>
    <row r="147" spans="1:18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60"/>
      <c r="R147" s="755"/>
    </row>
    <row r="148" spans="1:18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60"/>
      <c r="R148" s="755"/>
    </row>
    <row r="149" spans="1:18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60"/>
      <c r="R149" s="755"/>
    </row>
    <row r="150" spans="1:18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60"/>
      <c r="R150" s="755"/>
    </row>
    <row r="151" spans="1:18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60"/>
      <c r="R151" s="755"/>
    </row>
    <row r="152" spans="1:18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60"/>
      <c r="R152" s="755"/>
    </row>
    <row r="153" spans="1:18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60"/>
      <c r="R153" s="755"/>
    </row>
    <row r="154" spans="1:18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60"/>
      <c r="R154" s="755"/>
    </row>
    <row r="155" spans="1:18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60"/>
      <c r="R155" s="755"/>
    </row>
    <row r="156" spans="1:18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60"/>
      <c r="R156" s="755"/>
    </row>
    <row r="157" spans="1:18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60"/>
      <c r="R157" s="755"/>
    </row>
    <row r="158" spans="1:18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60"/>
      <c r="R158" s="755"/>
    </row>
    <row r="159" spans="1:18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60"/>
      <c r="R159" s="755"/>
    </row>
    <row r="160" spans="1:18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60"/>
      <c r="R160" s="755"/>
    </row>
    <row r="161" spans="1:18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60"/>
      <c r="R161" s="755"/>
    </row>
    <row r="162" spans="1:18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60"/>
      <c r="R162" s="755"/>
    </row>
    <row r="163" spans="1:18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55"/>
    </row>
    <row r="164" spans="1:18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55"/>
    </row>
    <row r="165" spans="1:18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55"/>
    </row>
    <row r="166" spans="1:18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55"/>
    </row>
    <row r="167" spans="1:18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55"/>
    </row>
    <row r="168" spans="1:18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55"/>
    </row>
    <row r="169" spans="1:18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55"/>
    </row>
    <row r="170" spans="1:18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55"/>
    </row>
    <row r="171" spans="1:18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55"/>
    </row>
    <row r="172" spans="1:18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55"/>
    </row>
    <row r="173" spans="1:18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55"/>
    </row>
    <row r="174" spans="1:18" hidden="1" x14ac:dyDescent="0.2">
      <c r="A174" s="213"/>
      <c r="B174" s="552"/>
      <c r="C174" s="755"/>
      <c r="D174" s="755"/>
      <c r="E174" s="807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55"/>
    </row>
    <row r="175" spans="1:18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55"/>
    </row>
    <row r="176" spans="1:18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60"/>
      <c r="R176" s="755"/>
    </row>
    <row r="177" spans="1:18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60"/>
      <c r="R177" s="755"/>
    </row>
    <row r="178" spans="1:18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60"/>
      <c r="R178" s="755"/>
    </row>
    <row r="179" spans="1:18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60"/>
      <c r="R179" s="755"/>
    </row>
    <row r="180" spans="1:18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60"/>
      <c r="R180" s="755"/>
    </row>
    <row r="181" spans="1:18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60"/>
      <c r="R181" s="755"/>
    </row>
    <row r="182" spans="1:18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60"/>
      <c r="R182" s="755"/>
    </row>
    <row r="183" spans="1:18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60"/>
      <c r="R183" s="755"/>
    </row>
    <row r="184" spans="1:18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60"/>
      <c r="R184" s="755"/>
    </row>
    <row r="185" spans="1:18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60"/>
      <c r="R185" s="755"/>
    </row>
    <row r="186" spans="1:18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60"/>
      <c r="R186" s="755"/>
    </row>
    <row r="187" spans="1:18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60"/>
      <c r="R187" s="755"/>
    </row>
    <row r="188" spans="1:18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60"/>
      <c r="R188" s="755"/>
    </row>
    <row r="189" spans="1:18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60"/>
      <c r="R189" s="755"/>
    </row>
    <row r="190" spans="1:18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60"/>
      <c r="R190" s="755"/>
    </row>
    <row r="191" spans="1:18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60"/>
      <c r="R191" s="755"/>
    </row>
    <row r="192" spans="1:18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60"/>
      <c r="R192" s="755"/>
    </row>
    <row r="193" spans="1:18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60"/>
      <c r="R193" s="755"/>
    </row>
    <row r="194" spans="1:18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60"/>
      <c r="R194" s="755"/>
    </row>
    <row r="195" spans="1:18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60"/>
      <c r="R195" s="755"/>
    </row>
    <row r="196" spans="1:18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60"/>
      <c r="R196" s="755"/>
    </row>
    <row r="197" spans="1:18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60"/>
      <c r="R197" s="755"/>
    </row>
    <row r="198" spans="1:18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60"/>
      <c r="R198" s="755"/>
    </row>
    <row r="199" spans="1:18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60"/>
      <c r="R199" s="755"/>
    </row>
    <row r="200" spans="1:18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60"/>
      <c r="R200" s="755"/>
    </row>
    <row r="201" spans="1:18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60"/>
      <c r="R201" s="755"/>
    </row>
    <row r="202" spans="1:18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60"/>
      <c r="R202" s="755"/>
    </row>
    <row r="203" spans="1:18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60"/>
      <c r="R203" s="755"/>
    </row>
    <row r="204" spans="1:18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60"/>
      <c r="R204" s="755"/>
    </row>
    <row r="205" spans="1:18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60"/>
      <c r="R205" s="755"/>
    </row>
    <row r="206" spans="1:18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60"/>
      <c r="R206" s="755"/>
    </row>
    <row r="207" spans="1:18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60"/>
      <c r="R207" s="755"/>
    </row>
    <row r="208" spans="1:18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60"/>
      <c r="R208" s="755"/>
    </row>
    <row r="209" spans="1:18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60"/>
      <c r="R209" s="755"/>
    </row>
    <row r="210" spans="1:18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60"/>
      <c r="R210" s="755"/>
    </row>
    <row r="211" spans="1:18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60"/>
      <c r="R211" s="755"/>
    </row>
    <row r="212" spans="1:18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60"/>
      <c r="R212" s="755"/>
    </row>
    <row r="213" spans="1:18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60"/>
      <c r="R213" s="755"/>
    </row>
    <row r="214" spans="1:18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60"/>
      <c r="R214" s="755"/>
    </row>
    <row r="215" spans="1:18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60"/>
      <c r="R215" s="755"/>
    </row>
    <row r="216" spans="1:18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60"/>
      <c r="R216" s="755"/>
    </row>
    <row r="217" spans="1:18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60"/>
      <c r="R217" s="755"/>
    </row>
    <row r="218" spans="1:18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60"/>
      <c r="R218" s="755"/>
    </row>
    <row r="219" spans="1:18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60"/>
      <c r="R219" s="755"/>
    </row>
    <row r="220" spans="1:18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60"/>
      <c r="R220" s="755"/>
    </row>
    <row r="221" spans="1:18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60"/>
      <c r="R221" s="755"/>
    </row>
    <row r="222" spans="1:18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60"/>
      <c r="R222" s="755"/>
    </row>
    <row r="223" spans="1:18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60"/>
      <c r="R223" s="755"/>
    </row>
    <row r="224" spans="1:18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60"/>
      <c r="R224" s="755"/>
    </row>
    <row r="225" spans="1:18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60"/>
      <c r="R225" s="755"/>
    </row>
    <row r="226" spans="1:18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60"/>
      <c r="R226" s="755"/>
    </row>
    <row r="227" spans="1:18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60"/>
      <c r="R227" s="755"/>
    </row>
    <row r="228" spans="1:18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60"/>
      <c r="R228" s="755"/>
    </row>
    <row r="229" spans="1:18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60"/>
      <c r="R229" s="755"/>
    </row>
    <row r="230" spans="1:18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60"/>
      <c r="R230" s="755"/>
    </row>
    <row r="231" spans="1:18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60"/>
      <c r="R231" s="755"/>
    </row>
    <row r="232" spans="1:18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60"/>
      <c r="R232" s="755"/>
    </row>
    <row r="233" spans="1:18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60"/>
      <c r="R233" s="755"/>
    </row>
    <row r="234" spans="1:18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60"/>
      <c r="R234" s="755"/>
    </row>
    <row r="235" spans="1:18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60"/>
      <c r="R235" s="755"/>
    </row>
    <row r="236" spans="1:18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60"/>
      <c r="R236" s="755"/>
    </row>
    <row r="237" spans="1:18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60"/>
      <c r="R237" s="755"/>
    </row>
    <row r="238" spans="1:18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60"/>
      <c r="R238" s="755"/>
    </row>
    <row r="239" spans="1:18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60"/>
      <c r="R239" s="755"/>
    </row>
    <row r="240" spans="1:18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60"/>
      <c r="R240" s="755"/>
    </row>
    <row r="241" spans="1:18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60"/>
      <c r="R241" s="755"/>
    </row>
    <row r="242" spans="1:18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60"/>
      <c r="R242" s="755"/>
    </row>
    <row r="243" spans="1:18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60"/>
      <c r="R243" s="755"/>
    </row>
    <row r="244" spans="1:18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60"/>
      <c r="R244" s="755"/>
    </row>
    <row r="245" spans="1:18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60"/>
      <c r="R245" s="755"/>
    </row>
    <row r="246" spans="1:18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60"/>
      <c r="R246" s="755"/>
    </row>
    <row r="247" spans="1:18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60"/>
      <c r="R247" s="755"/>
    </row>
    <row r="248" spans="1:18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60"/>
      <c r="R248" s="755"/>
    </row>
    <row r="249" spans="1:18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60"/>
      <c r="R249" s="755"/>
    </row>
    <row r="250" spans="1:18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60"/>
      <c r="R250" s="755"/>
    </row>
    <row r="251" spans="1:18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60"/>
      <c r="R251" s="755"/>
    </row>
    <row r="252" spans="1:18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60"/>
      <c r="R252" s="755"/>
    </row>
    <row r="253" spans="1:18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60"/>
      <c r="R253" s="755"/>
    </row>
    <row r="254" spans="1:18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60"/>
      <c r="R254" s="755"/>
    </row>
    <row r="255" spans="1:18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60"/>
      <c r="R255" s="755"/>
    </row>
    <row r="256" spans="1:18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60"/>
      <c r="R256" s="755"/>
    </row>
    <row r="257" spans="1:18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60"/>
      <c r="R257" s="755"/>
    </row>
    <row r="258" spans="1:18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60"/>
      <c r="R258" s="755"/>
    </row>
    <row r="259" spans="1:18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60"/>
      <c r="R259" s="755"/>
    </row>
    <row r="260" spans="1:18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60"/>
      <c r="R260" s="755"/>
    </row>
    <row r="261" spans="1:18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60"/>
      <c r="R261" s="755"/>
    </row>
    <row r="262" spans="1:18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60"/>
      <c r="R262" s="755"/>
    </row>
    <row r="263" spans="1:18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60"/>
      <c r="R263" s="755"/>
    </row>
    <row r="264" spans="1:18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60"/>
      <c r="R264" s="755"/>
    </row>
    <row r="265" spans="1:18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60"/>
      <c r="R265" s="755"/>
    </row>
    <row r="266" spans="1:18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60"/>
      <c r="R266" s="755"/>
    </row>
    <row r="267" spans="1:18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60"/>
      <c r="R267" s="755"/>
    </row>
    <row r="268" spans="1:18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60"/>
      <c r="R268" s="755"/>
    </row>
    <row r="269" spans="1:18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60"/>
      <c r="R269" s="755"/>
    </row>
    <row r="270" spans="1:18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60"/>
      <c r="R270" s="755"/>
    </row>
    <row r="271" spans="1:18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60"/>
      <c r="R271" s="755"/>
    </row>
    <row r="272" spans="1:18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60"/>
      <c r="R272" s="755"/>
    </row>
    <row r="273" spans="1:18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60"/>
      <c r="R273" s="755"/>
    </row>
    <row r="274" spans="1:18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60"/>
      <c r="R274" s="755"/>
    </row>
    <row r="275" spans="1:18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60"/>
      <c r="R275" s="755"/>
    </row>
    <row r="276" spans="1:18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60"/>
      <c r="R276" s="755"/>
    </row>
    <row r="277" spans="1:18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60"/>
      <c r="R277" s="755"/>
    </row>
    <row r="278" spans="1:18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60"/>
      <c r="R278" s="755"/>
    </row>
    <row r="279" spans="1:18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60"/>
      <c r="R279" s="755"/>
    </row>
    <row r="280" spans="1:18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60"/>
      <c r="R280" s="755"/>
    </row>
    <row r="281" spans="1:18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60"/>
      <c r="R281" s="755"/>
    </row>
    <row r="282" spans="1:18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60"/>
      <c r="R282" s="755"/>
    </row>
    <row r="283" spans="1:18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60"/>
      <c r="R283" s="755"/>
    </row>
    <row r="284" spans="1:18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60"/>
      <c r="R284" s="755"/>
    </row>
    <row r="285" spans="1:18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60"/>
      <c r="R285" s="755"/>
    </row>
    <row r="286" spans="1:18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60"/>
      <c r="R286" s="755"/>
    </row>
    <row r="287" spans="1:18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60"/>
      <c r="R287" s="755"/>
    </row>
    <row r="288" spans="1:18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60"/>
      <c r="R288" s="755"/>
    </row>
    <row r="289" spans="1:18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60"/>
      <c r="R289" s="755"/>
    </row>
    <row r="290" spans="1:18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60"/>
      <c r="R290" s="755"/>
    </row>
    <row r="291" spans="1:18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60"/>
      <c r="R291" s="755"/>
    </row>
    <row r="292" spans="1:18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60"/>
      <c r="R292" s="755"/>
    </row>
    <row r="293" spans="1:18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60"/>
      <c r="R293" s="755"/>
    </row>
    <row r="294" spans="1:18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60"/>
      <c r="R294" s="755"/>
    </row>
    <row r="295" spans="1:18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60"/>
      <c r="R295" s="755"/>
    </row>
    <row r="296" spans="1:18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60"/>
      <c r="R296" s="755"/>
    </row>
    <row r="297" spans="1:18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60"/>
      <c r="R297" s="755"/>
    </row>
    <row r="298" spans="1:18" hidden="1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60"/>
      <c r="R298" s="755"/>
    </row>
    <row r="299" spans="1:18" x14ac:dyDescent="0.2">
      <c r="J299" s="760"/>
      <c r="K299" s="760"/>
      <c r="L299" s="760"/>
      <c r="M299" s="760"/>
      <c r="N299" s="760"/>
      <c r="O299" s="760"/>
      <c r="P299" s="760"/>
      <c r="Q299" s="760"/>
      <c r="R299" s="755"/>
    </row>
    <row r="300" spans="1:18" x14ac:dyDescent="0.2">
      <c r="A300" s="815">
        <v>1</v>
      </c>
      <c r="B300" s="816" t="str">
        <f t="shared" ref="B300:B307" si="0">IFERROR(INDEX(H$100:H$301,MATCH(A300&amp;". koht",H$101:H$302,0)),"")</f>
        <v>Jaan Saar, Oskar Sepp, Sandra Laura Nõmmeloo</v>
      </c>
      <c r="C300" s="814"/>
      <c r="D300" s="814"/>
      <c r="E300" s="755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60"/>
      <c r="R300" s="755"/>
    </row>
    <row r="301" spans="1:18" x14ac:dyDescent="0.2">
      <c r="A301" s="815">
        <v>2</v>
      </c>
      <c r="B301" s="816" t="str">
        <f t="shared" si="0"/>
        <v>Kenneth Muusikus, Oleg Rõndenkov, Viktor Švarõgin</v>
      </c>
      <c r="C301" s="755"/>
      <c r="D301" s="817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60"/>
      <c r="R301" s="755"/>
    </row>
    <row r="302" spans="1:18" x14ac:dyDescent="0.2">
      <c r="A302" s="815">
        <v>3</v>
      </c>
      <c r="B302" s="816" t="str">
        <f t="shared" si="0"/>
        <v>Jaan Sepp, Mait Metsla, Melika Lehtla</v>
      </c>
      <c r="C302" s="755"/>
      <c r="D302" s="817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60"/>
      <c r="R302" s="755"/>
    </row>
    <row r="303" spans="1:18" x14ac:dyDescent="0.2">
      <c r="A303" s="815">
        <v>4</v>
      </c>
      <c r="B303" s="816" t="str">
        <f t="shared" si="0"/>
        <v>Henri Mitt, Svetlana Veski, Tõnu Piik</v>
      </c>
      <c r="C303" s="755"/>
      <c r="D303" s="817"/>
      <c r="E303" s="817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55"/>
    </row>
    <row r="304" spans="1:18" x14ac:dyDescent="0.2">
      <c r="A304" s="815">
        <v>5</v>
      </c>
      <c r="B304" s="816" t="str">
        <f t="shared" si="0"/>
        <v>Elmo Lageda, Ljudmila Varendi, Ülo Piik</v>
      </c>
      <c r="C304" s="755"/>
      <c r="D304" s="817"/>
      <c r="E304" s="817"/>
      <c r="F304" s="760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60"/>
      <c r="R304" s="755"/>
    </row>
    <row r="305" spans="1:18" x14ac:dyDescent="0.2">
      <c r="A305" s="815">
        <v>6</v>
      </c>
      <c r="B305" s="816" t="str">
        <f t="shared" si="0"/>
        <v>Janek Tarto, Tõnu Kapper, Vladimir Ogneštšikov</v>
      </c>
      <c r="C305" s="755"/>
      <c r="D305" s="817"/>
      <c r="E305" s="817"/>
      <c r="F305" s="760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60"/>
      <c r="R305" s="755"/>
    </row>
    <row r="306" spans="1:18" x14ac:dyDescent="0.2">
      <c r="A306" s="815">
        <v>7</v>
      </c>
      <c r="B306" s="816" t="str">
        <f t="shared" si="0"/>
        <v>Enn Tokman, Meelis Luud, Urmas Randlaine, Vello Vasser</v>
      </c>
      <c r="C306" s="755"/>
      <c r="D306" s="817"/>
      <c r="E306" s="817"/>
      <c r="F306" s="760"/>
      <c r="G306" s="760"/>
      <c r="H306" s="760"/>
      <c r="I306" s="760"/>
      <c r="J306" s="760"/>
      <c r="K306" s="760"/>
      <c r="L306" s="760"/>
      <c r="M306" s="760"/>
      <c r="N306" s="760"/>
      <c r="O306" s="760"/>
      <c r="P306" s="760"/>
      <c r="Q306" s="760"/>
      <c r="R306" s="755"/>
    </row>
    <row r="307" spans="1:18" x14ac:dyDescent="0.2">
      <c r="A307" s="815">
        <v>8</v>
      </c>
      <c r="B307" s="816" t="str">
        <f t="shared" si="0"/>
        <v>Andres Veski, Karla Purgats, Klavdia Piik</v>
      </c>
    </row>
  </sheetData>
  <conditionalFormatting sqref="L10:L12 L14">
    <cfRule type="expression" dxfId="456" priority="47">
      <formula>FIND(2,L10,1)</formula>
    </cfRule>
    <cfRule type="expression" dxfId="455" priority="48">
      <formula>FIND(1,L10,1)</formula>
    </cfRule>
  </conditionalFormatting>
  <conditionalFormatting sqref="K7:K12 K14">
    <cfRule type="expression" dxfId="454" priority="34">
      <formula>AND(#REF!=1,IF(COUNTIF(#REF!,"=1")&gt;=2,TRUE))</formula>
    </cfRule>
    <cfRule type="expression" dxfId="453" priority="35">
      <formula>AND(#REF!=3,IF(COUNTIF(#REF!,"=3")&gt;=2,TRUE))</formula>
    </cfRule>
    <cfRule type="expression" dxfId="452" priority="36">
      <formula>AND(#REF!=2,IF(COUNTIF(#REF!,"=2")&gt;=2,TRUE))</formula>
    </cfRule>
  </conditionalFormatting>
  <conditionalFormatting sqref="C70">
    <cfRule type="aboveAverage" dxfId="451" priority="33"/>
  </conditionalFormatting>
  <conditionalFormatting sqref="D70">
    <cfRule type="aboveAverage" dxfId="450" priority="32"/>
  </conditionalFormatting>
  <conditionalFormatting sqref="P22:P25">
    <cfRule type="duplicateValues" dxfId="449" priority="31"/>
  </conditionalFormatting>
  <conditionalFormatting sqref="P27:P32">
    <cfRule type="duplicateValues" dxfId="448" priority="30"/>
  </conditionalFormatting>
  <conditionalFormatting sqref="P16:P18 P20:P21">
    <cfRule type="duplicateValues" dxfId="447" priority="49"/>
  </conditionalFormatting>
  <conditionalFormatting sqref="P5 P14:P15">
    <cfRule type="duplicateValues" dxfId="446" priority="50"/>
  </conditionalFormatting>
  <conditionalFormatting sqref="P50:P53">
    <cfRule type="duplicateValues" dxfId="445" priority="27"/>
  </conditionalFormatting>
  <conditionalFormatting sqref="P55:P60">
    <cfRule type="duplicateValues" dxfId="444" priority="26"/>
  </conditionalFormatting>
  <conditionalFormatting sqref="P44:P46 P48:P49">
    <cfRule type="duplicateValues" dxfId="443" priority="28"/>
  </conditionalFormatting>
  <conditionalFormatting sqref="P39 P41:P43">
    <cfRule type="duplicateValues" dxfId="442" priority="29"/>
  </conditionalFormatting>
  <conditionalFormatting sqref="B7:B12 B14">
    <cfRule type="duplicateValues" dxfId="441" priority="25"/>
  </conditionalFormatting>
  <conditionalFormatting sqref="L13">
    <cfRule type="expression" dxfId="440" priority="10">
      <formula>FIND(2,L13,1)</formula>
    </cfRule>
    <cfRule type="expression" dxfId="439" priority="11">
      <formula>FIND(1,L13,1)</formula>
    </cfRule>
  </conditionalFormatting>
  <conditionalFormatting sqref="K13">
    <cfRule type="expression" dxfId="438" priority="7">
      <formula>AND(#REF!=1,IF(COUNTIF(#REF!,"=1")&gt;=2,TRUE))</formula>
    </cfRule>
    <cfRule type="expression" dxfId="437" priority="8">
      <formula>AND(#REF!=3,IF(COUNTIF(#REF!,"=3")&gt;=2,TRUE))</formula>
    </cfRule>
    <cfRule type="expression" dxfId="436" priority="9">
      <formula>AND(#REF!=2,IF(COUNTIF(#REF!,"=2")&gt;=2,TRUE))</formula>
    </cfRule>
  </conditionalFormatting>
  <conditionalFormatting sqref="B13">
    <cfRule type="duplicateValues" dxfId="435" priority="6"/>
  </conditionalFormatting>
  <conditionalFormatting sqref="B301:B307">
    <cfRule type="expression" dxfId="434" priority="306">
      <formula>A301=3</formula>
    </cfRule>
    <cfRule type="expression" dxfId="433" priority="307">
      <formula>A301=2</formula>
    </cfRule>
    <cfRule type="expression" dxfId="432" priority="308">
      <formula>A301=1</formula>
    </cfRule>
    <cfRule type="containsBlanks" dxfId="431" priority="309">
      <formula>LEN(TRIM(B301))=0</formula>
    </cfRule>
    <cfRule type="duplicateValues" dxfId="430" priority="310"/>
  </conditionalFormatting>
  <conditionalFormatting sqref="B300">
    <cfRule type="expression" dxfId="429" priority="321">
      <formula>A300=3</formula>
    </cfRule>
    <cfRule type="expression" dxfId="428" priority="322">
      <formula>A300=2</formula>
    </cfRule>
    <cfRule type="expression" dxfId="427" priority="323">
      <formula>A300=1</formula>
    </cfRule>
    <cfRule type="containsBlanks" dxfId="426" priority="324">
      <formula>LEN(TRIM(B300))=0</formula>
    </cfRule>
    <cfRule type="duplicateValues" dxfId="425" priority="325"/>
  </conditionalFormatting>
  <pageMargins left="0.78740157480314965" right="0.39370078740157483" top="0.78740157480314965" bottom="0.39370078740157483" header="0.59055118110236227" footer="0"/>
  <pageSetup paperSize="9" fitToHeight="0" orientation="landscape" horizontalDpi="1200" verticalDpi="1200" r:id="rId1"/>
  <headerFooter>
    <oddHeader>&amp;R&amp;9Page &amp;P of &amp;N</oddHeader>
  </headerFooter>
  <rowBreaks count="1" manualBreakCount="1">
    <brk id="9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A322"/>
  <sheetViews>
    <sheetView showGridLines="0" showRowColHeaders="0" zoomScaleNormal="100" workbookViewId="0">
      <pane ySplit="2" topLeftCell="A3" activePane="bottomLeft" state="frozen"/>
      <selection pane="bottomLeft" activeCell="K1" sqref="K1"/>
    </sheetView>
  </sheetViews>
  <sheetFormatPr defaultRowHeight="12.75" x14ac:dyDescent="0.2"/>
  <cols>
    <col min="1" max="1" width="3.28515625" style="1" customWidth="1"/>
    <col min="2" max="2" width="17.7109375" style="1" bestFit="1" customWidth="1"/>
    <col min="3" max="9" width="6.7109375" style="1" customWidth="1"/>
    <col min="10" max="11" width="4.7109375" style="1" customWidth="1"/>
    <col min="12" max="12" width="4.7109375" style="1" hidden="1" customWidth="1"/>
    <col min="13" max="13" width="9.140625" style="154" hidden="1" customWidth="1"/>
    <col min="14" max="14" width="9.140625" style="1" customWidth="1"/>
    <col min="15" max="17" width="9.140625" style="1"/>
    <col min="18" max="19" width="0" style="1" hidden="1" customWidth="1"/>
    <col min="20" max="20" width="16.5703125" style="1" hidden="1" customWidth="1"/>
    <col min="21" max="21" width="9.140625" style="1"/>
    <col min="22" max="22" width="13.85546875" style="1" bestFit="1" customWidth="1"/>
    <col min="23" max="23" width="9.140625" style="1"/>
    <col min="24" max="24" width="17.28515625" style="1" bestFit="1" customWidth="1"/>
    <col min="25" max="25" width="9.140625" style="1"/>
    <col min="26" max="26" width="13.85546875" style="1" bestFit="1" customWidth="1"/>
    <col min="27" max="16384" width="9.140625" style="1"/>
  </cols>
  <sheetData>
    <row r="1" spans="1:27" x14ac:dyDescent="0.2">
      <c r="A1" s="1117" t="str">
        <f>UPPER((Kalend!E57)&amp;" - "&amp;(Kalend!C57)&amp;" - "&amp;(Kalend!D57))</f>
        <v>IV-Ü - IDA-VIRUMAA SISE-MV - ÜKSIK</v>
      </c>
      <c r="B1" s="1117"/>
      <c r="C1" s="212"/>
      <c r="D1" s="212"/>
      <c r="G1" s="1118" t="str">
        <f>HYPERLINK("#'Kalend'!I1","Kalender")</f>
        <v>Kalender</v>
      </c>
      <c r="H1" s="1119"/>
      <c r="I1" s="1118" t="str">
        <f>HYPERLINK("#'V'!AE1","Reiting")</f>
        <v>Reiting</v>
      </c>
      <c r="L1" s="1148"/>
      <c r="M1" s="1148"/>
      <c r="N1" s="154"/>
      <c r="O1" s="818"/>
      <c r="P1" s="755"/>
      <c r="Q1" s="755"/>
      <c r="R1" s="622" t="s">
        <v>233</v>
      </c>
      <c r="S1" s="758"/>
      <c r="T1" s="758"/>
      <c r="AA1" s="755"/>
    </row>
    <row r="2" spans="1:27" x14ac:dyDescent="0.2">
      <c r="A2" s="1119" t="str">
        <f>"Toimumisaeg: "&amp;(Kalend!A57)&amp;" kell "&amp;(Kalend!B57)</f>
        <v>Toimumisaeg: P, 21.04.2019 kell 10:00</v>
      </c>
      <c r="B2" s="1119"/>
      <c r="C2" s="1119"/>
      <c r="D2" s="1119"/>
      <c r="E2" s="1119"/>
      <c r="F2" s="1119"/>
      <c r="G2" s="1119"/>
      <c r="H2" s="1119"/>
      <c r="I2" s="1119"/>
      <c r="L2" s="757"/>
      <c r="M2" s="757"/>
      <c r="N2" s="1146"/>
      <c r="O2" s="757"/>
      <c r="P2" s="757"/>
      <c r="Q2" s="757"/>
      <c r="R2" s="757"/>
      <c r="S2" s="757"/>
      <c r="T2" s="757"/>
      <c r="AA2" s="757"/>
    </row>
    <row r="3" spans="1:27" x14ac:dyDescent="0.2">
      <c r="A3" s="1119" t="str">
        <f>"Toimumiskoht: "&amp;(Kalend!F57)</f>
        <v>Toimumiskoht: Voka petangihall</v>
      </c>
      <c r="B3" s="1119"/>
      <c r="C3" s="1119"/>
      <c r="D3" s="1119"/>
      <c r="E3" s="1119"/>
      <c r="F3" s="1119"/>
      <c r="G3" s="1119"/>
      <c r="H3" s="1119"/>
      <c r="K3" s="1147" t="s">
        <v>357</v>
      </c>
      <c r="L3" s="757"/>
      <c r="M3" s="757"/>
      <c r="O3" s="757"/>
      <c r="P3" s="757"/>
      <c r="Q3" s="757"/>
      <c r="R3" s="889" t="s">
        <v>444</v>
      </c>
      <c r="S3" s="760"/>
      <c r="T3" s="760"/>
      <c r="AA3" s="757"/>
    </row>
    <row r="4" spans="1:27" x14ac:dyDescent="0.2">
      <c r="A4" s="1119" t="str">
        <f>"Korraldaja: "&amp;(Kalend!G57)</f>
        <v>Korraldaja: Johannes Neiland</v>
      </c>
      <c r="B4" s="1119"/>
      <c r="C4" s="1119"/>
      <c r="D4" s="1119"/>
      <c r="E4" s="1119"/>
      <c r="F4" s="1119"/>
      <c r="G4" s="1119"/>
      <c r="H4" s="1119"/>
      <c r="I4" s="1119"/>
      <c r="L4" s="757"/>
      <c r="M4" s="757"/>
      <c r="N4" s="1146"/>
      <c r="O4" s="757"/>
      <c r="P4" s="757"/>
      <c r="Q4" s="757"/>
      <c r="R4" s="761" t="s">
        <v>630</v>
      </c>
      <c r="S4" s="773"/>
      <c r="T4" s="772"/>
      <c r="AA4" s="757"/>
    </row>
    <row r="5" spans="1:27" x14ac:dyDescent="0.2">
      <c r="A5" s="212"/>
      <c r="B5" s="212"/>
      <c r="C5" s="212"/>
      <c r="D5" s="212"/>
      <c r="E5" s="212"/>
      <c r="F5" s="212"/>
      <c r="G5" s="212"/>
      <c r="H5" s="212"/>
      <c r="I5" s="1120"/>
      <c r="L5" s="760"/>
      <c r="M5" s="760"/>
      <c r="N5" s="817"/>
      <c r="O5" s="760"/>
      <c r="P5" s="760"/>
      <c r="Q5" s="760"/>
      <c r="R5" s="761" t="s">
        <v>358</v>
      </c>
      <c r="S5" s="762"/>
      <c r="T5" s="762" t="s">
        <v>629</v>
      </c>
      <c r="AA5" s="760"/>
    </row>
    <row r="6" spans="1:27" x14ac:dyDescent="0.2">
      <c r="A6" s="875" t="s">
        <v>0</v>
      </c>
      <c r="B6" s="766"/>
      <c r="C6" s="767">
        <v>1</v>
      </c>
      <c r="D6" s="767">
        <v>2</v>
      </c>
      <c r="E6" s="767">
        <v>3</v>
      </c>
      <c r="F6" s="767">
        <v>4</v>
      </c>
      <c r="G6" s="767"/>
      <c r="H6" s="767" t="s">
        <v>363</v>
      </c>
      <c r="I6" s="766" t="s">
        <v>364</v>
      </c>
      <c r="J6" s="768" t="s">
        <v>21</v>
      </c>
      <c r="K6" s="835" t="s">
        <v>365</v>
      </c>
      <c r="L6" s="819" t="s">
        <v>21</v>
      </c>
      <c r="M6" s="212" t="b">
        <f>OR(AND(COUNTA(B7:B11)=3,COUNTA(C7:G11)=6),AND(COUNTA(B7:B11)=4,COUNTA(C7:G11)=12),AND(COUNTA(B7:B11)=5,COUNTA(C7:G11)=20))</f>
        <v>1</v>
      </c>
      <c r="P6" s="212"/>
      <c r="Q6" s="212"/>
      <c r="R6" s="761"/>
      <c r="S6" s="773"/>
      <c r="T6" s="772"/>
      <c r="AA6" s="212"/>
    </row>
    <row r="7" spans="1:27" x14ac:dyDescent="0.2">
      <c r="A7" s="1032">
        <v>1</v>
      </c>
      <c r="B7" s="1116" t="s">
        <v>272</v>
      </c>
      <c r="C7" s="1043"/>
      <c r="D7" s="1042">
        <v>13</v>
      </c>
      <c r="E7" s="1042">
        <v>13</v>
      </c>
      <c r="F7" s="1042">
        <v>13</v>
      </c>
      <c r="G7" s="1042"/>
      <c r="H7" s="1038" t="str">
        <f>(IF(D7-C8&gt;0,1)+IF(E7-C9&gt;0,1)+IF(F7-C10&gt;0,1)+IF(G7-C11&gt;0,1))&amp;"-"&amp;(IF(D7-C8&lt;0,1)+IF(E7-C9&lt;0,1)+IF(F7-C10&lt;0,1)+IF(G7-C11&lt;0,1))</f>
        <v>3-0</v>
      </c>
      <c r="I7" s="1042" t="str">
        <f>IF(AND(B7&lt;&gt;"",M$6=TRUE),A$6&amp;RANK(M7,M$7:M$11,0),"")</f>
        <v>A1</v>
      </c>
      <c r="J7" s="822">
        <f>IF(AND(L7=1,L8=1,D7&gt;C8),1)+IF(AND(L7=1,L9=1,E7&gt;C9),1)+IF(AND(L7=1,L10=1,F7&gt;C10),1)+IF(AND(L7=1,L11=1,G7&gt;C11),1)+IF(AND(L7=2,L8=2,D7&gt;C8),1)+IF(AND(L7=2,L9=2,E7&gt;C9),1)+IF(AND(L7=2,L10=2,F7&gt;C10),1)+IF(AND(L7=2,L11=2,G7&gt;C11),1)+IF(AND(L7=3,L8=3,D7&gt;C8),1)+IF(AND(L7=3,L9=3,E7&gt;C9),1)+IF(AND(L7=3,L10=3,F7&gt;C10),1)+IF(AND(L7=3,L11=3,G7&gt;C11),1)</f>
        <v>0</v>
      </c>
      <c r="K7" s="1132">
        <f>IF(AND(L7=1,L8=1),D7-C8)+IF(AND(L7=1,L9=1),E7-C9)+IF(AND(L7=1,L10=1),F7-C10)+IF(AND(L7=1,L11=1),G7-C11)+IF(AND(L7=2,L8=2),D7-C8)+IF(AND(L7=2,L9=2),E7-C9)+IF(AND(L7=2,L10=2),F7-C10)+IF(AND(L7=2,L11=2),G7-C11)+IF(AND(L7=3,L8=3),D7-C8)+IF(AND(L7=3,L9=3),E7-C9)+IF(AND(L7=3,L10=3),F7-C10)+IF(AND(L7=3,L11=3),G7-C11)</f>
        <v>0</v>
      </c>
      <c r="L7" s="1054">
        <f>VALUE(LEFT(H7,1))</f>
        <v>3</v>
      </c>
      <c r="M7" s="1057">
        <f>10000*L7+J7*100+K7</f>
        <v>30000</v>
      </c>
      <c r="P7" s="212"/>
      <c r="Q7" s="212"/>
      <c r="R7" s="764">
        <f t="shared" ref="R7:R38" si="0">SUM(S7:AB7)</f>
        <v>123</v>
      </c>
      <c r="S7" s="784">
        <f>IFERROR(INDEX(V!$R:$R,MATCH(T7,V!$L:$L,0)),"")</f>
        <v>123</v>
      </c>
      <c r="T7" s="783" t="str">
        <f>IFERROR($B7,"")</f>
        <v>Tõnu Piik</v>
      </c>
      <c r="AA7" s="212"/>
    </row>
    <row r="8" spans="1:27" x14ac:dyDescent="0.2">
      <c r="A8" s="875">
        <v>2</v>
      </c>
      <c r="B8" s="1121" t="s">
        <v>278</v>
      </c>
      <c r="C8" s="778">
        <v>9</v>
      </c>
      <c r="D8" s="776"/>
      <c r="E8" s="778">
        <v>4</v>
      </c>
      <c r="F8" s="778">
        <v>6</v>
      </c>
      <c r="G8" s="778"/>
      <c r="H8" s="796" t="str">
        <f>(IF(C8-D7&gt;0,1)+IF(E8-D9&gt;0,1)+IF(F8-D10&gt;0,1)+IF(G8-D11&gt;0,1))&amp;"-"&amp;(IF(C8-D7&lt;0,1)+IF(E8-D9&lt;0,1)+IF(F8-D10&lt;0,1)+IF(G8-D11&lt;0,1))</f>
        <v>0-3</v>
      </c>
      <c r="I8" s="778" t="str">
        <f>IF(AND(B8&lt;&gt;"",M$6=TRUE),A$6&amp;RANK(M8,M$7:M$11,0),"")</f>
        <v>A4</v>
      </c>
      <c r="J8" s="825">
        <f>IF(AND(L8=1,L7=1,C8&gt;D7),1)+IF(AND(L8=1,L9=1,E8&gt;D9),1)+IF(AND(L8=1,L10=1,F8&gt;D10),1)+IF(AND(L8=1,L11=1,G8&gt;D11),1)+IF(AND(L8=2,L7=2,C8&gt;D7),1)+IF(AND(L8=2,L9=2,E8&gt;D9),1)+IF(AND(L8=2,L10=2,F8&gt;D10),1)+IF(AND(L8=2,L11=2,G8&gt;D11),1)+IF(AND(L8=3,L7=3,C8&gt;D7),1)+IF(AND(L8=3,L9=3,E8&gt;D9),1)+IF(AND(L8=3,L10=3,F8&gt;D10),1)+IF(AND(L8=3,L11=3,G8&gt;D11),1)</f>
        <v>0</v>
      </c>
      <c r="K8" s="1133">
        <f>IF(AND(L8=1,L7=1),C8-D7)+IF(AND(L8=1,L9=1),E8-D9)+IF(AND(L8=1,L10=1),F8-D10)+IF(AND(L8=1,L11=1),G8-D11)+IF(AND(L8=2,L7=2),C8-D7)+IF(AND(L8=2,L9=2),E8-D9)+IF(AND(L8=2,L10=2),F8-D10)+IF(AND(L8=2,L11=2),G8-D11)+IF(AND(L8=3,L7=3),C8-D7)+IF(AND(L8=3,L9=3),E8-D9)+IF(AND(L8=3,L10=3),F8-D10)+IF(AND(L8=3,L11=3),G8-D11)</f>
        <v>0</v>
      </c>
      <c r="L8" s="821">
        <f>VALUE(LEFT(H8,1))</f>
        <v>0</v>
      </c>
      <c r="M8" s="824">
        <f>10000*L8+J8*100+K8</f>
        <v>0</v>
      </c>
      <c r="P8" s="212"/>
      <c r="Q8" s="212"/>
      <c r="R8" s="764">
        <f t="shared" si="0"/>
        <v>98.5</v>
      </c>
      <c r="S8" s="784">
        <f>IFERROR(INDEX(V!$R:$R,MATCH(T8,V!$L:$L,0)),"")</f>
        <v>98.5</v>
      </c>
      <c r="T8" s="783" t="str">
        <f t="shared" ref="T8:T45" si="1">IFERROR($B8,"")</f>
        <v>Illar Tõnurist</v>
      </c>
      <c r="AA8" s="212"/>
    </row>
    <row r="9" spans="1:27" x14ac:dyDescent="0.2">
      <c r="A9" s="875">
        <v>3</v>
      </c>
      <c r="B9" s="1121" t="s">
        <v>286</v>
      </c>
      <c r="C9" s="778">
        <v>2</v>
      </c>
      <c r="D9" s="787">
        <v>13</v>
      </c>
      <c r="E9" s="776"/>
      <c r="F9" s="778">
        <v>13</v>
      </c>
      <c r="G9" s="778"/>
      <c r="H9" s="796" t="str">
        <f>(IF(C9-E7&gt;0,1)+IF(D9-E8&gt;0,1)+IF(F9-E10&gt;0,1)+IF(G9-E11&gt;0,1))&amp;"-"&amp;(IF(C9-E7&lt;0,1)+IF(D9-E8&lt;0,1)+IF(F9-E10&lt;0,1)+IF(G9-E11&lt;0,1))</f>
        <v>2-1</v>
      </c>
      <c r="I9" s="778" t="str">
        <f>IF(AND(B9&lt;&gt;"",M$6=TRUE),A$6&amp;RANK(M9,M$7:M$11,0),"")</f>
        <v>A2</v>
      </c>
      <c r="J9" s="825">
        <f>IF(AND(L9=1,L7=1,C9&gt;E7),1)+IF(AND(L9=1,L8=1,D9&gt;E8),1)+IF(AND(L9=1,L10=1,F9&gt;E10),1)+IF(AND(L9=1,L11=1,G9&gt;E11),1)+IF(AND(L9=2,L7=2,C9&gt;E7),1)+IF(AND(L9=2,L8=2,D9&gt;E8),1)+IF(AND(L9=2,L10=2,F9&gt;E10),1)+IF(AND(L9=2,L11=2,G9&gt;E11),1)+IF(AND(L9=3,L7=3,C9&gt;E7),1)+IF(AND(L9=3,L8=3,D9&gt;E8),1)+IF(AND(L9=3,L10=3,F9&gt;E10),1)+IF(AND(L9=3,L11=3,G9&gt;E11),1)</f>
        <v>0</v>
      </c>
      <c r="K9" s="1133">
        <f>IF(AND(L9=1,L7=1),C9-E7)+IF(AND(L9=1,L8=1),D9-E8)+IF(AND(L9=1,L10=1),F9-E10)+IF(AND(L9=1,L11=1),G9-E11)+IF(AND(L9=2,L7=2),C9-E7)+IF(AND(L9=2,L8=2),D9-E8)+IF(AND(L9=2,L10=2),F9-E10)+IF(AND(L9=2,L11=2),G9-E11)+IF(AND(L9=3,L7=3),C9-E7)+IF(AND(L9=3,L8=3),D9-E8)+IF(AND(L9=3,L10=3),F9-E10)+IF(AND(L9=3,L11=3),G9-E11)</f>
        <v>0</v>
      </c>
      <c r="L9" s="821">
        <f>VALUE(LEFT(H9,1))</f>
        <v>2</v>
      </c>
      <c r="M9" s="824">
        <f>10000*L9+J9*100+K9</f>
        <v>20000</v>
      </c>
      <c r="P9" s="803"/>
      <c r="Q9" s="212"/>
      <c r="R9" s="764">
        <f t="shared" si="0"/>
        <v>61</v>
      </c>
      <c r="S9" s="784">
        <f>IFERROR(INDEX(V!$R:$R,MATCH(T9,V!$L:$L,0)),"")</f>
        <v>61</v>
      </c>
      <c r="T9" s="783" t="str">
        <f t="shared" si="1"/>
        <v>Henri Mitt</v>
      </c>
      <c r="AA9" s="212"/>
    </row>
    <row r="10" spans="1:27" x14ac:dyDescent="0.2">
      <c r="A10" s="875">
        <v>4</v>
      </c>
      <c r="B10" s="1122" t="s">
        <v>292</v>
      </c>
      <c r="C10" s="778">
        <v>12</v>
      </c>
      <c r="D10" s="787">
        <v>13</v>
      </c>
      <c r="E10" s="778">
        <v>4</v>
      </c>
      <c r="F10" s="776"/>
      <c r="G10" s="779"/>
      <c r="H10" s="796" t="str">
        <f>(IF(C10-F7&gt;0,1)+IF(D10-F8&gt;0,1)+IF(E10-F9&gt;0,1)+IF(G10-F11&gt;0,1))&amp;"-"&amp;(IF(C10-F7&lt;0,1)+IF(D10-F8&lt;0,1)+IF(E10-F9&lt;0,1)+IF(G10-F11&lt;0,1))</f>
        <v>1-2</v>
      </c>
      <c r="I10" s="778" t="str">
        <f>IF(AND(B10&lt;&gt;"",M$6=TRUE),A$6&amp;RANK(M10,M$7:M$11,0),"")</f>
        <v>A3</v>
      </c>
      <c r="J10" s="825">
        <f>IF(AND(L10=1,L7=1,C10&gt;F7),1)+IF(AND(L10=1,L8=1,D10&gt;F8),1)+IF(AND(L10=1,L9=1,E10&gt;F9),1)+IF(AND(L10=1,L11=1,G10&gt;F11),1)+IF(AND(L10=2,L7=2,C10&gt;F7),1)+IF(AND(L10=2,L8=2,D10&gt;F8),1)+IF(AND(L10=2,L9=2,E10&gt;F9),1)+IF(AND(L10=2,L11=2,G10&gt;F11),1)+IF(AND(L10=3,L7=3,C10&gt;F7),1)+IF(AND(L10=3,L8=3,D10&gt;F8),1)+IF(AND(L10=3,L9=3,E10&gt;F9),1)+IF(AND(L10=3,L11=3,G10&gt;F11),1)</f>
        <v>0</v>
      </c>
      <c r="K10" s="1133">
        <f>IF(AND(L10=1,L7=1),C10-F7)+IF(AND(L10=1,L8=1),D10-F8)+IF(AND(L10=1,L9=1),E10-F9)+IF(AND(L10=1,L11=1),G10-F11)+IF(AND(L10=2,L7=2),C10-F7)+IF(AND(L10=2,L8=2),D10-F8)+IF(AND(L10=2,L9=2),E10-F9)+IF(AND(L10=2,L11=2),G10-F11)+IF(AND(L10=3,L7=3),C10-F7)+IF(AND(L10=3,L8=3),D10-F8)+IF(AND(L10=3,L9=3),E10-F9)+IF(AND(L10=3,L11=3),G10-F11)</f>
        <v>0</v>
      </c>
      <c r="L10" s="821">
        <f>VALUE(LEFT(H10,1))</f>
        <v>1</v>
      </c>
      <c r="M10" s="824">
        <f>10000*L10+J10*100+K10</f>
        <v>10000</v>
      </c>
      <c r="P10" s="212"/>
      <c r="Q10" s="212"/>
      <c r="R10" s="764">
        <f t="shared" si="0"/>
        <v>46.5</v>
      </c>
      <c r="S10" s="784">
        <f>IFERROR(INDEX(V!$R:$R,MATCH(T10,V!$L:$L,0)),"")</f>
        <v>46.5</v>
      </c>
      <c r="T10" s="783" t="str">
        <f t="shared" si="1"/>
        <v>Viktor Švarõgin</v>
      </c>
      <c r="AA10" s="212"/>
    </row>
    <row r="11" spans="1:27" x14ac:dyDescent="0.2">
      <c r="A11" s="875">
        <v>5</v>
      </c>
      <c r="B11" s="112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5">
        <f>IF(AND(L11=1,L7=1,C11&gt;G7),1)+IF(AND(L11=1,L8=1,D11&gt;G8),1)+IF(AND(L11=1,L9=1,E11&gt;G9),1)+IF(AND(L11=1,L10=1,F11&gt;G10),1)+IF(AND(L11=2,L7=2,C11&gt;G7),1)+IF(AND(L11=2,L8=2,D11&gt;G8),1)+IF(AND(L11=2,L9=2,E11&gt;G9),1)+IF(AND(L11=2,L10=2,F11&gt;G10),1)+IF(AND(L11=3,L7=3,C11&gt;G7),1)+IF(AND(L11=3,L8=3,D11&gt;G8),1)+IF(AND(L11=3,L9=3,E11&gt;G9),1)+IF(AND(L11=3,L10=3,F11&gt;G10),1)</f>
        <v>0</v>
      </c>
      <c r="K11" s="1133">
        <f>IF(AND(L11=1,L7=1),C11-G7)+IF(AND(L11=1,L8=1),D11-G8)+IF(AND(L11=1,L9=1),E11-G9)+IF(AND(L11=1,L10=1),F11-G10)+IF(AND(L11=2,L7=2),C11-G7)+IF(AND(L11=2,L8=2),D11-G8)+IF(AND(L11=2,L9=2),E11-G9)+IF(AND(L11=2,L10=2),F11-G10)+IF(AND(L11=3,L7=3),C11-G7)+IF(AND(L11=3,L8=3),D11-G8)+IF(AND(L11=3,L9=3),E11-G9)+IF(AND(L11=3,L10=3),F11-G10)</f>
        <v>0</v>
      </c>
      <c r="L11" s="821">
        <f>VALUE(LEFT(H11,1))</f>
        <v>0</v>
      </c>
      <c r="M11" s="824">
        <f>10000*L11+J11*100+K11</f>
        <v>0</v>
      </c>
      <c r="P11" s="212"/>
      <c r="Q11" s="212"/>
      <c r="R11" s="764"/>
      <c r="S11" s="784"/>
      <c r="T11" s="783"/>
      <c r="AA11" s="212"/>
    </row>
    <row r="12" spans="1:27" x14ac:dyDescent="0.2">
      <c r="A12" s="213"/>
      <c r="B12" s="1123"/>
      <c r="C12" s="808"/>
      <c r="D12" s="829"/>
      <c r="E12" s="808"/>
      <c r="F12" s="805"/>
      <c r="G12" s="212"/>
      <c r="H12" s="1068"/>
      <c r="I12" s="831"/>
      <c r="J12" s="832"/>
      <c r="K12" s="879"/>
      <c r="L12" s="817"/>
      <c r="M12" s="817"/>
      <c r="P12" s="212"/>
      <c r="Q12" s="212"/>
      <c r="R12" s="764"/>
      <c r="S12" s="784"/>
      <c r="T12" s="783"/>
      <c r="AA12" s="755"/>
    </row>
    <row r="13" spans="1:27" x14ac:dyDescent="0.2">
      <c r="A13" s="875" t="s">
        <v>1</v>
      </c>
      <c r="B13" s="766"/>
      <c r="C13" s="767">
        <v>1</v>
      </c>
      <c r="D13" s="767">
        <v>2</v>
      </c>
      <c r="E13" s="767">
        <v>3</v>
      </c>
      <c r="F13" s="767"/>
      <c r="G13" s="767"/>
      <c r="H13" s="766" t="s">
        <v>363</v>
      </c>
      <c r="I13" s="766" t="s">
        <v>364</v>
      </c>
      <c r="J13" s="768" t="s">
        <v>21</v>
      </c>
      <c r="K13" s="835" t="s">
        <v>365</v>
      </c>
      <c r="L13" s="834" t="s">
        <v>21</v>
      </c>
      <c r="M13" s="836" t="b">
        <f>OR(AND(COUNTA(B14:B18)=3,COUNTA(C14:G18)=6),AND(COUNTA(B14:B18)=4,COUNTA(C14:G18)=12),AND(COUNTA(B14:B18)=5,COUNTA(C14:G18)=20))</f>
        <v>0</v>
      </c>
      <c r="P13" s="770"/>
      <c r="Q13" s="770"/>
      <c r="R13" s="764"/>
      <c r="S13" s="784"/>
      <c r="T13" s="783"/>
      <c r="AA13" s="755"/>
    </row>
    <row r="14" spans="1:27" x14ac:dyDescent="0.2">
      <c r="A14" s="875">
        <v>1</v>
      </c>
      <c r="B14" s="948" t="s">
        <v>281</v>
      </c>
      <c r="C14" s="776"/>
      <c r="D14" s="788">
        <v>9</v>
      </c>
      <c r="E14" s="788">
        <v>13</v>
      </c>
      <c r="F14" s="778"/>
      <c r="G14" s="778"/>
      <c r="H14" s="796" t="str">
        <f>(IF(D14-C15&gt;0,1)+IF(E14-C16&gt;0,1)+IF(F14-C17&gt;0,1)+IF(G14-C18&gt;0,1))&amp;"-"&amp;(IF(D14-C15&lt;0,1)+IF(E14-C16&lt;0,1)+IF(F14-C17&lt;0,1)+IF(G14-C18&lt;0,1))</f>
        <v>1-1</v>
      </c>
      <c r="I14" s="778" t="str">
        <f>IF(AND(B14&lt;&gt;"",M$6=TRUE),A$13&amp;RANK(M14,M$14:M$18,0),"")</f>
        <v>B2</v>
      </c>
      <c r="J14" s="822">
        <f>IF(AND(L14=1,L15=1,D14&gt;C15),1)+IF(AND(L14=1,L16=1,E14&gt;C16),1)+IF(AND(L14=1,L17=1,F14&gt;C17),1)+IF(AND(L14=1,L18=1,G14&gt;C18),1)+IF(AND(L14=2,L15=2,D14&gt;C15),1)+IF(AND(L14=2,L16=2,E14&gt;C16),1)+IF(AND(L14=2,L17=2,F14&gt;C17),1)+IF(AND(L14=2,L18=2,G14&gt;C18),1)+IF(AND(L14=3,L15=3,D14&gt;C15),1)+IF(AND(L14=3,L16=3,E14&gt;C16),1)+IF(AND(L14=3,L17=3,F14&gt;C17),1)+IF(AND(L14=3,L18=3,G14&gt;C18),1)</f>
        <v>1</v>
      </c>
      <c r="K14" s="1132">
        <f>IF(AND(L14=1,L15=1),D14-C15)+IF(AND(L14=1,L16=1),E14-C16)+IF(AND(L14=1,L17=1),F14-C17)+IF(AND(L14=1,L18=1),G14-C18)+IF(AND(L14=2,L15=2),D14-C15)+IF(AND(L14=2,L16=2),E14-C16)+IF(AND(L14=2,L17=2),F14-C17)+IF(AND(L14=2,L18=2),G14-C18)+IF(AND(L14=3,L15=3),D14-C15)+IF(AND(L14=3,L16=3),E14-C16)+IF(AND(L14=3,L17=3),F14-C17)+IF(AND(L14=3,L18=3),G14-C18)</f>
        <v>0</v>
      </c>
      <c r="L14" s="821">
        <f>VALUE(LEFT(H14,1))</f>
        <v>1</v>
      </c>
      <c r="M14" s="824">
        <f>10000*L14+J14*100+K14</f>
        <v>10100</v>
      </c>
      <c r="P14" s="770"/>
      <c r="Q14" s="770"/>
      <c r="R14" s="764">
        <f t="shared" si="0"/>
        <v>92</v>
      </c>
      <c r="S14" s="784">
        <f>IFERROR(INDEX(V!$R:$R,MATCH(T14,V!$L:$L,0)),"")</f>
        <v>92</v>
      </c>
      <c r="T14" s="783" t="str">
        <f t="shared" si="1"/>
        <v>Jaan Saar</v>
      </c>
      <c r="AA14" s="757"/>
    </row>
    <row r="15" spans="1:27" x14ac:dyDescent="0.2">
      <c r="A15" s="875">
        <v>2</v>
      </c>
      <c r="B15" s="1124" t="s">
        <v>279</v>
      </c>
      <c r="C15" s="788">
        <v>13</v>
      </c>
      <c r="D15" s="776"/>
      <c r="E15" s="788">
        <v>7</v>
      </c>
      <c r="F15" s="778"/>
      <c r="G15" s="778"/>
      <c r="H15" s="796" t="str">
        <f>(IF(C15-D14&gt;0,1)+IF(E15-D16&gt;0,1)+IF(F15-D17&gt;0,1)+IF(G15-D18&gt;0,1))&amp;"-"&amp;(IF(C15-D14&lt;0,1)+IF(E15-D16&lt;0,1)+IF(F15-D17&lt;0,1)+IF(G15-D18&lt;0,1))</f>
        <v>1-1</v>
      </c>
      <c r="I15" s="778" t="str">
        <f>IF(AND(B15&lt;&gt;"",M$6=TRUE),A$13&amp;RANK(M15,M$14:M$18,0),"")</f>
        <v>B3</v>
      </c>
      <c r="J15" s="825">
        <f>IF(AND(L15=1,L14=1,C15&gt;D14),1)+IF(AND(L15=1,L16=1,E15&gt;D16),1)+IF(AND(L15=1,L17=1,F15&gt;D17),1)+IF(AND(L15=1,L18=1,G15&gt;D18),1)+IF(AND(L15=2,L14=2,C15&gt;D14),1)+IF(AND(L15=2,L16=2,E15&gt;D16),1)+IF(AND(L15=2,L17=2,F15&gt;D17),1)+IF(AND(L15=2,L18=2,G15&gt;D18),1)+IF(AND(L15=3,L14=3,C15&gt;D14),1)+IF(AND(L15=3,L16=3,E15&gt;D16),1)+IF(AND(L15=3,L17=3,F15&gt;D17),1)+IF(AND(L15=3,L18=3,G15&gt;D18),1)</f>
        <v>1</v>
      </c>
      <c r="K15" s="1133">
        <f>IF(AND(L15=1,L14=1),C15-D14)+IF(AND(L15=1,L16=1),E15-D16)+IF(AND(L15=1,L17=1),F15-D17)+IF(AND(L15=1,L18=1),G15-D18)+IF(AND(L15=2,L14=2),C15-D14)+IF(AND(L15=2,L16=2),E15-D16)+IF(AND(L15=2,L17=2),F15-D17)+IF(AND(L15=2,L18=2),G15-D18)+IF(AND(L15=3,L14=3),C15-D14)+IF(AND(L15=3,L16=3),E15-D16)+IF(AND(L15=3,L17=3),F15-D17)+IF(AND(L15=3,L18=3),G15-D18)</f>
        <v>-2</v>
      </c>
      <c r="L15" s="821">
        <f>VALUE(LEFT(H15,1))</f>
        <v>1</v>
      </c>
      <c r="M15" s="824">
        <f>10000*L15+J15*100+K15</f>
        <v>10098</v>
      </c>
      <c r="P15" s="770"/>
      <c r="Q15" s="770"/>
      <c r="R15" s="764">
        <f t="shared" si="0"/>
        <v>97.5</v>
      </c>
      <c r="S15" s="784">
        <f>IFERROR(INDEX(V!$R:$R,MATCH(T15,V!$L:$L,0)),"")</f>
        <v>97.5</v>
      </c>
      <c r="T15" s="783" t="str">
        <f t="shared" si="1"/>
        <v>Klavdia Piik</v>
      </c>
      <c r="AA15" s="757"/>
    </row>
    <row r="16" spans="1:27" x14ac:dyDescent="0.2">
      <c r="A16" s="875">
        <v>3</v>
      </c>
      <c r="B16" s="1121" t="s">
        <v>291</v>
      </c>
      <c r="C16" s="788">
        <v>9</v>
      </c>
      <c r="D16" s="826">
        <v>13</v>
      </c>
      <c r="E16" s="776"/>
      <c r="F16" s="778"/>
      <c r="G16" s="778"/>
      <c r="H16" s="796" t="str">
        <f>(IF(C16-E14&gt;0,1)+IF(D16-E15&gt;0,1)+IF(F16-E17&gt;0,1)+IF(G16-E18&gt;0,1))&amp;"-"&amp;(IF(C16-E14&lt;0,1)+IF(D16-E15&lt;0,1)+IF(F16-E17&lt;0,1)+IF(G16-E18&lt;0,1))</f>
        <v>1-1</v>
      </c>
      <c r="I16" s="778" t="str">
        <f>IF(AND(B16&lt;&gt;"",M$6=TRUE),A$13&amp;RANK(M16,M$14:M$18,0),"")</f>
        <v>B1</v>
      </c>
      <c r="J16" s="825">
        <f>IF(AND(L16=1,L14=1,C16&gt;E14),1)+IF(AND(L16=1,L15=1,D16&gt;E15),1)+IF(AND(L16=1,L17=1,F16&gt;E17),1)+IF(AND(L16=1,L18=1,G16&gt;E18),1)+IF(AND(L16=2,L14=2,C16&gt;E14),1)+IF(AND(L16=2,L15=2,D16&gt;E15),1)+IF(AND(L16=2,L17=2,F16&gt;E17),1)+IF(AND(L16=2,L18=2,G16&gt;E18),1)+IF(AND(L16=3,L14=3,C16&gt;E14),1)+IF(AND(L16=3,L15=3,D16&gt;E15),1)+IF(AND(L16=3,L17=3,F16&gt;E17),1)+IF(AND(L16=3,L18=3,G16&gt;E18),1)</f>
        <v>1</v>
      </c>
      <c r="K16" s="1133">
        <f>IF(AND(L16=1,L14=1),C16-E14)+IF(AND(L16=1,L15=1),D16-E15)+IF(AND(L16=1,L17=1),F16-E17)+IF(AND(L16=1,L18=1),G16-E18)+IF(AND(L16=2,L14=2),C16-E14)+IF(AND(L16=2,L15=2),D16-E15)+IF(AND(L16=2,L17=2),F16-E17)+IF(AND(L16=2,L18=2),G16-E18)+IF(AND(L16=3,L14=3),C16-E14)+IF(AND(L16=3,L15=3),D16-E15)+IF(AND(L16=3,L17=3),F16-E17)+IF(AND(L16=3,L18=3),G16-E18)</f>
        <v>2</v>
      </c>
      <c r="L16" s="821">
        <f>VALUE(LEFT(H16,1))</f>
        <v>1</v>
      </c>
      <c r="M16" s="824">
        <f>10000*L16+J16*100+K16</f>
        <v>10102</v>
      </c>
      <c r="P16" s="770"/>
      <c r="Q16" s="770"/>
      <c r="R16" s="764">
        <f t="shared" si="0"/>
        <v>46.5</v>
      </c>
      <c r="S16" s="784">
        <f>IFERROR(INDEX(V!$R:$R,MATCH(T16,V!$L:$L,0)),"")</f>
        <v>46.5</v>
      </c>
      <c r="T16" s="783" t="str">
        <f t="shared" si="1"/>
        <v>Ljudmila Varendi</v>
      </c>
      <c r="AA16" s="757"/>
    </row>
    <row r="17" spans="1:27" x14ac:dyDescent="0.2">
      <c r="A17" s="875">
        <v>4</v>
      </c>
      <c r="B17" s="1122" t="s">
        <v>424</v>
      </c>
      <c r="C17" s="778"/>
      <c r="D17" s="787"/>
      <c r="E17" s="778"/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0-0</v>
      </c>
      <c r="I17" s="778" t="str">
        <f>IF(AND(B17&lt;&gt;"",M$6=TRUE),A$13&amp;RANK(M17,M$14:M$18,0),"")</f>
        <v>B4</v>
      </c>
      <c r="J17" s="825">
        <f>IF(AND(L17=1,L14=1,C17&gt;F14),1)+IF(AND(L17=1,L15=1,D17&gt;F15),1)+IF(AND(L17=1,L16=1,E17&gt;F16),1)+IF(AND(L17=1,L18=1,G17&gt;F18),1)+IF(AND(L17=2,L14=2,C17&gt;F14),1)+IF(AND(L17=2,L15=2,D17&gt;F15),1)+IF(AND(L17=2,L16=2,E17&gt;F16),1)+IF(AND(L17=2,L18=2,G17&gt;F18),1)+IF(AND(L17=3,L14=3,C17&gt;F14),1)+IF(AND(L17=3,L15=3,D17&gt;F15),1)+IF(AND(L17=3,L16=3,E17&gt;F16),1)+IF(AND(L17=3,L18=3,G17&gt;F18),1)</f>
        <v>0</v>
      </c>
      <c r="K17" s="1133">
        <f>IF(AND(L17=1,L14=1),C17-F14)+IF(AND(L17=1,L15=1),D17-F15)+IF(AND(L17=1,L16=1),E17-F16)+IF(AND(L17=1,L18=1),G17-F18)+IF(AND(L17=2,L14=2),C17-F14)+IF(AND(L17=2,L15=2),D17-F15)+IF(AND(L17=2,L16=2),E17-F16)+IF(AND(L17=2,L18=2),G17-F18)+IF(AND(L17=3,L14=3),C17-F14)+IF(AND(L17=3,L15=3),D17-F15)+IF(AND(L17=3,L16=3),E17-F16)+IF(AND(L17=3,L18=3),G17-F18)</f>
        <v>0</v>
      </c>
      <c r="L17" s="821">
        <f>VALUE(LEFT(H17,1))</f>
        <v>0</v>
      </c>
      <c r="M17" s="824">
        <f>10000*L17+J17*100+K17</f>
        <v>0</v>
      </c>
      <c r="P17" s="757"/>
      <c r="Q17" s="770"/>
      <c r="R17" s="764"/>
      <c r="S17" s="784"/>
      <c r="T17" s="783"/>
      <c r="AA17" s="757"/>
    </row>
    <row r="18" spans="1:27" x14ac:dyDescent="0.2">
      <c r="A18" s="875">
        <v>5</v>
      </c>
      <c r="B18" s="112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IF(AND(B18&lt;&gt;"",M$6=TRUE),A$13&amp;RANK(M18,M$14:M$18,0),"")</f>
        <v/>
      </c>
      <c r="J18" s="825">
        <f>IF(AND(L18=1,L14=1,C18&gt;G14),1)+IF(AND(L18=1,L15=1,D18&gt;G15),1)+IF(AND(L18=1,L16=1,E18&gt;G16),1)+IF(AND(L18=1,L17=1,F18&gt;G17),1)+IF(AND(L18=2,L14=2,C18&gt;G14),1)+IF(AND(L18=2,L15=2,D18&gt;G15),1)+IF(AND(L18=2,L16=2,E18&gt;G16),1)+IF(AND(L18=2,L17=2,F18&gt;G17),1)+IF(AND(L18=3,L14=3,C18&gt;G14),1)+IF(AND(L18=3,L15=3,D18&gt;G15),1)+IF(AND(L18=3,L16=3,E18&gt;G16),1)+IF(AND(L18=3,L17=3,F18&gt;G17),1)</f>
        <v>0</v>
      </c>
      <c r="K18" s="1133">
        <f>IF(AND(L18=1,L14=1),C18-G14)+IF(AND(L18=1,L15=1),D18-G15)+IF(AND(L18=1,L16=1),E18-G16)+IF(AND(L18=1,L17=1),F18-G17)+IF(AND(L18=2,L14=2),C18-G14)+IF(AND(L18=2,L15=2),D18-G15)+IF(AND(L18=2,L16=2),E18-G16)+IF(AND(L18=2,L17=2),F18-G17)+IF(AND(L18=3,L14=3),C18-G14)+IF(AND(L18=3,L15=3),D18-G15)+IF(AND(L18=3,L16=3),E18-G16)+IF(AND(L18=3,L17=3),F18-G17)</f>
        <v>0</v>
      </c>
      <c r="L18" s="821">
        <f>VALUE(LEFT(H18,1))</f>
        <v>0</v>
      </c>
      <c r="M18" s="824">
        <f>10000*L18+J18*100+K18</f>
        <v>0</v>
      </c>
      <c r="P18" s="770"/>
      <c r="Q18" s="770"/>
      <c r="R18" s="764"/>
      <c r="S18" s="784"/>
      <c r="T18" s="783"/>
      <c r="AA18" s="757"/>
    </row>
    <row r="19" spans="1:27" x14ac:dyDescent="0.2">
      <c r="A19" s="213"/>
      <c r="B19" s="1123"/>
      <c r="C19" s="808"/>
      <c r="D19" s="829"/>
      <c r="E19" s="808"/>
      <c r="F19" s="805"/>
      <c r="G19" s="212"/>
      <c r="H19" s="1068"/>
      <c r="I19" s="831"/>
      <c r="J19" s="838"/>
      <c r="K19" s="879"/>
      <c r="L19" s="817"/>
      <c r="M19" s="817"/>
      <c r="P19" s="212"/>
      <c r="Q19" s="212"/>
      <c r="R19" s="764"/>
      <c r="S19" s="784"/>
      <c r="T19" s="783"/>
      <c r="AA19" s="755"/>
    </row>
    <row r="20" spans="1:27" x14ac:dyDescent="0.2">
      <c r="A20" s="87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768" t="s">
        <v>21</v>
      </c>
      <c r="K20" s="835" t="s">
        <v>365</v>
      </c>
      <c r="L20" s="834" t="s">
        <v>21</v>
      </c>
      <c r="M20" s="836" t="b">
        <f>OR(AND(COUNTA(B21:B25)=3,COUNTA(C21:G25)=6),AND(COUNTA(B21:B25)=4,COUNTA(C21:G25)=12),AND(COUNTA(B21:B25)=5,COUNTA(C21:G25)=20))</f>
        <v>1</v>
      </c>
      <c r="P20" s="770"/>
      <c r="Q20" s="770"/>
      <c r="R20" s="764"/>
      <c r="S20" s="784"/>
      <c r="T20" s="783"/>
      <c r="AA20" s="755"/>
    </row>
    <row r="21" spans="1:27" x14ac:dyDescent="0.2">
      <c r="A21" s="875">
        <v>1</v>
      </c>
      <c r="B21" s="1124" t="s">
        <v>271</v>
      </c>
      <c r="C21" s="776"/>
      <c r="D21" s="778">
        <v>11</v>
      </c>
      <c r="E21" s="788">
        <v>13</v>
      </c>
      <c r="F21" s="786">
        <v>12</v>
      </c>
      <c r="G21" s="778"/>
      <c r="H21" s="796" t="str">
        <f>(IF(D21-C22&gt;0,1)+IF(E21-C23&gt;0,1)+IF(F21-C24&gt;0,1)+IF(G21-C25&gt;0,1))&amp;"-"&amp;(IF(D21-C22&lt;0,1)+IF(E21-C23&lt;0,1)+IF(F21-C24&lt;0,1)+IF(G21-C25&lt;0,1))</f>
        <v>1-2</v>
      </c>
      <c r="I21" s="778" t="str">
        <f>IF(AND(B21&lt;&gt;"",M$20=TRUE),A$20&amp;RANK(M21,M$21:M$25,0),"")</f>
        <v>C3</v>
      </c>
      <c r="J21" s="822">
        <f>IF(AND(L21=1,L22=1,D21&gt;C22),1)+IF(AND(L21=1,L23=1,E21&gt;C23),1)+IF(AND(L21=1,L24=1,F21&gt;C24),1)+IF(AND(L21=1,L25=1,G21&gt;C25),1)+IF(AND(L21=2,L22=2,D21&gt;C22),1)+IF(AND(L21=2,L23=2,E21&gt;C23),1)+IF(AND(L21=2,L24=2,F21&gt;C24),1)+IF(AND(L21=2,L25=2,G21&gt;C25),1)+IF(AND(L21=3,L22=3,D21&gt;C22),1)+IF(AND(L21=3,L23=3,E21&gt;C23),1)+IF(AND(L21=3,L24=3,F21&gt;C24),1)+IF(AND(L21=3,L25=3,G21&gt;C25),1)</f>
        <v>1</v>
      </c>
      <c r="K21" s="1132">
        <f>IF(AND(L21=1,L22=1),D21-C22)+IF(AND(L21=1,L23=1),E21-C23)+IF(AND(L21=1,L24=1),F21-C24)+IF(AND(L21=1,L25=1),G21-C25)+IF(AND(L21=2,L22=2),D21-C22)+IF(AND(L21=2,L23=2),E21-C23)+IF(AND(L21=2,L24=2),F21-C24)+IF(AND(L21=2,L25=2),G21-C25)+IF(AND(L21=3,L22=3),D21-C22)+IF(AND(L21=3,L23=3),E21-C23)+IF(AND(L21=3,L24=3),F21-C24)+IF(AND(L21=3,L25=3),G21-C25)</f>
        <v>2</v>
      </c>
      <c r="L21" s="821">
        <f>VALUE(LEFT(H21,1))</f>
        <v>1</v>
      </c>
      <c r="M21" s="824">
        <f>10000*L21+J21*100+K21</f>
        <v>10102</v>
      </c>
      <c r="P21" s="770"/>
      <c r="Q21" s="770"/>
      <c r="R21" s="764">
        <f t="shared" si="0"/>
        <v>123.5</v>
      </c>
      <c r="S21" s="784">
        <f>IFERROR(INDEX(V!$R:$R,MATCH(T21,V!$L:$L,0)),"")</f>
        <v>123.5</v>
      </c>
      <c r="T21" s="783" t="str">
        <f t="shared" si="1"/>
        <v>Karla Purgats</v>
      </c>
      <c r="AA21" s="757"/>
    </row>
    <row r="22" spans="1:27" x14ac:dyDescent="0.2">
      <c r="A22" s="875">
        <v>2</v>
      </c>
      <c r="B22" s="1121" t="s">
        <v>224</v>
      </c>
      <c r="C22" s="778">
        <v>13</v>
      </c>
      <c r="D22" s="776"/>
      <c r="E22" s="778">
        <v>13</v>
      </c>
      <c r="F22" s="778">
        <v>9</v>
      </c>
      <c r="G22" s="778"/>
      <c r="H22" s="796" t="str">
        <f>(IF(C22-D21&gt;0,1)+IF(E22-D23&gt;0,1)+IF(F22-D24&gt;0,1)+IF(G22-D25&gt;0,1))&amp;"-"&amp;(IF(C22-D21&lt;0,1)+IF(E22-D23&lt;0,1)+IF(F22-D24&lt;0,1)+IF(G22-D25&lt;0,1))</f>
        <v>2-1</v>
      </c>
      <c r="I22" s="778" t="str">
        <f>IF(AND(B22&lt;&gt;"",M$20=TRUE),A$20&amp;RANK(M22,M$21:M$25,0),"")</f>
        <v>C2</v>
      </c>
      <c r="J22" s="825">
        <f>IF(AND(L22=1,L21=1,C22&gt;D21),1)+IF(AND(L22=1,L23=1,E22&gt;D23),1)+IF(AND(L22=1,L24=1,F22&gt;D24),1)+IF(AND(L22=1,L25=1,G22&gt;D25),1)+IF(AND(L22=2,L21=2,C22&gt;D21),1)+IF(AND(L22=2,L23=2,E22&gt;D23),1)+IF(AND(L22=2,L24=2,F22&gt;D24),1)+IF(AND(L22=2,L25=2,G22&gt;D25),1)+IF(AND(L22=3,L21=3,C22&gt;D21),1)+IF(AND(L22=3,L23=3,E22&gt;D23),1)+IF(AND(L22=3,L24=3,F22&gt;D24),1)+IF(AND(L22=3,L25=3,G22&gt;D25),1)</f>
        <v>0</v>
      </c>
      <c r="K22" s="1133">
        <f>IF(AND(L22=1,L21=1),C22-D21)+IF(AND(L22=1,L23=1),E22-D23)+IF(AND(L22=1,L24=1),F22-D24)+IF(AND(L22=1,L25=1),G22-D25)+IF(AND(L22=2,L21=2),C22-D21)+IF(AND(L22=2,L23=2),E22-D23)+IF(AND(L22=2,L24=2),F22-D24)+IF(AND(L22=2,L25=2),G22-D25)+IF(AND(L22=3,L21=3),C22-D21)+IF(AND(L22=3,L23=3),E22-D23)+IF(AND(L22=3,L24=3),F22-D24)+IF(AND(L22=3,L25=3),G22-D25)</f>
        <v>-4</v>
      </c>
      <c r="L22" s="821">
        <f>VALUE(LEFT(H22,1))</f>
        <v>2</v>
      </c>
      <c r="M22" s="824">
        <f>10000*L22+J22*100+K22</f>
        <v>19996</v>
      </c>
      <c r="P22" s="770"/>
      <c r="Q22" s="770"/>
      <c r="R22" s="764">
        <f t="shared" si="0"/>
        <v>110</v>
      </c>
      <c r="S22" s="784">
        <f>IFERROR(INDEX(V!$R:$R,MATCH(T22,V!$L:$L,0)),"")</f>
        <v>110</v>
      </c>
      <c r="T22" s="783" t="str">
        <f t="shared" si="1"/>
        <v>Matti Vinni</v>
      </c>
      <c r="AA22" s="757"/>
    </row>
    <row r="23" spans="1:27" x14ac:dyDescent="0.2">
      <c r="A23" s="875">
        <v>3</v>
      </c>
      <c r="B23" s="1121" t="s">
        <v>226</v>
      </c>
      <c r="C23" s="788">
        <v>11</v>
      </c>
      <c r="D23" s="787">
        <v>6</v>
      </c>
      <c r="E23" s="776"/>
      <c r="F23" s="778">
        <v>13</v>
      </c>
      <c r="G23" s="778"/>
      <c r="H23" s="796" t="str">
        <f>(IF(C23-E21&gt;0,1)+IF(D23-E22&gt;0,1)+IF(F23-E24&gt;0,1)+IF(G23-E25&gt;0,1))&amp;"-"&amp;(IF(C23-E21&lt;0,1)+IF(D23-E22&lt;0,1)+IF(F23-E24&lt;0,1)+IF(G23-E25&lt;0,1))</f>
        <v>1-2</v>
      </c>
      <c r="I23" s="778" t="str">
        <f>IF(AND(B23&lt;&gt;"",M$20=TRUE),A$20&amp;RANK(M23,M$21:M$25,0),"")</f>
        <v>C4</v>
      </c>
      <c r="J23" s="825">
        <f>IF(AND(L23=1,L21=1,C23&gt;E21),1)+IF(AND(L23=1,L22=1,D23&gt;E22),1)+IF(AND(L23=1,L24=1,F23&gt;E24),1)+IF(AND(L23=1,L25=1,G23&gt;E25),1)+IF(AND(L23=2,L21=2,C23&gt;E21),1)+IF(AND(L23=2,L22=2,D23&gt;E22),1)+IF(AND(L23=2,L24=2,F23&gt;E24),1)+IF(AND(L23=2,L25=2,G23&gt;E25),1)+IF(AND(L23=3,L21=3,C23&gt;E21),1)+IF(AND(L23=3,L22=3,D23&gt;E22),1)+IF(AND(L23=3,L24=3,F23&gt;E24),1)+IF(AND(L23=3,L25=3,G23&gt;E25),1)</f>
        <v>0</v>
      </c>
      <c r="K23" s="1133">
        <f>IF(AND(L23=1,L21=1),C23-E21)+IF(AND(L23=1,L22=1),D23-E22)+IF(AND(L23=1,L24=1),F23-E24)+IF(AND(L23=1,L25=1),G23-E25)+IF(AND(L23=2,L21=2),C23-E21)+IF(AND(L23=2,L22=2),D23-E22)+IF(AND(L23=2,L24=2),F23-E24)+IF(AND(L23=2,L25=2),G23-E25)+IF(AND(L23=3,L21=3),C23-E21)+IF(AND(L23=3,L22=3),D23-E22)+IF(AND(L23=3,L24=3),F23-E24)+IF(AND(L23=3,L25=3),G23-E25)</f>
        <v>-2</v>
      </c>
      <c r="L23" s="821">
        <f>VALUE(LEFT(H23,1))</f>
        <v>1</v>
      </c>
      <c r="M23" s="824">
        <f>10000*L23+J23*100+K23</f>
        <v>9998</v>
      </c>
      <c r="P23" s="770"/>
      <c r="Q23" s="770"/>
      <c r="R23" s="764">
        <f t="shared" si="0"/>
        <v>66</v>
      </c>
      <c r="S23" s="784">
        <f>IFERROR(INDEX(V!$R:$R,MATCH(T23,V!$L:$L,0)),"")</f>
        <v>66</v>
      </c>
      <c r="T23" s="783" t="str">
        <f t="shared" si="1"/>
        <v>Sirje Viljaste</v>
      </c>
      <c r="AA23" s="757"/>
    </row>
    <row r="24" spans="1:27" x14ac:dyDescent="0.2">
      <c r="A24" s="875">
        <v>4</v>
      </c>
      <c r="B24" s="1121" t="s">
        <v>300</v>
      </c>
      <c r="C24" s="786">
        <v>13</v>
      </c>
      <c r="D24" s="787">
        <v>13</v>
      </c>
      <c r="E24" s="778">
        <v>3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2-1</v>
      </c>
      <c r="I24" s="778" t="str">
        <f>IF(AND(B24&lt;&gt;"",M$20=TRUE),A$20&amp;RANK(M24,M$21:M$25,0),"")</f>
        <v>C1</v>
      </c>
      <c r="J24" s="825">
        <f>IF(AND(L24=1,L21=1,C24&gt;F21),1)+IF(AND(L24=1,L22=1,D24&gt;F22),1)+IF(AND(L24=1,L23=1,E24&gt;F23),1)+IF(AND(L24=1,L25=1,G24&gt;F25),1)+IF(AND(L24=2,L21=2,C24&gt;F21),1)+IF(AND(L24=2,L22=2,D24&gt;F22),1)+IF(AND(L24=2,L23=2,E24&gt;F23),1)+IF(AND(L24=2,L25=2,G24&gt;F25),1)+IF(AND(L24=3,L21=3,C24&gt;F21),1)+IF(AND(L24=3,L22=3,D24&gt;F22),1)+IF(AND(L24=3,L23=3,E24&gt;F23),1)+IF(AND(L24=3,L25=3,G24&gt;F25),1)</f>
        <v>1</v>
      </c>
      <c r="K24" s="1133">
        <f>IF(AND(L24=1,L21=1),C24-F21)+IF(AND(L24=1,L22=1),D24-F22)+IF(AND(L24=1,L23=1),E24-F23)+IF(AND(L24=1,L25=1),G24-F25)+IF(AND(L24=2,L21=2),C24-F21)+IF(AND(L24=2,L22=2),D24-F22)+IF(AND(L24=2,L23=2),E24-F23)+IF(AND(L24=2,L25=2),G24-F25)+IF(AND(L24=3,L21=3),C24-F21)+IF(AND(L24=3,L22=3),D24-F22)+IF(AND(L24=3,L23=3),E24-F23)+IF(AND(L24=3,L25=3),G24-F25)</f>
        <v>4</v>
      </c>
      <c r="L24" s="821">
        <f>VALUE(LEFT(H24,1))</f>
        <v>2</v>
      </c>
      <c r="M24" s="824">
        <f>10000*L24+J24*100+K24</f>
        <v>20104</v>
      </c>
      <c r="P24" s="770"/>
      <c r="Q24" s="770"/>
      <c r="R24" s="764">
        <f t="shared" si="0"/>
        <v>22</v>
      </c>
      <c r="S24" s="784">
        <f>IFERROR(INDEX(V!$R:$R,MATCH(T24,V!$L:$L,0)),"")</f>
        <v>22</v>
      </c>
      <c r="T24" s="783" t="str">
        <f t="shared" si="1"/>
        <v>Kaspar Mänd</v>
      </c>
      <c r="AA24" s="757"/>
    </row>
    <row r="25" spans="1:27" x14ac:dyDescent="0.2">
      <c r="A25" s="875">
        <v>5</v>
      </c>
      <c r="B25" s="112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5">
        <f>IF(AND(L25=1,L21=1,C25&gt;G21),1)+IF(AND(L25=1,L22=1,D25&gt;G22),1)+IF(AND(L25=1,L23=1,E25&gt;G23),1)+IF(AND(L25=1,L24=1,F25&gt;G24),1)+IF(AND(L25=2,L21=2,C25&gt;G21),1)+IF(AND(L25=2,L22=2,D25&gt;G22),1)+IF(AND(L25=2,L23=2,E25&gt;G23),1)+IF(AND(L25=2,L24=2,F25&gt;G24),1)+IF(AND(L25=3,L21=3,C25&gt;G21),1)+IF(AND(L25=3,L22=3,D25&gt;G22),1)+IF(AND(L25=3,L23=3,E25&gt;G23),1)+IF(AND(L25=3,L24=3,F25&gt;G24),1)</f>
        <v>0</v>
      </c>
      <c r="K25" s="1133">
        <f>IF(AND(L25=1,L21=1),C25-G21)+IF(AND(L25=1,L22=1),D25-G22)+IF(AND(L25=1,L23=1),E25-G23)+IF(AND(L25=1,L24=1),F25-G24)+IF(AND(L25=2,L21=2),C25-G21)+IF(AND(L25=2,L22=2),D25-G22)+IF(AND(L25=2,L23=2),E25-G23)+IF(AND(L25=2,L24=2),F25-G24)+IF(AND(L25=3,L21=3),C25-G21)+IF(AND(L25=3,L22=3),D25-G22)+IF(AND(L25=3,L23=3),E25-G23)+IF(AND(L25=3,L24=3),F25-G24)</f>
        <v>0</v>
      </c>
      <c r="L25" s="821">
        <f>VALUE(LEFT(H25,1))</f>
        <v>0</v>
      </c>
      <c r="M25" s="824">
        <f>10000*L25+J25*100+K25</f>
        <v>0</v>
      </c>
      <c r="P25" s="770"/>
      <c r="Q25" s="770"/>
      <c r="R25" s="764"/>
      <c r="S25" s="784"/>
      <c r="T25" s="783"/>
      <c r="AA25" s="757"/>
    </row>
    <row r="26" spans="1:27" x14ac:dyDescent="0.2">
      <c r="A26" s="1117"/>
      <c r="B26" s="836"/>
      <c r="C26" s="840"/>
      <c r="D26" s="840"/>
      <c r="E26" s="840"/>
      <c r="F26" s="1125"/>
      <c r="G26" s="1125"/>
      <c r="H26" s="842"/>
      <c r="I26" s="843"/>
      <c r="J26" s="832"/>
      <c r="K26" s="1134"/>
      <c r="L26" s="844"/>
      <c r="M26" s="844"/>
      <c r="P26" s="770"/>
      <c r="Q26" s="770"/>
      <c r="R26" s="764"/>
      <c r="S26" s="784"/>
      <c r="T26" s="783"/>
      <c r="AA26" s="755"/>
    </row>
    <row r="27" spans="1:27" x14ac:dyDescent="0.2">
      <c r="A27" s="87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/>
      <c r="H27" s="766" t="s">
        <v>363</v>
      </c>
      <c r="I27" s="766" t="s">
        <v>364</v>
      </c>
      <c r="J27" s="768" t="s">
        <v>21</v>
      </c>
      <c r="K27" s="835" t="s">
        <v>365</v>
      </c>
      <c r="L27" s="834" t="s">
        <v>21</v>
      </c>
      <c r="M27" s="836" t="b">
        <f>OR(AND(COUNTA(B28:B32)=3,COUNTA(C28:G32)=6),AND(COUNTA(B28:B32)=4,COUNTA(C28:G32)=12),AND(COUNTA(B28:B32)=5,COUNTA(C28:G32)=20))</f>
        <v>1</v>
      </c>
      <c r="P27" s="212"/>
      <c r="Q27" s="212"/>
      <c r="R27" s="764"/>
      <c r="S27" s="784"/>
      <c r="T27" s="783"/>
      <c r="AA27" s="760"/>
    </row>
    <row r="28" spans="1:27" x14ac:dyDescent="0.2">
      <c r="A28" s="875">
        <v>1</v>
      </c>
      <c r="B28" s="925" t="s">
        <v>267</v>
      </c>
      <c r="C28" s="776"/>
      <c r="D28" s="786">
        <v>13</v>
      </c>
      <c r="E28" s="778">
        <v>13</v>
      </c>
      <c r="F28" s="786">
        <v>12</v>
      </c>
      <c r="G28" s="778"/>
      <c r="H28" s="796" t="str">
        <f>(IF(D28-C29&gt;0,1)+IF(E28-C30&gt;0,1)+IF(F28-C31&gt;0,1)+IF(G28-C32&gt;0,1))&amp;"-"&amp;(IF(D28-C29&lt;0,1)+IF(E28-C30&lt;0,1)+IF(F28-C31&lt;0,1)+IF(G28-C32&lt;0,1))</f>
        <v>2-1</v>
      </c>
      <c r="I28" s="778" t="str">
        <f>IF(AND(B28&lt;&gt;"",M$27=TRUE),A$27&amp;RANK(M28,M$28:M$32,0),"")</f>
        <v>D1</v>
      </c>
      <c r="J28" s="822">
        <f>IF(AND(L28=1,L29=1,D28&gt;C29),1)+IF(AND(L28=1,L30=1,E28&gt;C30),1)+IF(AND(L28=1,L31=1,F28&gt;C31),1)+IF(AND(L28=1,L32=1,G28&gt;C32),1)+IF(AND(L28=2,L29=2,D28&gt;C29),1)+IF(AND(L28=2,L30=2,E28&gt;C30),1)+IF(AND(L28=2,L31=2,F28&gt;C31),1)+IF(AND(L28=2,L32=2,G28&gt;C32),1)+IF(AND(L28=3,L29=3,D28&gt;C29),1)+IF(AND(L28=3,L30=3,E28&gt;C30),1)+IF(AND(L28=3,L31=3,F28&gt;C31),1)+IF(AND(L28=3,L32=3,G28&gt;C32),1)</f>
        <v>1</v>
      </c>
      <c r="K28" s="1132">
        <f>IF(AND(L28=1,L29=1),D28-C29)+IF(AND(L28=1,L30=1),E28-C30)+IF(AND(L28=1,L31=1),F28-C31)+IF(AND(L28=1,L32=1),G28-C32)+IF(AND(L28=2,L29=2),D28-C29)+IF(AND(L28=2,L30=2),E28-C30)+IF(AND(L28=2,L31=2),F28-C31)+IF(AND(L28=2,L32=2),G28-C32)+IF(AND(L28=3,L29=3),D28-C29)+IF(AND(L28=3,L30=3),E28-C30)+IF(AND(L28=3,L31=3),F28-C31)+IF(AND(L28=3,L32=3),G28-C32)</f>
        <v>10</v>
      </c>
      <c r="L28" s="821">
        <f>VALUE(LEFT(H28,1))</f>
        <v>2</v>
      </c>
      <c r="M28" s="824">
        <f>10000*L28+J28*100+K28</f>
        <v>20110</v>
      </c>
      <c r="P28" s="212"/>
      <c r="Q28" s="212"/>
      <c r="R28" s="764">
        <f t="shared" si="0"/>
        <v>158</v>
      </c>
      <c r="S28" s="784">
        <f>IFERROR(INDEX(V!$R:$R,MATCH(T28,V!$L:$L,0)),"")</f>
        <v>158</v>
      </c>
      <c r="T28" s="783" t="str">
        <f t="shared" si="1"/>
        <v>Oskar Sepp</v>
      </c>
      <c r="AA28" s="760"/>
    </row>
    <row r="29" spans="1:27" x14ac:dyDescent="0.2">
      <c r="A29" s="875">
        <v>2</v>
      </c>
      <c r="B29" s="1121" t="s">
        <v>266</v>
      </c>
      <c r="C29" s="786">
        <v>2</v>
      </c>
      <c r="D29" s="776"/>
      <c r="E29" s="778">
        <v>13</v>
      </c>
      <c r="F29" s="786">
        <v>13</v>
      </c>
      <c r="G29" s="778"/>
      <c r="H29" s="796" t="str">
        <f>(IF(C29-D28&gt;0,1)+IF(E29-D30&gt;0,1)+IF(F29-D31&gt;0,1)+IF(G29-D32&gt;0,1))&amp;"-"&amp;(IF(C29-D28&lt;0,1)+IF(E29-D30&lt;0,1)+IF(F29-D31&lt;0,1)+IF(G29-D32&lt;0,1))</f>
        <v>2-1</v>
      </c>
      <c r="I29" s="778" t="str">
        <f>IF(AND(B29&lt;&gt;"",M$27=TRUE),A$27&amp;RANK(M29,M$28:M$32,0),"")</f>
        <v>D3</v>
      </c>
      <c r="J29" s="825">
        <f>IF(AND(L29=1,L28=1,C29&gt;D28),1)+IF(AND(L29=1,L30=1,E29&gt;D30),1)+IF(AND(L29=1,L31=1,F29&gt;D31),1)+IF(AND(L29=1,L32=1,G29&gt;D32),1)+IF(AND(L29=2,L28=2,C29&gt;D28),1)+IF(AND(L29=2,L30=2,E29&gt;D30),1)+IF(AND(L29=2,L31=2,F29&gt;D31),1)+IF(AND(L29=2,L32=2,G29&gt;D32),1)+IF(AND(L29=3,L28=3,C29&gt;D28),1)+IF(AND(L29=3,L30=3,E29&gt;D30),1)+IF(AND(L29=3,L31=3,F29&gt;D31),1)+IF(AND(L29=3,L32=3,G29&gt;D32),1)</f>
        <v>1</v>
      </c>
      <c r="K29" s="1133">
        <f>IF(AND(L29=1,L28=1),C29-D28)+IF(AND(L29=1,L30=1),E29-D30)+IF(AND(L29=1,L31=1),F29-D31)+IF(AND(L29=1,L32=1),G29-D32)+IF(AND(L29=2,L28=2),C29-D28)+IF(AND(L29=2,L30=2),E29-D30)+IF(AND(L29=2,L31=2),F29-D31)+IF(AND(L29=2,L32=2),G29-D32)+IF(AND(L29=3,L28=3),C29-D28)+IF(AND(L29=3,L30=3),E29-D30)+IF(AND(L29=3,L31=3),F29-D31)+IF(AND(L29=3,L32=3),G29-D32)</f>
        <v>-8</v>
      </c>
      <c r="L29" s="821">
        <f>VALUE(LEFT(H29,1))</f>
        <v>2</v>
      </c>
      <c r="M29" s="824">
        <f>10000*L29+J29*100+K29</f>
        <v>20092</v>
      </c>
      <c r="P29" s="212"/>
      <c r="Q29" s="212"/>
      <c r="R29" s="764">
        <f t="shared" si="0"/>
        <v>159</v>
      </c>
      <c r="S29" s="784">
        <f>IFERROR(INDEX(V!$R:$R,MATCH(T29,V!$L:$L,0)),"")</f>
        <v>159</v>
      </c>
      <c r="T29" s="783" t="str">
        <f t="shared" si="1"/>
        <v>Jaan Sepp</v>
      </c>
      <c r="AA29" s="760"/>
    </row>
    <row r="30" spans="1:27" x14ac:dyDescent="0.2">
      <c r="A30" s="875">
        <v>3</v>
      </c>
      <c r="B30" s="1121" t="s">
        <v>220</v>
      </c>
      <c r="C30" s="778">
        <v>10</v>
      </c>
      <c r="D30" s="787">
        <v>8</v>
      </c>
      <c r="E30" s="776"/>
      <c r="F30" s="778">
        <v>9</v>
      </c>
      <c r="G30" s="778"/>
      <c r="H30" s="796" t="str">
        <f>(IF(C30-E28&gt;0,1)+IF(D30-E29&gt;0,1)+IF(F30-E31&gt;0,1)+IF(G30-E32&gt;0,1))&amp;"-"&amp;(IF(C30-E28&lt;0,1)+IF(D30-E29&lt;0,1)+IF(F30-E31&lt;0,1)+IF(G30-E32&lt;0,1))</f>
        <v>0-3</v>
      </c>
      <c r="I30" s="778" t="str">
        <f>IF(AND(B30&lt;&gt;"",M$27=TRUE),A$27&amp;RANK(M30,M$28:M$32,0),"")</f>
        <v>D4</v>
      </c>
      <c r="J30" s="825">
        <f>IF(AND(L30=1,L28=1,C30&gt;E28),1)+IF(AND(L30=1,L29=1,D30&gt;E29),1)+IF(AND(L30=1,L31=1,F30&gt;E31),1)+IF(AND(L30=1,L32=1,G30&gt;E32),1)+IF(AND(L30=2,L28=2,C30&gt;E28),1)+IF(AND(L30=2,L29=2,D30&gt;E29),1)+IF(AND(L30=2,L31=2,F30&gt;E31),1)+IF(AND(L30=2,L32=2,G30&gt;E32),1)+IF(AND(L30=3,L28=3,C30&gt;E28),1)+IF(AND(L30=3,L29=3,D30&gt;E29),1)+IF(AND(L30=3,L31=3,F30&gt;E31),1)+IF(AND(L30=3,L32=3,G30&gt;E32),1)</f>
        <v>0</v>
      </c>
      <c r="K30" s="1133">
        <f>IF(AND(L30=1,L28=1),C30-E28)+IF(AND(L30=1,L29=1),D30-E29)+IF(AND(L30=1,L31=1),F30-E31)+IF(AND(L30=1,L32=1),G30-E32)+IF(AND(L30=2,L28=2),C30-E28)+IF(AND(L30=2,L29=2),D30-E29)+IF(AND(L30=2,L31=2),F30-E31)+IF(AND(L30=2,L32=2),G30-E32)+IF(AND(L30=3,L28=3),C30-E28)+IF(AND(L30=3,L29=3),D30-E29)+IF(AND(L30=3,L31=3),F30-E31)+IF(AND(L30=3,L32=3),G30-E32)</f>
        <v>0</v>
      </c>
      <c r="L30" s="821">
        <f>VALUE(LEFT(H30,1))</f>
        <v>0</v>
      </c>
      <c r="M30" s="824">
        <f>10000*L30+J30*100+K30</f>
        <v>0</v>
      </c>
      <c r="P30" s="212"/>
      <c r="Q30" s="212"/>
      <c r="R30" s="764">
        <f t="shared" si="0"/>
        <v>51</v>
      </c>
      <c r="S30" s="784">
        <f>IFERROR(INDEX(V!$R:$R,MATCH(T30,V!$L:$L,0)),"")</f>
        <v>51</v>
      </c>
      <c r="T30" s="783" t="str">
        <f t="shared" si="1"/>
        <v>Janek Tarto</v>
      </c>
      <c r="AA30" s="760"/>
    </row>
    <row r="31" spans="1:27" x14ac:dyDescent="0.2">
      <c r="A31" s="875">
        <v>4</v>
      </c>
      <c r="B31" s="1122" t="s">
        <v>293</v>
      </c>
      <c r="C31" s="786">
        <v>13</v>
      </c>
      <c r="D31" s="966">
        <v>10</v>
      </c>
      <c r="E31" s="778">
        <v>13</v>
      </c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2-1</v>
      </c>
      <c r="I31" s="778" t="str">
        <f>IF(AND(B31&lt;&gt;"",M$27=TRUE),A$27&amp;RANK(M31,M$28:M$32,0),"")</f>
        <v>D2</v>
      </c>
      <c r="J31" s="825">
        <f>IF(AND(L31=1,L28=1,C31&gt;F28),1)+IF(AND(L31=1,L29=1,D31&gt;F29),1)+IF(AND(L31=1,L30=1,E31&gt;F30),1)+IF(AND(L31=1,L32=1,G31&gt;F32),1)+IF(AND(L31=2,L28=2,C31&gt;F28),1)+IF(AND(L31=2,L29=2,D31&gt;F29),1)+IF(AND(L31=2,L30=2,E31&gt;F30),1)+IF(AND(L31=2,L32=2,G31&gt;F32),1)+IF(AND(L31=3,L28=3,C31&gt;F28),1)+IF(AND(L31=3,L29=3,D31&gt;F29),1)+IF(AND(L31=3,L30=3,E31&gt;F30),1)+IF(AND(L31=3,L32=3,G31&gt;F32),1)</f>
        <v>1</v>
      </c>
      <c r="K31" s="1133">
        <f>IF(AND(L31=1,L28=1),C31-F28)+IF(AND(L31=1,L29=1),D31-F29)+IF(AND(L31=1,L30=1),E31-F30)+IF(AND(L31=1,L32=1),G31-F32)+IF(AND(L31=2,L28=2),C31-F28)+IF(AND(L31=2,L29=2),D31-F29)+IF(AND(L31=2,L30=2),E31-F30)+IF(AND(L31=2,L32=2),G31-F32)+IF(AND(L31=3,L28=3),C31-F28)+IF(AND(L31=3,L29=3),D31-F29)+IF(AND(L31=3,L30=3),E31-F30)+IF(AND(L31=3,L32=3),G31-F32)</f>
        <v>-2</v>
      </c>
      <c r="L31" s="821">
        <f>VALUE(LEFT(H31,1))</f>
        <v>2</v>
      </c>
      <c r="M31" s="824">
        <f>10000*L31+J31*100+K31</f>
        <v>20098</v>
      </c>
      <c r="P31" s="212"/>
      <c r="Q31" s="212"/>
      <c r="R31" s="764">
        <f t="shared" si="0"/>
        <v>45</v>
      </c>
      <c r="S31" s="784">
        <f>IFERROR(INDEX(V!$R:$R,MATCH(T31,V!$L:$L,0)),"")</f>
        <v>45</v>
      </c>
      <c r="T31" s="783" t="str">
        <f t="shared" si="1"/>
        <v>Svetlana Veski</v>
      </c>
      <c r="AA31" s="760"/>
    </row>
    <row r="32" spans="1:27" x14ac:dyDescent="0.2">
      <c r="A32" s="875">
        <v>5</v>
      </c>
      <c r="B32" s="112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5">
        <f>IF(AND(L32=1,L28=1,C32&gt;G28),1)+IF(AND(L32=1,L29=1,D32&gt;G29),1)+IF(AND(L32=1,L30=1,E32&gt;G30),1)+IF(AND(L32=1,L31=1,F32&gt;G31),1)+IF(AND(L32=2,L28=2,C32&gt;G28),1)+IF(AND(L32=2,L29=2,D32&gt;G29),1)+IF(AND(L32=2,L30=2,E32&gt;G30),1)+IF(AND(L32=2,L31=2,F32&gt;G31),1)+IF(AND(L32=3,L28=3,C32&gt;G28),1)+IF(AND(L32=3,L29=3,D32&gt;G29),1)+IF(AND(L32=3,L30=3,E32&gt;G30),1)+IF(AND(L32=3,L31=3,F32&gt;G31),1)</f>
        <v>0</v>
      </c>
      <c r="K32" s="1133">
        <f>IF(AND(L32=1,L28=1),C32-G28)+IF(AND(L32=1,L29=1),D32-G29)+IF(AND(L32=1,L30=1),E32-G30)+IF(AND(L32=1,L31=1),F32-G31)+IF(AND(L32=2,L28=2),C32-G28)+IF(AND(L32=2,L29=2),D32-G29)+IF(AND(L32=2,L30=2),E32-G30)+IF(AND(L32=2,L31=2),F32-G31)+IF(AND(L32=3,L28=3),C32-G28)+IF(AND(L32=3,L29=3),D32-G29)+IF(AND(L32=3,L30=3),E32-G30)+IF(AND(L32=3,L31=3),F32-G31)</f>
        <v>0</v>
      </c>
      <c r="L32" s="821">
        <f>VALUE(LEFT(H32,1))</f>
        <v>0</v>
      </c>
      <c r="M32" s="824">
        <f>10000*L32+J32*100+K32</f>
        <v>0</v>
      </c>
      <c r="P32" s="212"/>
      <c r="Q32" s="212"/>
      <c r="R32" s="764"/>
      <c r="S32" s="784"/>
      <c r="T32" s="783"/>
      <c r="AA32" s="760"/>
    </row>
    <row r="33" spans="1:27" x14ac:dyDescent="0.2">
      <c r="A33" s="213"/>
      <c r="B33" s="212"/>
      <c r="C33" s="212"/>
      <c r="D33" s="212"/>
      <c r="E33" s="212"/>
      <c r="F33" s="211"/>
      <c r="G33" s="212"/>
      <c r="H33" s="846"/>
      <c r="I33" s="847"/>
      <c r="J33" s="843"/>
      <c r="K33" s="836"/>
      <c r="L33" s="836"/>
      <c r="M33" s="836"/>
      <c r="P33" s="212"/>
      <c r="Q33" s="212"/>
      <c r="R33" s="764"/>
      <c r="S33" s="784"/>
      <c r="T33" s="783"/>
      <c r="AA33" s="760"/>
    </row>
    <row r="34" spans="1:27" x14ac:dyDescent="0.2">
      <c r="A34" s="87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/>
      <c r="H34" s="767" t="s">
        <v>363</v>
      </c>
      <c r="I34" s="766" t="s">
        <v>364</v>
      </c>
      <c r="J34" s="768" t="s">
        <v>21</v>
      </c>
      <c r="K34" s="835" t="s">
        <v>365</v>
      </c>
      <c r="L34" s="819" t="s">
        <v>21</v>
      </c>
      <c r="M34" s="212" t="b">
        <f>OR(AND(COUNTA(B35:B39)=3,COUNTA(C35:G39)=6),AND(COUNTA(B35:B39)=4,COUNTA(C35:G39)=12),AND(COUNTA(B35:B39)=5,COUNTA(C35:G39)=20))</f>
        <v>1</v>
      </c>
      <c r="P34" s="212"/>
      <c r="Q34" s="212"/>
      <c r="R34" s="764"/>
      <c r="S34" s="784"/>
      <c r="T34" s="783"/>
      <c r="AA34" s="760"/>
    </row>
    <row r="35" spans="1:27" x14ac:dyDescent="0.2">
      <c r="A35" s="875">
        <v>1</v>
      </c>
      <c r="B35" s="925" t="s">
        <v>223</v>
      </c>
      <c r="C35" s="776"/>
      <c r="D35" s="778">
        <v>12</v>
      </c>
      <c r="E35" s="778">
        <v>13</v>
      </c>
      <c r="F35" s="786">
        <v>13</v>
      </c>
      <c r="G35" s="778"/>
      <c r="H35" s="796" t="str">
        <f>(IF(D35-C36&gt;0,1)+IF(E35-C37&gt;0,1)+IF(F35-C38&gt;0,1)+IF(G35-C39&gt;0,1))&amp;"-"&amp;(IF(D35-C36&lt;0,1)+IF(E35-C37&lt;0,1)+IF(F35-C38&lt;0,1)+IF(G35-C39&lt;0,1))</f>
        <v>2-1</v>
      </c>
      <c r="I35" s="778" t="str">
        <f>IF(AND(B35&lt;&gt;"",M$34=TRUE),A$34&amp;RANK(M35,M$35:M$39,0),"")</f>
        <v>E1</v>
      </c>
      <c r="J35" s="822">
        <f>IF(AND(L35=1,L36=1,D35&gt;C36),1)+IF(AND(L35=1,L37=1,E35&gt;C37),1)+IF(AND(L35=1,L38=1,F35&gt;C38),1)+IF(AND(L35=1,L39=1,G35&gt;C39),1)+IF(AND(L35=2,L36=2,D35&gt;C36),1)+IF(AND(L35=2,L37=2,E35&gt;C37),1)+IF(AND(L35=2,L38=2,F35&gt;C38),1)+IF(AND(L35=2,L39=2,G35&gt;C39),1)+IF(AND(L35=3,L36=3,D35&gt;C36),1)+IF(AND(L35=3,L37=3,E35&gt;C37),1)+IF(AND(L35=3,L38=3,F35&gt;C38),1)+IF(AND(L35=3,L39=3,G35&gt;C39),1)</f>
        <v>1</v>
      </c>
      <c r="K35" s="1132">
        <f>IF(AND(L35=1,L36=1),D35-C36)+IF(AND(L35=1,L37=1),E35-C37)+IF(AND(L35=1,L38=1),F35-C38)+IF(AND(L35=1,L39=1),G35-C39)+IF(AND(L35=2,L36=2),D35-C36)+IF(AND(L35=2,L37=2),E35-C37)+IF(AND(L35=2,L38=2),F35-C38)+IF(AND(L35=2,L39=2),G35-C39)+IF(AND(L35=3,L36=3),D35-C36)+IF(AND(L35=3,L37=3),E35-C37)+IF(AND(L35=3,L38=3),F35-C38)+IF(AND(L35=3,L39=3),G35-C39)</f>
        <v>4</v>
      </c>
      <c r="L35" s="821">
        <f>VALUE(LEFT(H35,1))</f>
        <v>2</v>
      </c>
      <c r="M35" s="824">
        <f>10000*L35+J35*100+K35</f>
        <v>20104</v>
      </c>
      <c r="P35" s="212"/>
      <c r="Q35" s="212"/>
      <c r="R35" s="764">
        <f t="shared" si="0"/>
        <v>131</v>
      </c>
      <c r="S35" s="784">
        <f>IFERROR(INDEX(V!$R:$R,MATCH(T35,V!$L:$L,0)),"")</f>
        <v>131</v>
      </c>
      <c r="T35" s="783" t="str">
        <f t="shared" si="1"/>
        <v>Kenneth Muusikus</v>
      </c>
      <c r="AA35" s="760"/>
    </row>
    <row r="36" spans="1:27" x14ac:dyDescent="0.2">
      <c r="A36" s="875">
        <v>2</v>
      </c>
      <c r="B36" s="1121" t="s">
        <v>282</v>
      </c>
      <c r="C36" s="778">
        <v>13</v>
      </c>
      <c r="D36" s="776"/>
      <c r="E36" s="788">
        <v>7</v>
      </c>
      <c r="F36" s="778">
        <v>8</v>
      </c>
      <c r="G36" s="778"/>
      <c r="H36" s="796" t="str">
        <f>(IF(C36-D35&gt;0,1)+IF(E36-D37&gt;0,1)+IF(F36-D38&gt;0,1)+IF(G36-D39&gt;0,1))&amp;"-"&amp;(IF(C36-D35&lt;0,1)+IF(E36-D37&lt;0,1)+IF(F36-D38&lt;0,1)+IF(G36-D39&lt;0,1))</f>
        <v>1-2</v>
      </c>
      <c r="I36" s="778" t="str">
        <f>IF(AND(B36&lt;&gt;"",M$34=TRUE),A$34&amp;RANK(M36,M$35:M$39,0),"")</f>
        <v>E4</v>
      </c>
      <c r="J36" s="825">
        <f>IF(AND(L36=1,L35=1,C36&gt;D35),1)+IF(AND(L36=1,L37=1,E36&gt;D37),1)+IF(AND(L36=1,L38=1,F36&gt;D38),1)+IF(AND(L36=1,L39=1,G36&gt;D39),1)+IF(AND(L36=2,L35=2,C36&gt;D35),1)+IF(AND(L36=2,L37=2,E36&gt;D37),1)+IF(AND(L36=2,L38=2,F36&gt;D38),1)+IF(AND(L36=2,L39=2,G36&gt;D39),1)+IF(AND(L36=3,L35=3,C36&gt;D35),1)+IF(AND(L36=3,L37=3,E36&gt;D37),1)+IF(AND(L36=3,L38=3,F36&gt;D38),1)+IF(AND(L36=3,L39=3,G36&gt;D39),1)</f>
        <v>0</v>
      </c>
      <c r="K36" s="1133">
        <f>IF(AND(L36=1,L35=1),C36-D35)+IF(AND(L36=1,L37=1),E36-D37)+IF(AND(L36=1,L38=1),F36-D38)+IF(AND(L36=1,L39=1),G36-D39)+IF(AND(L36=2,L35=2),C36-D35)+IF(AND(L36=2,L37=2),E36-D37)+IF(AND(L36=2,L38=2),F36-D38)+IF(AND(L36=2,L39=2),G36-D39)+IF(AND(L36=3,L35=3),C36-D35)+IF(AND(L36=3,L37=3),E36-D37)+IF(AND(L36=3,L38=3),F36-D38)+IF(AND(L36=3,L39=3),G36-D39)</f>
        <v>-6</v>
      </c>
      <c r="L36" s="821">
        <f>VALUE(LEFT(H36,1))</f>
        <v>1</v>
      </c>
      <c r="M36" s="824">
        <f>10000*L36+J36*100+K36</f>
        <v>9994</v>
      </c>
      <c r="P36" s="212"/>
      <c r="Q36" s="212"/>
      <c r="R36" s="764">
        <f t="shared" si="0"/>
        <v>88</v>
      </c>
      <c r="S36" s="784">
        <f>IFERROR(INDEX(V!$R:$R,MATCH(T36,V!$L:$L,0)),"")</f>
        <v>88</v>
      </c>
      <c r="T36" s="783" t="str">
        <f t="shared" si="1"/>
        <v>Enn Tokman</v>
      </c>
      <c r="AA36" s="760"/>
    </row>
    <row r="37" spans="1:27" x14ac:dyDescent="0.2">
      <c r="A37" s="875">
        <v>3</v>
      </c>
      <c r="B37" s="1121" t="s">
        <v>285</v>
      </c>
      <c r="C37" s="778">
        <v>10</v>
      </c>
      <c r="D37" s="826">
        <v>13</v>
      </c>
      <c r="E37" s="776"/>
      <c r="F37" s="778">
        <v>8</v>
      </c>
      <c r="G37" s="778"/>
      <c r="H37" s="796" t="str">
        <f>(IF(C37-E35&gt;0,1)+IF(D37-E36&gt;0,1)+IF(F37-E38&gt;0,1)+IF(G37-E39&gt;0,1))&amp;"-"&amp;(IF(C37-E35&lt;0,1)+IF(D37-E36&lt;0,1)+IF(F37-E38&lt;0,1)+IF(G37-E39&lt;0,1))</f>
        <v>1-2</v>
      </c>
      <c r="I37" s="778" t="str">
        <f>IF(AND(B37&lt;&gt;"",M$34=TRUE),A$34&amp;RANK(M37,M$35:M$39,0),"")</f>
        <v>E3</v>
      </c>
      <c r="J37" s="825">
        <f>IF(AND(L37=1,L35=1,C37&gt;E35),1)+IF(AND(L37=1,L36=1,D37&gt;E36),1)+IF(AND(L37=1,L38=1,F37&gt;E38),1)+IF(AND(L37=1,L39=1,G37&gt;E39),1)+IF(AND(L37=2,L35=2,C37&gt;E35),1)+IF(AND(L37=2,L36=2,D37&gt;E36),1)+IF(AND(L37=2,L38=2,F37&gt;E38),1)+IF(AND(L37=2,L39=2,G37&gt;E39),1)+IF(AND(L37=3,L35=3,C37&gt;E35),1)+IF(AND(L37=3,L36=3,D37&gt;E36),1)+IF(AND(L37=3,L38=3,F37&gt;E38),1)+IF(AND(L37=3,L39=3,G37&gt;E39),1)</f>
        <v>1</v>
      </c>
      <c r="K37" s="1133">
        <f>IF(AND(L37=1,L35=1),C37-E35)+IF(AND(L37=1,L36=1),D37-E36)+IF(AND(L37=1,L38=1),F37-E38)+IF(AND(L37=1,L39=1),G37-E39)+IF(AND(L37=2,L35=2),C37-E35)+IF(AND(L37=2,L36=2),D37-E36)+IF(AND(L37=2,L38=2),F37-E38)+IF(AND(L37=2,L39=2),G37-E39)+IF(AND(L37=3,L35=3),C37-E35)+IF(AND(L37=3,L36=3),D37-E36)+IF(AND(L37=3,L38=3),F37-E38)+IF(AND(L37=3,L39=3),G37-E39)</f>
        <v>6</v>
      </c>
      <c r="L37" s="821">
        <f>VALUE(LEFT(H37,1))</f>
        <v>1</v>
      </c>
      <c r="M37" s="824">
        <f>10000*L37+J37*100+K37</f>
        <v>10106</v>
      </c>
      <c r="P37" s="212"/>
      <c r="Q37" s="212"/>
      <c r="R37" s="764">
        <f t="shared" si="0"/>
        <v>66.5</v>
      </c>
      <c r="S37" s="784">
        <f>IFERROR(INDEX(V!$R:$R,MATCH(T37,V!$L:$L,0)),"")</f>
        <v>66.5</v>
      </c>
      <c r="T37" s="783" t="str">
        <f t="shared" si="1"/>
        <v>Oleg Rõndenkov</v>
      </c>
      <c r="AA37" s="760"/>
    </row>
    <row r="38" spans="1:27" x14ac:dyDescent="0.2">
      <c r="A38" s="875">
        <v>4</v>
      </c>
      <c r="B38" s="1122" t="s">
        <v>225</v>
      </c>
      <c r="C38" s="786">
        <v>9</v>
      </c>
      <c r="D38" s="787">
        <v>13</v>
      </c>
      <c r="E38" s="778">
        <v>13</v>
      </c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2-1</v>
      </c>
      <c r="I38" s="778" t="str">
        <f>IF(AND(B38&lt;&gt;"",M$34=TRUE),A$34&amp;RANK(M38,M$35:M$39,0),"")</f>
        <v>E2</v>
      </c>
      <c r="J38" s="825">
        <f>IF(AND(L38=1,L35=1,C38&gt;F35),1)+IF(AND(L38=1,L36=1,D38&gt;F36),1)+IF(AND(L38=1,L37=1,E38&gt;F37),1)+IF(AND(L38=1,L39=1,G38&gt;F39),1)+IF(AND(L38=2,L35=2,C38&gt;F35),1)+IF(AND(L38=2,L36=2,D38&gt;F36),1)+IF(AND(L38=2,L37=2,E38&gt;F37),1)+IF(AND(L38=2,L39=2,G38&gt;F39),1)+IF(AND(L38=3,L35=3,C38&gt;F35),1)+IF(AND(L38=3,L36=3,D38&gt;F36),1)+IF(AND(L38=3,L37=3,E38&gt;F37),1)+IF(AND(L38=3,L39=3,G38&gt;F39),1)</f>
        <v>0</v>
      </c>
      <c r="K38" s="1133">
        <f>IF(AND(L38=1,L35=1),C38-F35)+IF(AND(L38=1,L36=1),D38-F36)+IF(AND(L38=1,L37=1),E38-F37)+IF(AND(L38=1,L39=1),G38-F39)+IF(AND(L38=2,L35=2),C38-F35)+IF(AND(L38=2,L36=2),D38-F36)+IF(AND(L38=2,L37=2),E38-F37)+IF(AND(L38=2,L39=2),G38-F39)+IF(AND(L38=3,L35=3),C38-F35)+IF(AND(L38=3,L36=3),D38-F36)+IF(AND(L38=3,L37=3),E38-F37)+IF(AND(L38=3,L39=3),G38-F39)</f>
        <v>-4</v>
      </c>
      <c r="L38" s="821">
        <f>VALUE(LEFT(H38,1))</f>
        <v>2</v>
      </c>
      <c r="M38" s="824">
        <f>10000*L38+J38*100+K38</f>
        <v>19996</v>
      </c>
      <c r="P38" s="212"/>
      <c r="Q38" s="212"/>
      <c r="R38" s="764">
        <f t="shared" si="0"/>
        <v>40</v>
      </c>
      <c r="S38" s="784">
        <f>IFERROR(INDEX(V!$R:$R,MATCH(T38,V!$L:$L,0)),"")</f>
        <v>40</v>
      </c>
      <c r="T38" s="783" t="str">
        <f t="shared" si="1"/>
        <v>Peep Peenema</v>
      </c>
      <c r="AA38" s="760"/>
    </row>
    <row r="39" spans="1:27" x14ac:dyDescent="0.2">
      <c r="A39" s="875">
        <v>5</v>
      </c>
      <c r="B39" s="112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IF(AND(B39&lt;&gt;"",M$34=TRUE),A$34&amp;RANK(M39,M$35:M$39,0),"")</f>
        <v/>
      </c>
      <c r="J39" s="825">
        <f>IF(AND(L39=1,L35=1,C39&gt;G35),1)+IF(AND(L39=1,L36=1,D39&gt;G36),1)+IF(AND(L39=1,L37=1,E39&gt;G37),1)+IF(AND(L39=1,L38=1,F39&gt;G38),1)+IF(AND(L39=2,L35=2,C39&gt;G35),1)+IF(AND(L39=2,L36=2,D39&gt;G36),1)+IF(AND(L39=2,L37=2,E39&gt;G37),1)+IF(AND(L39=2,L38=2,F39&gt;G38),1)+IF(AND(L39=3,L35=3,C39&gt;G35),1)+IF(AND(L39=3,L36=3,D39&gt;G36),1)+IF(AND(L39=3,L37=3,E39&gt;G37),1)+IF(AND(L39=3,L38=3,F39&gt;G38),1)</f>
        <v>0</v>
      </c>
      <c r="K39" s="1133">
        <f>IF(AND(L39=1,L35=1),C39-G35)+IF(AND(L39=1,L36=1),D39-G36)+IF(AND(L39=1,L37=1),E39-G37)+IF(AND(L39=1,L38=1),F39-G38)+IF(AND(L39=2,L35=2),C39-G35)+IF(AND(L39=2,L36=2),D39-G36)+IF(AND(L39=2,L37=2),E39-G37)+IF(AND(L39=2,L38=2),F39-G38)+IF(AND(L39=3,L35=3),C39-G35)+IF(AND(L39=3,L36=3),D39-G36)+IF(AND(L39=3,L37=3),E39-G37)+IF(AND(L39=3,L38=3),F39-G38)</f>
        <v>0</v>
      </c>
      <c r="L39" s="821">
        <f>VALUE(LEFT(H39,1))</f>
        <v>0</v>
      </c>
      <c r="M39" s="824">
        <f>10000*L39+J39*100+K39</f>
        <v>0</v>
      </c>
      <c r="P39" s="212"/>
      <c r="Q39" s="212"/>
      <c r="R39" s="764"/>
      <c r="S39" s="784"/>
      <c r="T39" s="783"/>
      <c r="AA39" s="760"/>
    </row>
    <row r="40" spans="1:27" x14ac:dyDescent="0.2">
      <c r="A40" s="213"/>
      <c r="B40" s="1123"/>
      <c r="C40" s="808"/>
      <c r="D40" s="829"/>
      <c r="E40" s="808"/>
      <c r="F40" s="805"/>
      <c r="G40" s="212"/>
      <c r="H40" s="1068"/>
      <c r="I40" s="831"/>
      <c r="J40" s="832"/>
      <c r="K40" s="879"/>
      <c r="L40" s="817"/>
      <c r="M40" s="817"/>
      <c r="P40" s="212"/>
      <c r="Q40" s="212"/>
      <c r="R40" s="764"/>
      <c r="S40" s="784"/>
      <c r="T40" s="783"/>
      <c r="AA40" s="760"/>
    </row>
    <row r="41" spans="1:27" x14ac:dyDescent="0.2">
      <c r="A41" s="87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768" t="s">
        <v>21</v>
      </c>
      <c r="K41" s="835" t="s">
        <v>365</v>
      </c>
      <c r="L41" s="834" t="s">
        <v>21</v>
      </c>
      <c r="M41" s="836" t="b">
        <f>OR(AND(COUNTA(B42:B46)=3,COUNTA(C42:G46)=6),AND(COUNTA(B42:B46)=4,COUNTA(C42:G46)=12),AND(COUNTA(B42:B46)=5,COUNTA(C42:G46)=20))</f>
        <v>1</v>
      </c>
      <c r="P41" s="770"/>
      <c r="Q41" s="770"/>
      <c r="R41" s="764"/>
      <c r="S41" s="784"/>
      <c r="T41" s="783"/>
      <c r="AA41" s="760"/>
    </row>
    <row r="42" spans="1:27" x14ac:dyDescent="0.2">
      <c r="A42" s="875">
        <v>1</v>
      </c>
      <c r="B42" s="925" t="s">
        <v>65</v>
      </c>
      <c r="C42" s="776"/>
      <c r="D42" s="778">
        <v>13</v>
      </c>
      <c r="E42" s="778">
        <v>13</v>
      </c>
      <c r="F42" s="778">
        <v>13</v>
      </c>
      <c r="G42" s="778"/>
      <c r="H42" s="796" t="str">
        <f>(IF(D42-C43&gt;0,1)+IF(E42-C44&gt;0,1)+IF(F42-C45&gt;0,1)+IF(G42-C46&gt;0,1))&amp;"-"&amp;(IF(D42-C43&lt;0,1)+IF(E42-C44&lt;0,1)+IF(F42-C45&lt;0,1)+IF(G42-C46&lt;0,1))</f>
        <v>3-0</v>
      </c>
      <c r="I42" s="778" t="str">
        <f>IF(AND(B42&lt;&gt;"",M$41=TRUE),A$41&amp;RANK(M42,M$42:M$46,0),"")</f>
        <v>F1</v>
      </c>
      <c r="J42" s="822">
        <f>IF(AND(L42=1,L43=1,D42&gt;C43),1)+IF(AND(L42=1,L44=1,E42&gt;C44),1)+IF(AND(L42=1,L45=1,F42&gt;C45),1)+IF(AND(L42=1,L46=1,G42&gt;C46),1)+IF(AND(L42=2,L43=2,D42&gt;C43),1)+IF(AND(L42=2,L44=2,E42&gt;C44),1)+IF(AND(L42=2,L45=2,F42&gt;C45),1)+IF(AND(L42=2,L46=2,G42&gt;C46),1)+IF(AND(L42=3,L43=3,D42&gt;C43),1)+IF(AND(L42=3,L44=3,E42&gt;C44),1)+IF(AND(L42=3,L45=3,F42&gt;C45),1)+IF(AND(L42=3,L46=3,G42&gt;C46),1)</f>
        <v>0</v>
      </c>
      <c r="K42" s="1132">
        <f>IF(AND(L42=1,L43=1),D42-C43)+IF(AND(L42=1,L44=1),E42-C44)+IF(AND(L42=1,L45=1),F42-C45)+IF(AND(L42=1,L46=1),G42-C46)+IF(AND(L42=2,L43=2),D42-C43)+IF(AND(L42=2,L44=2),E42-C44)+IF(AND(L42=2,L45=2),F42-C45)+IF(AND(L42=2,L46=2),G42-C46)+IF(AND(L42=3,L43=3),D42-C43)+IF(AND(L42=3,L44=3),E42-C44)+IF(AND(L42=3,L45=3),F42-C45)+IF(AND(L42=3,L46=3),G42-C46)</f>
        <v>0</v>
      </c>
      <c r="L42" s="821">
        <f>VALUE(LEFT(H42,1))</f>
        <v>3</v>
      </c>
      <c r="M42" s="824">
        <f>10000*L42+J42*100+K42</f>
        <v>30000</v>
      </c>
      <c r="P42" s="770"/>
      <c r="Q42" s="770"/>
      <c r="R42" s="764">
        <f t="shared" ref="R42:R45" si="2">SUM(S42:AB42)</f>
        <v>120</v>
      </c>
      <c r="S42" s="784">
        <f>IFERROR(INDEX(V!$R:$R,MATCH(T42,V!$L:$L,0)),"")</f>
        <v>120</v>
      </c>
      <c r="T42" s="783" t="str">
        <f t="shared" si="1"/>
        <v>Ivar Viljaste</v>
      </c>
      <c r="AA42" s="760"/>
    </row>
    <row r="43" spans="1:27" x14ac:dyDescent="0.2">
      <c r="A43" s="875">
        <v>2</v>
      </c>
      <c r="B43" s="1121" t="s">
        <v>274</v>
      </c>
      <c r="C43" s="778">
        <v>5</v>
      </c>
      <c r="D43" s="776"/>
      <c r="E43" s="778">
        <v>13</v>
      </c>
      <c r="F43" s="778">
        <v>13</v>
      </c>
      <c r="G43" s="778"/>
      <c r="H43" s="796" t="str">
        <f>(IF(C43-D42&gt;0,1)+IF(E43-D44&gt;0,1)+IF(F43-D45&gt;0,1)+IF(G43-D46&gt;0,1))&amp;"-"&amp;(IF(C43-D42&lt;0,1)+IF(E43-D44&lt;0,1)+IF(F43-D45&lt;0,1)+IF(G43-D46&lt;0,1))</f>
        <v>2-1</v>
      </c>
      <c r="I43" s="778" t="str">
        <f>IF(AND(B43&lt;&gt;"",M$41=TRUE),A$41&amp;RANK(M43,M$42:M$46,0),"")</f>
        <v>F2</v>
      </c>
      <c r="J43" s="825">
        <f>IF(AND(L43=1,L42=1,C43&gt;D42),1)+IF(AND(L43=1,L44=1,E43&gt;D44),1)+IF(AND(L43=1,L45=1,F43&gt;D45),1)+IF(AND(L43=1,L46=1,G43&gt;D46),1)+IF(AND(L43=2,L42=2,C43&gt;D42),1)+IF(AND(L43=2,L44=2,E43&gt;D44),1)+IF(AND(L43=2,L45=2,F43&gt;D45),1)+IF(AND(L43=2,L46=2,G43&gt;D46),1)+IF(AND(L43=3,L42=3,C43&gt;D42),1)+IF(AND(L43=3,L44=3,E43&gt;D44),1)+IF(AND(L43=3,L45=3,F43&gt;D45),1)+IF(AND(L43=3,L46=3,G43&gt;D46),1)</f>
        <v>0</v>
      </c>
      <c r="K43" s="1133">
        <f>IF(AND(L43=1,L42=1),C43-D42)+IF(AND(L43=1,L44=1),E43-D44)+IF(AND(L43=1,L45=1),F43-D45)+IF(AND(L43=1,L46=1),G43-D46)+IF(AND(L43=2,L42=2),C43-D42)+IF(AND(L43=2,L44=2),E43-D44)+IF(AND(L43=2,L45=2),F43-D45)+IF(AND(L43=2,L46=2),G43-D46)+IF(AND(L43=3,L42=3),C43-D42)+IF(AND(L43=3,L44=3),E43-D44)+IF(AND(L43=3,L45=3),F43-D45)+IF(AND(L43=3,L46=3),G43-D46)</f>
        <v>0</v>
      </c>
      <c r="L43" s="821">
        <f>VALUE(LEFT(H43,1))</f>
        <v>2</v>
      </c>
      <c r="M43" s="824">
        <f>10000*L43+J43*100+K43</f>
        <v>20000</v>
      </c>
      <c r="P43" s="770"/>
      <c r="Q43" s="770"/>
      <c r="R43" s="764">
        <f t="shared" si="2"/>
        <v>117</v>
      </c>
      <c r="S43" s="784">
        <f>IFERROR(INDEX(V!$R:$R,MATCH(T43,V!$L:$L,0)),"")</f>
        <v>117</v>
      </c>
      <c r="T43" s="783" t="str">
        <f t="shared" si="1"/>
        <v>Elmo Lageda</v>
      </c>
      <c r="AA43" s="760"/>
    </row>
    <row r="44" spans="1:27" x14ac:dyDescent="0.2">
      <c r="A44" s="875">
        <v>3</v>
      </c>
      <c r="B44" s="1121" t="s">
        <v>290</v>
      </c>
      <c r="C44" s="778">
        <v>6</v>
      </c>
      <c r="D44" s="787">
        <v>12</v>
      </c>
      <c r="E44" s="776"/>
      <c r="F44" s="778">
        <v>3</v>
      </c>
      <c r="G44" s="778"/>
      <c r="H44" s="796" t="str">
        <f>(IF(C44-E42&gt;0,1)+IF(D44-E43&gt;0,1)+IF(F44-E45&gt;0,1)+IF(G44-E46&gt;0,1))&amp;"-"&amp;(IF(C44-E42&lt;0,1)+IF(D44-E43&lt;0,1)+IF(F44-E45&lt;0,1)+IF(G44-E46&lt;0,1))</f>
        <v>0-3</v>
      </c>
      <c r="I44" s="778" t="str">
        <f>IF(AND(B44&lt;&gt;"",M$41=TRUE),A$41&amp;RANK(M44,M$42:M$46,0),"")</f>
        <v>F4</v>
      </c>
      <c r="J44" s="825">
        <f>IF(AND(L44=1,L42=1,C44&gt;E42),1)+IF(AND(L44=1,L43=1,D44&gt;E43),1)+IF(AND(L44=1,L45=1,F44&gt;E45),1)+IF(AND(L44=1,L46=1,G44&gt;E46),1)+IF(AND(L44=2,L42=2,C44&gt;E42),1)+IF(AND(L44=2,L43=2,D44&gt;E43),1)+IF(AND(L44=2,L45=2,F44&gt;E45),1)+IF(AND(L44=2,L46=2,G44&gt;E46),1)+IF(AND(L44=3,L42=3,C44&gt;E42),1)+IF(AND(L44=3,L43=3,D44&gt;E43),1)+IF(AND(L44=3,L45=3,F44&gt;E45),1)+IF(AND(L44=3,L46=3,G44&gt;E46),1)</f>
        <v>0</v>
      </c>
      <c r="K44" s="1133">
        <f>IF(AND(L44=1,L42=1),C44-E42)+IF(AND(L44=1,L43=1),D44-E43)+IF(AND(L44=1,L45=1),F44-E45)+IF(AND(L44=1,L46=1),G44-E46)+IF(AND(L44=2,L42=2),C44-E42)+IF(AND(L44=2,L43=2),D44-E43)+IF(AND(L44=2,L45=2),F44-E45)+IF(AND(L44=2,L46=2),G44-E46)+IF(AND(L44=3,L42=3),C44-E42)+IF(AND(L44=3,L43=3),D44-E43)+IF(AND(L44=3,L45=3),F44-E45)+IF(AND(L44=3,L46=3),G44-E46)</f>
        <v>0</v>
      </c>
      <c r="L44" s="821">
        <f>VALUE(LEFT(H44,1))</f>
        <v>0</v>
      </c>
      <c r="M44" s="824">
        <f>10000*L44+J44*100+K44</f>
        <v>0</v>
      </c>
      <c r="P44" s="770"/>
      <c r="Q44" s="770"/>
      <c r="R44" s="764">
        <f t="shared" si="2"/>
        <v>48</v>
      </c>
      <c r="S44" s="784">
        <f>IFERROR(INDEX(V!$R:$R,MATCH(T44,V!$L:$L,0)),"")</f>
        <v>48</v>
      </c>
      <c r="T44" s="783" t="str">
        <f t="shared" si="1"/>
        <v>Andres Veski</v>
      </c>
      <c r="AA44" s="760"/>
    </row>
    <row r="45" spans="1:27" x14ac:dyDescent="0.2">
      <c r="A45" s="875">
        <v>4</v>
      </c>
      <c r="B45" s="1122" t="s">
        <v>316</v>
      </c>
      <c r="C45" s="778">
        <v>6</v>
      </c>
      <c r="D45" s="787">
        <v>3</v>
      </c>
      <c r="E45" s="778">
        <v>13</v>
      </c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1-2</v>
      </c>
      <c r="I45" s="778" t="str">
        <f>IF(AND(B45&lt;&gt;"",M$41=TRUE),A$41&amp;RANK(M45,M$42:M$46,0),"")</f>
        <v>F3</v>
      </c>
      <c r="J45" s="825">
        <f>IF(AND(L45=1,L42=1,C45&gt;F42),1)+IF(AND(L45=1,L43=1,D45&gt;F43),1)+IF(AND(L45=1,L44=1,E45&gt;F44),1)+IF(AND(L45=1,L46=1,G45&gt;F46),1)+IF(AND(L45=2,L42=2,C45&gt;F42),1)+IF(AND(L45=2,L43=2,D45&gt;F43),1)+IF(AND(L45=2,L44=2,E45&gt;F44),1)+IF(AND(L45=2,L46=2,G45&gt;F46),1)+IF(AND(L45=3,L42=3,C45&gt;F42),1)+IF(AND(L45=3,L43=3,D45&gt;F43),1)+IF(AND(L45=3,L44=3,E45&gt;F44),1)+IF(AND(L45=3,L46=3,G45&gt;F46),1)</f>
        <v>0</v>
      </c>
      <c r="K45" s="1133">
        <f>IF(AND(L45=1,L42=1),C45-F42)+IF(AND(L45=1,L43=1),D45-F43)+IF(AND(L45=1,L44=1),E45-F44)+IF(AND(L45=1,L46=1),G45-F46)+IF(AND(L45=2,L42=2),C45-F42)+IF(AND(L45=2,L43=2),D45-F43)+IF(AND(L45=2,L44=2),E45-F44)+IF(AND(L45=2,L46=2),G45-F46)+IF(AND(L45=3,L42=3),C45-F42)+IF(AND(L45=3,L43=3),D45-F43)+IF(AND(L45=3,L44=3),E45-F44)+IF(AND(L45=3,L46=3),G45-F46)</f>
        <v>0</v>
      </c>
      <c r="L45" s="821">
        <f>VALUE(LEFT(H45,1))</f>
        <v>1</v>
      </c>
      <c r="M45" s="824">
        <f>10000*L45+J45*100+K45</f>
        <v>10000</v>
      </c>
      <c r="P45" s="770"/>
      <c r="Q45" s="770"/>
      <c r="R45" s="764">
        <f t="shared" si="2"/>
        <v>9</v>
      </c>
      <c r="S45" s="784">
        <f>IFERROR(INDEX(V!$R:$R,MATCH(T45,V!$L:$L,0)),"")</f>
        <v>9</v>
      </c>
      <c r="T45" s="783" t="str">
        <f t="shared" si="1"/>
        <v>Vello Vasser</v>
      </c>
      <c r="AA45" s="760"/>
    </row>
    <row r="46" spans="1:27" x14ac:dyDescent="0.2">
      <c r="A46" s="875">
        <v>5</v>
      </c>
      <c r="B46" s="112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IF(AND(B46&lt;&gt;"",M$41=TRUE),A$41&amp;RANK(M46,M$42:M$46,0),"")</f>
        <v/>
      </c>
      <c r="J46" s="825">
        <f>IF(AND(L46=1,L42=1,C46&gt;G42),1)+IF(AND(L46=1,L43=1,D46&gt;G43),1)+IF(AND(L46=1,L44=1,E46&gt;G44),1)+IF(AND(L46=1,L45=1,F46&gt;G45),1)+IF(AND(L46=2,L42=2,C46&gt;G42),1)+IF(AND(L46=2,L43=2,D46&gt;G43),1)+IF(AND(L46=2,L44=2,E46&gt;G44),1)+IF(AND(L46=2,L45=2,F46&gt;G45),1)+IF(AND(L46=3,L42=3,C46&gt;G42),1)+IF(AND(L46=3,L43=3,D46&gt;G43),1)+IF(AND(L46=3,L44=3,E46&gt;G44),1)+IF(AND(L46=3,L45=3,F46&gt;G45),1)</f>
        <v>0</v>
      </c>
      <c r="K46" s="1133">
        <f>IF(AND(L46=1,L42=1),C46-G42)+IF(AND(L46=1,L43=1),D46-G43)+IF(AND(L46=1,L44=1),E46-G44)+IF(AND(L46=1,L45=1),F46-G45)+IF(AND(L46=2,L42=2),C46-G42)+IF(AND(L46=2,L43=2),D46-G43)+IF(AND(L46=2,L44=2),E46-G44)+IF(AND(L46=2,L45=2),F46-G45)+IF(AND(L46=3,L42=3),C46-G42)+IF(AND(L46=3,L43=3),D46-G43)+IF(AND(L46=3,L44=3),E46-G44)+IF(AND(L46=3,L45=3),F46-G45)</f>
        <v>0</v>
      </c>
      <c r="L46" s="821">
        <f>VALUE(LEFT(H46,1))</f>
        <v>0</v>
      </c>
      <c r="M46" s="824">
        <f>10000*L46+J46*100+K46</f>
        <v>0</v>
      </c>
      <c r="P46" s="770"/>
      <c r="Q46" s="770"/>
      <c r="AA46" s="760"/>
    </row>
    <row r="47" spans="1:27" hidden="1" x14ac:dyDescent="0.2">
      <c r="A47" s="213"/>
      <c r="B47" s="1123"/>
      <c r="C47" s="808"/>
      <c r="D47" s="829"/>
      <c r="E47" s="808"/>
      <c r="F47" s="805"/>
      <c r="G47" s="212"/>
      <c r="H47" s="1068"/>
      <c r="I47" s="831"/>
      <c r="J47" s="838"/>
      <c r="K47" s="879"/>
      <c r="L47" s="817"/>
      <c r="M47" s="817"/>
      <c r="P47" s="212"/>
      <c r="Q47" s="212"/>
      <c r="AA47" s="760"/>
    </row>
    <row r="48" spans="1:27" hidden="1" x14ac:dyDescent="0.2">
      <c r="A48" s="87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768" t="s">
        <v>21</v>
      </c>
      <c r="K48" s="835" t="s">
        <v>365</v>
      </c>
      <c r="L48" s="834" t="s">
        <v>21</v>
      </c>
      <c r="M48" s="836" t="b">
        <f>OR(AND(COUNTA(B49:B53)=3,COUNTA(C49:G53)=6),AND(COUNTA(B49:B53)=4,COUNTA(C49:G53)=12),AND(COUNTA(B49:B53)=5,COUNTA(C49:G53)=20))</f>
        <v>0</v>
      </c>
      <c r="P48" s="770"/>
      <c r="Q48" s="770"/>
      <c r="AA48" s="760"/>
    </row>
    <row r="49" spans="1:27" hidden="1" x14ac:dyDescent="0.2">
      <c r="A49" s="875">
        <v>1</v>
      </c>
      <c r="B49" s="925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IF(AND(B49&lt;&gt;"",M$48=TRUE),A$48&amp;RANK(M49,M$49:M$53,0),"")</f>
        <v/>
      </c>
      <c r="J49" s="822">
        <f>IF(AND(L49=1,L50=1,D49&gt;C50),1)+IF(AND(L49=1,L51=1,E49&gt;C51),1)+IF(AND(L49=1,L52=1,F49&gt;C52),1)+IF(AND(L49=1,L53=1,G49&gt;C53),1)+IF(AND(L49=2,L50=2,D49&gt;C50),1)+IF(AND(L49=2,L51=2,E49&gt;C51),1)+IF(AND(L49=2,L52=2,F49&gt;C52),1)+IF(AND(L49=2,L53=2,G49&gt;C53),1)+IF(AND(L49=3,L50=3,D49&gt;C50),1)+IF(AND(L49=3,L51=3,E49&gt;C51),1)+IF(AND(L49=3,L52=3,F49&gt;C52),1)+IF(AND(L49=3,L53=3,G49&gt;C53),1)</f>
        <v>0</v>
      </c>
      <c r="K49" s="1132">
        <f>IF(AND(L49=1,L50=1),D49-C50)+IF(AND(L49=1,L51=1),E49-C51)+IF(AND(L49=1,L52=1),F49-C52)+IF(AND(L49=1,L53=1),G49-C53)+IF(AND(L49=2,L50=2),D49-C50)+IF(AND(L49=2,L51=2),E49-C51)+IF(AND(L49=2,L52=2),F49-C52)+IF(AND(L49=2,L53=2),G49-C53)+IF(AND(L49=3,L50=3),D49-C50)+IF(AND(L49=3,L51=3),E49-C51)+IF(AND(L49=3,L52=3),F49-C52)+IF(AND(L49=3,L53=3),G49-C53)</f>
        <v>0</v>
      </c>
      <c r="L49" s="821">
        <f>VALUE(LEFT(H49,1))</f>
        <v>0</v>
      </c>
      <c r="M49" s="824">
        <f>10000*L49+J49*100+K49</f>
        <v>0</v>
      </c>
      <c r="P49" s="770"/>
      <c r="Q49" s="770"/>
      <c r="AA49" s="760"/>
    </row>
    <row r="50" spans="1:27" hidden="1" x14ac:dyDescent="0.2">
      <c r="A50" s="875">
        <v>2</v>
      </c>
      <c r="B50" s="1121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IF(AND(B50&lt;&gt;"",M$48=TRUE),A$48&amp;RANK(M50,M$49:M$53,0),"")</f>
        <v/>
      </c>
      <c r="J50" s="825">
        <f>IF(AND(L50=1,L49=1,C50&gt;D49),1)+IF(AND(L50=1,L51=1,E50&gt;D51),1)+IF(AND(L50=1,L52=1,F50&gt;D52),1)+IF(AND(L50=1,L53=1,G50&gt;D53),1)+IF(AND(L50=2,L49=2,C50&gt;D49),1)+IF(AND(L50=2,L51=2,E50&gt;D51),1)+IF(AND(L50=2,L52=2,F50&gt;D52),1)+IF(AND(L50=2,L53=2,G50&gt;D53),1)+IF(AND(L50=3,L49=3,C50&gt;D49),1)+IF(AND(L50=3,L51=3,E50&gt;D51),1)+IF(AND(L50=3,L52=3,F50&gt;D52),1)+IF(AND(L50=3,L53=3,G50&gt;D53),1)</f>
        <v>0</v>
      </c>
      <c r="K50" s="1133">
        <f>IF(AND(L50=1,L49=1),C50-D49)+IF(AND(L50=1,L51=1),E50-D51)+IF(AND(L50=1,L52=1),F50-D52)+IF(AND(L50=1,L53=1),G50-D53)+IF(AND(L50=2,L49=2),C50-D49)+IF(AND(L50=2,L51=2),E50-D51)+IF(AND(L50=2,L52=2),F50-D52)+IF(AND(L50=2,L53=2),G50-D53)+IF(AND(L50=3,L49=3),C50-D49)+IF(AND(L50=3,L51=3),E50-D51)+IF(AND(L50=3,L52=3),F50-D52)+IF(AND(L50=3,L53=3),G50-D53)</f>
        <v>0</v>
      </c>
      <c r="L50" s="821">
        <f>VALUE(LEFT(H50,1))</f>
        <v>0</v>
      </c>
      <c r="M50" s="824">
        <f>10000*L50+J50*100+K50</f>
        <v>0</v>
      </c>
      <c r="P50" s="770"/>
      <c r="Q50" s="770"/>
      <c r="AA50" s="760"/>
    </row>
    <row r="51" spans="1:27" hidden="1" x14ac:dyDescent="0.2">
      <c r="A51" s="875">
        <v>3</v>
      </c>
      <c r="B51" s="1121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IF(AND(B51&lt;&gt;"",M$48=TRUE),A$48&amp;RANK(M51,M$49:M$53,0),"")</f>
        <v/>
      </c>
      <c r="J51" s="825">
        <f>IF(AND(L51=1,L49=1,C51&gt;E49),1)+IF(AND(L51=1,L50=1,D51&gt;E50),1)+IF(AND(L51=1,L52=1,F51&gt;E52),1)+IF(AND(L51=1,L53=1,G51&gt;E53),1)+IF(AND(L51=2,L49=2,C51&gt;E49),1)+IF(AND(L51=2,L50=2,D51&gt;E50),1)+IF(AND(L51=2,L52=2,F51&gt;E52),1)+IF(AND(L51=2,L53=2,G51&gt;E53),1)+IF(AND(L51=3,L49=3,C51&gt;E49),1)+IF(AND(L51=3,L50=3,D51&gt;E50),1)+IF(AND(L51=3,L52=3,F51&gt;E52),1)+IF(AND(L51=3,L53=3,G51&gt;E53),1)</f>
        <v>0</v>
      </c>
      <c r="K51" s="1133">
        <f>IF(AND(L51=1,L49=1),C51-E49)+IF(AND(L51=1,L50=1),D51-E50)+IF(AND(L51=1,L52=1),F51-E52)+IF(AND(L51=1,L53=1),G51-E53)+IF(AND(L51=2,L49=2),C51-E49)+IF(AND(L51=2,L50=2),D51-E50)+IF(AND(L51=2,L52=2),F51-E52)+IF(AND(L51=2,L53=2),G51-E53)+IF(AND(L51=3,L49=3),C51-E49)+IF(AND(L51=3,L50=3),D51-E50)+IF(AND(L51=3,L52=3),F51-E52)+IF(AND(L51=3,L53=3),G51-E53)</f>
        <v>0</v>
      </c>
      <c r="L51" s="821">
        <f>VALUE(LEFT(H51,1))</f>
        <v>0</v>
      </c>
      <c r="M51" s="824">
        <f>10000*L51+J51*100+K51</f>
        <v>0</v>
      </c>
      <c r="P51" s="770"/>
      <c r="Q51" s="770"/>
      <c r="AA51" s="760"/>
    </row>
    <row r="52" spans="1:27" hidden="1" x14ac:dyDescent="0.2">
      <c r="A52" s="875">
        <v>4</v>
      </c>
      <c r="B52" s="112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IF(AND(B52&lt;&gt;"",M$48=TRUE),A$48&amp;RANK(M52,M$49:M$53,0),"")</f>
        <v/>
      </c>
      <c r="J52" s="825">
        <f>IF(AND(L52=1,L49=1,C52&gt;F49),1)+IF(AND(L52=1,L50=1,D52&gt;F50),1)+IF(AND(L52=1,L51=1,E52&gt;F51),1)+IF(AND(L52=1,L53=1,G52&gt;F53),1)+IF(AND(L52=2,L49=2,C52&gt;F49),1)+IF(AND(L52=2,L50=2,D52&gt;F50),1)+IF(AND(L52=2,L51=2,E52&gt;F51),1)+IF(AND(L52=2,L53=2,G52&gt;F53),1)+IF(AND(L52=3,L49=3,C52&gt;F49),1)+IF(AND(L52=3,L50=3,D52&gt;F50),1)+IF(AND(L52=3,L51=3,E52&gt;F51),1)+IF(AND(L52=3,L53=3,G52&gt;F53),1)</f>
        <v>0</v>
      </c>
      <c r="K52" s="1133">
        <f>IF(AND(L52=1,L49=1),C52-F49)+IF(AND(L52=1,L50=1),D52-F50)+IF(AND(L52=1,L51=1),E52-F51)+IF(AND(L52=1,L53=1),G52-F53)+IF(AND(L52=2,L49=2),C52-F49)+IF(AND(L52=2,L50=2),D52-F50)+IF(AND(L52=2,L51=2),E52-F51)+IF(AND(L52=2,L53=2),G52-F53)+IF(AND(L52=3,L49=3),C52-F49)+IF(AND(L52=3,L50=3),D52-F50)+IF(AND(L52=3,L51=3),E52-F51)+IF(AND(L52=3,L53=3),G52-F53)</f>
        <v>0</v>
      </c>
      <c r="L52" s="821">
        <f>VALUE(LEFT(H52,1))</f>
        <v>0</v>
      </c>
      <c r="M52" s="824">
        <f>10000*L52+J52*100+K52</f>
        <v>0</v>
      </c>
      <c r="P52" s="770"/>
      <c r="Q52" s="770"/>
      <c r="AA52" s="760"/>
    </row>
    <row r="53" spans="1:27" hidden="1" x14ac:dyDescent="0.2">
      <c r="A53" s="875">
        <v>5</v>
      </c>
      <c r="B53" s="112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IF(AND(B53&lt;&gt;"",M$48=TRUE),A$48&amp;RANK(M53,M$49:M$53,0),"")</f>
        <v/>
      </c>
      <c r="J53" s="825">
        <f>IF(AND(L53=1,L49=1,C53&gt;G49),1)+IF(AND(L53=1,L50=1,D53&gt;G50),1)+IF(AND(L53=1,L51=1,E53&gt;G51),1)+IF(AND(L53=1,L52=1,F53&gt;G52),1)+IF(AND(L53=2,L49=2,C53&gt;G49),1)+IF(AND(L53=2,L50=2,D53&gt;G50),1)+IF(AND(L53=2,L51=2,E53&gt;G51),1)+IF(AND(L53=2,L52=2,F53&gt;G52),1)+IF(AND(L53=3,L49=3,C53&gt;G49),1)+IF(AND(L53=3,L50=3,D53&gt;G50),1)+IF(AND(L53=3,L51=3,E53&gt;G51),1)+IF(AND(L53=3,L52=3,F53&gt;G52),1)</f>
        <v>0</v>
      </c>
      <c r="K53" s="1133">
        <f>IF(AND(L53=1,L49=1),C53-G49)+IF(AND(L53=1,L50=1),D53-G50)+IF(AND(L53=1,L51=1),E53-G51)+IF(AND(L53=1,L52=1),F53-G52)+IF(AND(L53=2,L49=2),C53-G49)+IF(AND(L53=2,L50=2),D53-G50)+IF(AND(L53=2,L51=2),E53-G51)+IF(AND(L53=2,L52=2),F53-G52)+IF(AND(L53=3,L49=3),C53-G49)+IF(AND(L53=3,L50=3),D53-G50)+IF(AND(L53=3,L51=3),E53-G51)+IF(AND(L53=3,L52=3),F53-G52)</f>
        <v>0</v>
      </c>
      <c r="L53" s="821">
        <f>VALUE(LEFT(H53,1))</f>
        <v>0</v>
      </c>
      <c r="M53" s="824">
        <f>10000*L53+J53*100+K53</f>
        <v>0</v>
      </c>
      <c r="P53" s="770"/>
      <c r="Q53" s="770"/>
      <c r="AA53" s="760"/>
    </row>
    <row r="54" spans="1:27" hidden="1" x14ac:dyDescent="0.2">
      <c r="A54" s="1117"/>
      <c r="B54" s="836"/>
      <c r="C54" s="840"/>
      <c r="D54" s="840"/>
      <c r="E54" s="840"/>
      <c r="F54" s="1125"/>
      <c r="G54" s="1125"/>
      <c r="H54" s="842"/>
      <c r="I54" s="843"/>
      <c r="J54" s="832"/>
      <c r="K54" s="1134"/>
      <c r="L54" s="844"/>
      <c r="M54" s="844"/>
      <c r="P54" s="770"/>
      <c r="Q54" s="770"/>
      <c r="AA54" s="760"/>
    </row>
    <row r="55" spans="1:27" hidden="1" x14ac:dyDescent="0.2">
      <c r="A55" s="87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768" t="s">
        <v>21</v>
      </c>
      <c r="K55" s="835" t="s">
        <v>365</v>
      </c>
      <c r="L55" s="834" t="s">
        <v>21</v>
      </c>
      <c r="M55" s="836" t="b">
        <f>OR(AND(COUNTA(B56:B60)=3,COUNTA(C56:G60)=6),AND(COUNTA(B56:B60)=4,COUNTA(C56:G60)=12),AND(COUNTA(B56:B60)=5,COUNTA(C56:G60)=20))</f>
        <v>0</v>
      </c>
      <c r="P55" s="212"/>
      <c r="Q55" s="212"/>
      <c r="AA55" s="760"/>
    </row>
    <row r="56" spans="1:27" hidden="1" x14ac:dyDescent="0.2">
      <c r="A56" s="875">
        <v>1</v>
      </c>
      <c r="B56" s="925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IF(AND(B56&lt;&gt;"",M$55=TRUE),A$55&amp;RANK(M56,M$56:M$60,0),"")</f>
        <v/>
      </c>
      <c r="J56" s="822">
        <f>IF(AND(L56=1,L57=1,D56&gt;C57),1)+IF(AND(L56=1,L58=1,E56&gt;C58),1)+IF(AND(L56=1,L59=1,F56&gt;C59),1)+IF(AND(L56=1,L60=1,G56&gt;C60),1)+IF(AND(L56=2,L57=2,D56&gt;C57),1)+IF(AND(L56=2,L58=2,E56&gt;C58),1)+IF(AND(L56=2,L59=2,F56&gt;C59),1)+IF(AND(L56=2,L60=2,G56&gt;C60),1)+IF(AND(L56=3,L57=3,D56&gt;C57),1)+IF(AND(L56=3,L58=3,E56&gt;C58),1)+IF(AND(L56=3,L59=3,F56&gt;C59),1)+IF(AND(L56=3,L60=3,G56&gt;C60),1)</f>
        <v>0</v>
      </c>
      <c r="K56" s="1132">
        <f>IF(AND(L56=1,L57=1),D56-C57)+IF(AND(L56=1,L58=1),E56-C58)+IF(AND(L56=1,L59=1),F56-C59)+IF(AND(L56=1,L60=1),G56-C60)+IF(AND(L56=2,L57=2),D56-C57)+IF(AND(L56=2,L58=2),E56-C58)+IF(AND(L56=2,L59=2),F56-C59)+IF(AND(L56=2,L60=2),G56-C60)+IF(AND(L56=3,L57=3),D56-C57)+IF(AND(L56=3,L58=3),E56-C58)+IF(AND(L56=3,L59=3),F56-C59)+IF(AND(L56=3,L60=3),G56-C60)</f>
        <v>0</v>
      </c>
      <c r="L56" s="821">
        <f>VALUE(LEFT(H56,1))</f>
        <v>0</v>
      </c>
      <c r="M56" s="824">
        <f>10000*L56+J56*100+K56</f>
        <v>0</v>
      </c>
      <c r="P56" s="212"/>
      <c r="Q56" s="212"/>
      <c r="AA56" s="760"/>
    </row>
    <row r="57" spans="1:27" hidden="1" x14ac:dyDescent="0.2">
      <c r="A57" s="875">
        <v>2</v>
      </c>
      <c r="B57" s="1121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IF(AND(B57&lt;&gt;"",M$55=TRUE),A$55&amp;RANK(M57,M$56:M$60,0),"")</f>
        <v/>
      </c>
      <c r="J57" s="825">
        <f>IF(AND(L57=1,L56=1,C57&gt;D56),1)+IF(AND(L57=1,L58=1,E57&gt;D58),1)+IF(AND(L57=1,L59=1,F57&gt;D59),1)+IF(AND(L57=1,L60=1,G57&gt;D60),1)+IF(AND(L57=2,L56=2,C57&gt;D56),1)+IF(AND(L57=2,L58=2,E57&gt;D58),1)+IF(AND(L57=2,L59=2,F57&gt;D59),1)+IF(AND(L57=2,L60=2,G57&gt;D60),1)+IF(AND(L57=3,L56=3,C57&gt;D56),1)+IF(AND(L57=3,L58=3,E57&gt;D58),1)+IF(AND(L57=3,L59=3,F57&gt;D59),1)+IF(AND(L57=3,L60=3,G57&gt;D60),1)</f>
        <v>0</v>
      </c>
      <c r="K57" s="1133">
        <f>IF(AND(L57=1,L56=1),C57-D56)+IF(AND(L57=1,L58=1),E57-D58)+IF(AND(L57=1,L59=1),F57-D59)+IF(AND(L57=1,L60=1),G57-D60)+IF(AND(L57=2,L56=2),C57-D56)+IF(AND(L57=2,L58=2),E57-D58)+IF(AND(L57=2,L59=2),F57-D59)+IF(AND(L57=2,L60=2),G57-D60)+IF(AND(L57=3,L56=3),C57-D56)+IF(AND(L57=3,L58=3),E57-D58)+IF(AND(L57=3,L59=3),F57-D59)+IF(AND(L57=3,L60=3),G57-D60)</f>
        <v>0</v>
      </c>
      <c r="L57" s="821">
        <f>VALUE(LEFT(H57,1))</f>
        <v>0</v>
      </c>
      <c r="M57" s="824">
        <f>10000*L57+J57*100+K57</f>
        <v>0</v>
      </c>
      <c r="P57" s="212"/>
      <c r="Q57" s="212"/>
      <c r="AA57" s="760"/>
    </row>
    <row r="58" spans="1:27" hidden="1" x14ac:dyDescent="0.2">
      <c r="A58" s="875">
        <v>3</v>
      </c>
      <c r="B58" s="1121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IF(AND(B58&lt;&gt;"",M$55=TRUE),A$55&amp;RANK(M58,M$56:M$60,0),"")</f>
        <v/>
      </c>
      <c r="J58" s="825">
        <f>IF(AND(L58=1,L56=1,C58&gt;E56),1)+IF(AND(L58=1,L57=1,D58&gt;E57),1)+IF(AND(L58=1,L59=1,F58&gt;E59),1)+IF(AND(L58=1,L60=1,G58&gt;E60),1)+IF(AND(L58=2,L56=2,C58&gt;E56),1)+IF(AND(L58=2,L57=2,D58&gt;E57),1)+IF(AND(L58=2,L59=2,F58&gt;E59),1)+IF(AND(L58=2,L60=2,G58&gt;E60),1)+IF(AND(L58=3,L56=3,C58&gt;E56),1)+IF(AND(L58=3,L57=3,D58&gt;E57),1)+IF(AND(L58=3,L59=3,F58&gt;E59),1)+IF(AND(L58=3,L60=3,G58&gt;E60),1)</f>
        <v>0</v>
      </c>
      <c r="K58" s="1133">
        <f>IF(AND(L58=1,L56=1),C58-E56)+IF(AND(L58=1,L57=1),D58-E57)+IF(AND(L58=1,L59=1),F58-E59)+IF(AND(L58=1,L60=1),G58-E60)+IF(AND(L58=2,L56=2),C58-E56)+IF(AND(L58=2,L57=2),D58-E57)+IF(AND(L58=2,L59=2),F58-E59)+IF(AND(L58=2,L60=2),G58-E60)+IF(AND(L58=3,L56=3),C58-E56)+IF(AND(L58=3,L57=3),D58-E57)+IF(AND(L58=3,L59=3),F58-E59)+IF(AND(L58=3,L60=3),G58-E60)</f>
        <v>0</v>
      </c>
      <c r="L58" s="821">
        <f>VALUE(LEFT(H58,1))</f>
        <v>0</v>
      </c>
      <c r="M58" s="824">
        <f>10000*L58+J58*100+K58</f>
        <v>0</v>
      </c>
      <c r="P58" s="212"/>
      <c r="Q58" s="212"/>
      <c r="AA58" s="760"/>
    </row>
    <row r="59" spans="1:27" hidden="1" x14ac:dyDescent="0.2">
      <c r="A59" s="875">
        <v>4</v>
      </c>
      <c r="B59" s="112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IF(AND(B59&lt;&gt;"",M$55=TRUE),A$55&amp;RANK(M59,M$56:M$60,0),"")</f>
        <v/>
      </c>
      <c r="J59" s="825">
        <f>IF(AND(L59=1,L56=1,C59&gt;F56),1)+IF(AND(L59=1,L57=1,D59&gt;F57),1)+IF(AND(L59=1,L58=1,E59&gt;F58),1)+IF(AND(L59=1,L60=1,G59&gt;F60),1)+IF(AND(L59=2,L56=2,C59&gt;F56),1)+IF(AND(L59=2,L57=2,D59&gt;F57),1)+IF(AND(L59=2,L58=2,E59&gt;F58),1)+IF(AND(L59=2,L60=2,G59&gt;F60),1)+IF(AND(L59=3,L56=3,C59&gt;F56),1)+IF(AND(L59=3,L57=3,D59&gt;F57),1)+IF(AND(L59=3,L58=3,E59&gt;F58),1)+IF(AND(L59=3,L60=3,G59&gt;F60),1)</f>
        <v>0</v>
      </c>
      <c r="K59" s="1133">
        <f>IF(AND(L59=1,L56=1),C59-F56)+IF(AND(L59=1,L57=1),D59-F57)+IF(AND(L59=1,L58=1),E59-F58)+IF(AND(L59=1,L60=1),G59-F60)+IF(AND(L59=2,L56=2),C59-F56)+IF(AND(L59=2,L57=2),D59-F57)+IF(AND(L59=2,L58=2),E59-F58)+IF(AND(L59=2,L60=2),G59-F60)+IF(AND(L59=3,L56=3),C59-F56)+IF(AND(L59=3,L57=3),D59-F57)+IF(AND(L59=3,L58=3),E59-F58)+IF(AND(L59=3,L60=3),G59-F60)</f>
        <v>0</v>
      </c>
      <c r="L59" s="821">
        <f>VALUE(LEFT(H59,1))</f>
        <v>0</v>
      </c>
      <c r="M59" s="824">
        <f>10000*L59+J59*100+K59</f>
        <v>0</v>
      </c>
      <c r="P59" s="212"/>
      <c r="Q59" s="212"/>
      <c r="AA59" s="760"/>
    </row>
    <row r="60" spans="1:27" hidden="1" x14ac:dyDescent="0.2">
      <c r="A60" s="875">
        <v>5</v>
      </c>
      <c r="B60" s="112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IF(AND(B60&lt;&gt;"",M$55=TRUE),A$55&amp;RANK(M60,M$56:M$60,0),"")</f>
        <v/>
      </c>
      <c r="J60" s="825">
        <f>IF(AND(L60=1,L56=1,C60&gt;G56),1)+IF(AND(L60=1,L57=1,D60&gt;G57),1)+IF(AND(L60=1,L58=1,E60&gt;G58),1)+IF(AND(L60=1,L59=1,F60&gt;G59),1)+IF(AND(L60=2,L56=2,C60&gt;G56),1)+IF(AND(L60=2,L57=2,D60&gt;G57),1)+IF(AND(L60=2,L58=2,E60&gt;G58),1)+IF(AND(L60=2,L59=2,F60&gt;G59),1)+IF(AND(L60=3,L56=3,C60&gt;G56),1)+IF(AND(L60=3,L57=3,D60&gt;G57),1)+IF(AND(L60=3,L58=3,E60&gt;G58),1)+IF(AND(L60=3,L59=3,F60&gt;G59),1)</f>
        <v>0</v>
      </c>
      <c r="K60" s="1133">
        <f>IF(AND(L60=1,L56=1),C60-G56)+IF(AND(L60=1,L57=1),D60-G57)+IF(AND(L60=1,L58=1),E60-G58)+IF(AND(L60=1,L59=1),F60-G59)+IF(AND(L60=2,L56=2),C60-G56)+IF(AND(L60=2,L57=2),D60-G57)+IF(AND(L60=2,L58=2),E60-G58)+IF(AND(L60=2,L59=2),F60-G59)+IF(AND(L60=3,L56=3),C60-G56)+IF(AND(L60=3,L57=3),D60-G57)+IF(AND(L60=3,L58=3),E60-G58)+IF(AND(L60=3,L59=3),F60-G59)</f>
        <v>0</v>
      </c>
      <c r="L60" s="821">
        <f>VALUE(LEFT(H60,1))</f>
        <v>0</v>
      </c>
      <c r="M60" s="824">
        <f>10000*L60+J60*100+K60</f>
        <v>0</v>
      </c>
      <c r="P60" s="212"/>
      <c r="Q60" s="212"/>
      <c r="AA60" s="760"/>
    </row>
    <row r="61" spans="1:27" hidden="1" x14ac:dyDescent="0.2">
      <c r="A61" s="212"/>
      <c r="B61" s="212"/>
      <c r="C61" s="212"/>
      <c r="D61" s="212"/>
      <c r="E61" s="212"/>
      <c r="F61" s="212"/>
      <c r="G61" s="212"/>
      <c r="H61" s="212"/>
      <c r="I61" s="212"/>
      <c r="J61" s="755"/>
      <c r="K61" s="755"/>
      <c r="L61" s="755"/>
      <c r="M61" s="836"/>
      <c r="N61" s="770"/>
      <c r="O61" s="755"/>
      <c r="P61" s="755"/>
      <c r="Q61" s="755"/>
      <c r="R61" s="760"/>
      <c r="S61" s="760"/>
      <c r="T61" s="760"/>
      <c r="AA61" s="760"/>
    </row>
    <row r="62" spans="1:27" hidden="1" x14ac:dyDescent="0.2">
      <c r="A62" s="212"/>
      <c r="B62" s="1067" t="s">
        <v>373</v>
      </c>
      <c r="C62" s="800" t="s">
        <v>377</v>
      </c>
      <c r="D62" s="800"/>
      <c r="E62" s="212"/>
      <c r="F62" s="212"/>
      <c r="G62" s="212"/>
      <c r="H62" s="212"/>
      <c r="I62" s="212"/>
      <c r="J62" s="755"/>
      <c r="K62" s="755"/>
      <c r="L62" s="755"/>
      <c r="M62" s="836"/>
      <c r="N62" s="770"/>
      <c r="O62" s="755"/>
      <c r="P62" s="755"/>
      <c r="Q62" s="755"/>
      <c r="R62" s="760"/>
      <c r="S62" s="760"/>
      <c r="T62" s="760"/>
      <c r="AA62" s="760"/>
    </row>
    <row r="63" spans="1:27" hidden="1" x14ac:dyDescent="0.2">
      <c r="A63" s="212"/>
      <c r="B63" s="1067" t="s">
        <v>376</v>
      </c>
      <c r="C63" s="800" t="s">
        <v>386</v>
      </c>
      <c r="D63" s="212"/>
      <c r="E63" s="212"/>
      <c r="F63" s="212"/>
      <c r="G63" s="212"/>
      <c r="H63" s="212"/>
      <c r="I63" s="212"/>
      <c r="J63" s="755"/>
      <c r="K63" s="755"/>
      <c r="L63" s="755"/>
      <c r="M63" s="836"/>
      <c r="O63" s="755"/>
      <c r="P63" s="755"/>
      <c r="Q63" s="755"/>
      <c r="R63" s="760"/>
      <c r="S63" s="760"/>
      <c r="T63" s="760"/>
      <c r="AA63" s="760"/>
    </row>
    <row r="64" spans="1:27" hidden="1" x14ac:dyDescent="0.2">
      <c r="A64" s="212"/>
      <c r="B64" s="1067" t="s">
        <v>379</v>
      </c>
      <c r="C64" s="800" t="s">
        <v>408</v>
      </c>
      <c r="D64" s="212"/>
      <c r="E64" s="212"/>
      <c r="F64" s="212"/>
      <c r="G64" s="212"/>
      <c r="H64" s="212"/>
      <c r="I64" s="212"/>
      <c r="J64" s="755"/>
      <c r="K64" s="755"/>
      <c r="L64" s="755"/>
      <c r="M64" s="836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212"/>
      <c r="B65" s="212"/>
      <c r="C65" s="212"/>
      <c r="D65" s="212"/>
      <c r="E65" s="212"/>
      <c r="F65" s="212"/>
      <c r="G65" s="212"/>
      <c r="H65" s="212"/>
      <c r="I65" s="212"/>
      <c r="J65" s="755"/>
      <c r="K65" s="755"/>
      <c r="L65" s="755"/>
      <c r="M65" s="836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212"/>
      <c r="B66" s="1067" t="s">
        <v>373</v>
      </c>
      <c r="C66" s="800" t="s">
        <v>387</v>
      </c>
      <c r="D66" s="800" t="s">
        <v>386</v>
      </c>
      <c r="E66" s="212"/>
      <c r="F66" s="212"/>
      <c r="G66" s="212"/>
      <c r="H66" s="212"/>
      <c r="I66" s="212"/>
      <c r="J66" s="755"/>
      <c r="K66" s="755"/>
      <c r="L66" s="755"/>
      <c r="M66" s="818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212"/>
      <c r="B67" s="1067" t="s">
        <v>376</v>
      </c>
      <c r="C67" s="800" t="s">
        <v>377</v>
      </c>
      <c r="D67" s="800" t="s">
        <v>375</v>
      </c>
      <c r="E67" s="212"/>
      <c r="F67" s="212"/>
      <c r="G67" s="212"/>
      <c r="H67" s="212"/>
      <c r="I67" s="212"/>
      <c r="J67" s="755"/>
      <c r="K67" s="755"/>
      <c r="L67" s="755"/>
      <c r="M67" s="818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212"/>
      <c r="B68" s="1067" t="s">
        <v>379</v>
      </c>
      <c r="C68" s="800" t="s">
        <v>408</v>
      </c>
      <c r="D68" s="800" t="s">
        <v>381</v>
      </c>
      <c r="E68" s="212"/>
      <c r="F68" s="212"/>
      <c r="G68" s="212"/>
      <c r="H68" s="212"/>
      <c r="I68" s="212"/>
      <c r="J68" s="755"/>
      <c r="K68" s="755"/>
      <c r="L68" s="755"/>
      <c r="M68" s="818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212"/>
      <c r="B69" s="1126"/>
      <c r="C69" s="805"/>
      <c r="D69" s="805"/>
      <c r="E69" s="212"/>
      <c r="F69" s="212"/>
      <c r="G69" s="212"/>
      <c r="H69" s="212"/>
      <c r="I69" s="212"/>
      <c r="J69" s="755"/>
      <c r="K69" s="755"/>
      <c r="L69" s="755"/>
      <c r="M69" s="818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212"/>
      <c r="B70" s="1067" t="s">
        <v>373</v>
      </c>
      <c r="C70" s="800" t="s">
        <v>374</v>
      </c>
      <c r="D70" s="800" t="s">
        <v>375</v>
      </c>
      <c r="E70" s="212"/>
      <c r="F70" s="212"/>
      <c r="G70" s="212"/>
      <c r="H70" s="212"/>
      <c r="I70" s="212"/>
      <c r="J70" s="755"/>
      <c r="K70" s="755"/>
      <c r="L70" s="755"/>
      <c r="M70" s="818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212"/>
      <c r="B71" s="1067" t="s">
        <v>376</v>
      </c>
      <c r="C71" s="800" t="s">
        <v>377</v>
      </c>
      <c r="D71" s="800" t="s">
        <v>378</v>
      </c>
      <c r="E71" s="212"/>
      <c r="F71" s="212"/>
      <c r="G71" s="212"/>
      <c r="H71" s="212"/>
      <c r="I71" s="212"/>
      <c r="J71" s="755"/>
      <c r="K71" s="755"/>
      <c r="L71" s="755"/>
      <c r="M71" s="818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212"/>
      <c r="B72" s="1067" t="s">
        <v>379</v>
      </c>
      <c r="C72" s="800" t="s">
        <v>380</v>
      </c>
      <c r="D72" s="800" t="s">
        <v>381</v>
      </c>
      <c r="E72" s="212"/>
      <c r="F72" s="212"/>
      <c r="G72" s="212"/>
      <c r="H72" s="212"/>
      <c r="I72" s="212"/>
      <c r="J72" s="755"/>
      <c r="K72" s="755"/>
      <c r="L72" s="755"/>
      <c r="M72" s="818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212"/>
      <c r="B73" s="1067" t="s">
        <v>382</v>
      </c>
      <c r="C73" s="800" t="s">
        <v>383</v>
      </c>
      <c r="D73" s="800" t="s">
        <v>384</v>
      </c>
      <c r="E73" s="212"/>
      <c r="F73" s="212"/>
      <c r="G73" s="212"/>
      <c r="H73" s="212"/>
      <c r="I73" s="212"/>
      <c r="J73" s="755"/>
      <c r="K73" s="755"/>
      <c r="L73" s="755"/>
      <c r="M73" s="818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212"/>
      <c r="B74" s="1067" t="s">
        <v>385</v>
      </c>
      <c r="C74" s="800" t="s">
        <v>386</v>
      </c>
      <c r="D74" s="800" t="s">
        <v>387</v>
      </c>
      <c r="E74" s="212"/>
      <c r="F74" s="212"/>
      <c r="G74" s="212"/>
      <c r="H74" s="212"/>
      <c r="I74" s="212"/>
      <c r="J74" s="755"/>
      <c r="K74" s="755"/>
      <c r="L74" s="755"/>
      <c r="M74" s="818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212"/>
      <c r="B75" s="212"/>
      <c r="C75" s="212"/>
      <c r="D75" s="212"/>
      <c r="E75" s="212"/>
      <c r="F75" s="212"/>
      <c r="G75" s="212"/>
      <c r="H75" s="212"/>
      <c r="I75" s="212"/>
      <c r="J75" s="755"/>
      <c r="K75" s="755"/>
      <c r="L75" s="755"/>
      <c r="M75" s="818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212"/>
      <c r="B76" s="212"/>
      <c r="C76" s="212"/>
      <c r="D76" s="212"/>
      <c r="E76" s="212"/>
      <c r="F76" s="212"/>
      <c r="G76" s="212"/>
      <c r="H76" s="212"/>
      <c r="I76" s="212"/>
      <c r="J76" s="755"/>
      <c r="K76" s="755"/>
      <c r="L76" s="755"/>
      <c r="M76" s="818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212"/>
      <c r="B77" s="212"/>
      <c r="C77" s="212"/>
      <c r="D77" s="212"/>
      <c r="E77" s="212"/>
      <c r="F77" s="212"/>
      <c r="G77" s="212"/>
      <c r="H77" s="212"/>
      <c r="I77" s="212"/>
      <c r="J77" s="755"/>
      <c r="K77" s="755"/>
      <c r="L77" s="755"/>
      <c r="M77" s="818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212"/>
      <c r="B78" s="212"/>
      <c r="C78" s="212"/>
      <c r="D78" s="212"/>
      <c r="E78" s="212"/>
      <c r="F78" s="212"/>
      <c r="G78" s="212"/>
      <c r="H78" s="212"/>
      <c r="I78" s="212"/>
      <c r="J78" s="755"/>
      <c r="K78" s="755"/>
      <c r="L78" s="755"/>
      <c r="M78" s="818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212"/>
      <c r="B79" s="212"/>
      <c r="C79" s="212"/>
      <c r="D79" s="212"/>
      <c r="E79" s="212"/>
      <c r="F79" s="212"/>
      <c r="G79" s="212"/>
      <c r="H79" s="212"/>
      <c r="I79" s="212"/>
      <c r="J79" s="755"/>
      <c r="K79" s="755"/>
      <c r="L79" s="755"/>
      <c r="M79" s="818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212"/>
      <c r="B80" s="212"/>
      <c r="C80" s="212"/>
      <c r="D80" s="212"/>
      <c r="E80" s="212"/>
      <c r="F80" s="212"/>
      <c r="G80" s="212"/>
      <c r="H80" s="212"/>
      <c r="I80" s="212"/>
      <c r="J80" s="755"/>
      <c r="K80" s="755"/>
      <c r="L80" s="755"/>
      <c r="M80" s="818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212"/>
      <c r="B81" s="212"/>
      <c r="C81" s="212"/>
      <c r="D81" s="212"/>
      <c r="E81" s="212"/>
      <c r="F81" s="212"/>
      <c r="G81" s="212"/>
      <c r="H81" s="212"/>
      <c r="I81" s="212"/>
      <c r="J81" s="755"/>
      <c r="K81" s="755"/>
      <c r="L81" s="755"/>
      <c r="M81" s="818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212"/>
      <c r="B82" s="212"/>
      <c r="C82" s="212"/>
      <c r="D82" s="212"/>
      <c r="E82" s="212"/>
      <c r="F82" s="212"/>
      <c r="G82" s="212"/>
      <c r="H82" s="212"/>
      <c r="I82" s="212"/>
      <c r="J82" s="755"/>
      <c r="K82" s="755"/>
      <c r="L82" s="755"/>
      <c r="M82" s="818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212"/>
      <c r="B83" s="212"/>
      <c r="C83" s="212"/>
      <c r="D83" s="212"/>
      <c r="E83" s="212"/>
      <c r="F83" s="212"/>
      <c r="G83" s="212"/>
      <c r="H83" s="212"/>
      <c r="I83" s="212"/>
      <c r="J83" s="755"/>
      <c r="K83" s="755"/>
      <c r="L83" s="755"/>
      <c r="M83" s="818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212"/>
      <c r="B84" s="212"/>
      <c r="C84" s="212"/>
      <c r="D84" s="212"/>
      <c r="E84" s="212"/>
      <c r="F84" s="212"/>
      <c r="G84" s="212"/>
      <c r="H84" s="212"/>
      <c r="I84" s="212"/>
      <c r="J84" s="755"/>
      <c r="K84" s="755"/>
      <c r="L84" s="755"/>
      <c r="M84" s="818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818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818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818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818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818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818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818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818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818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818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818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818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818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818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818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818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2" spans="1:27" x14ac:dyDescent="0.2">
      <c r="A102" s="849" t="s">
        <v>410</v>
      </c>
      <c r="B102" s="850" t="str">
        <f>IF(A102="-","-",IFERROR(INDEX(B$1:B$100,MATCH(A102,I$1:I$100,0)),""))</f>
        <v>Tõnu Piik</v>
      </c>
      <c r="C102" s="851">
        <f>IF(B102="-",0,IF(B104="-",13,""))</f>
        <v>13</v>
      </c>
      <c r="D102" s="755"/>
      <c r="E102" s="755"/>
      <c r="F102" s="755"/>
      <c r="G102" s="755"/>
      <c r="H102" s="755"/>
      <c r="I102" s="755"/>
      <c r="J102" s="755"/>
    </row>
    <row r="103" spans="1:27" x14ac:dyDescent="0.2">
      <c r="A103" s="852"/>
      <c r="B103" s="853"/>
      <c r="C103" s="854" t="str">
        <f>IF(COUNT(C102,C104)=2,IF(C102&gt;C104,B102,B104),"")</f>
        <v>Tõnu Piik</v>
      </c>
      <c r="D103" s="755"/>
      <c r="E103" s="851">
        <v>6</v>
      </c>
      <c r="F103" s="755"/>
      <c r="G103" s="755"/>
      <c r="H103" s="755"/>
      <c r="I103" s="755"/>
      <c r="J103" s="755"/>
    </row>
    <row r="104" spans="1:27" x14ac:dyDescent="0.2">
      <c r="A104" s="852" t="s">
        <v>424</v>
      </c>
      <c r="B104" s="855" t="str">
        <f>IF(A104="-","-",IFERROR(INDEX(B$1:B$100,MATCH(A104,I$1:I$100,0)),""))</f>
        <v>-</v>
      </c>
      <c r="C104" s="856">
        <f>IF(B104="-",0,IF(B102="-",13,""))</f>
        <v>0</v>
      </c>
      <c r="D104" s="857"/>
      <c r="E104" s="755"/>
      <c r="F104" s="755"/>
      <c r="G104" s="755"/>
      <c r="H104" s="755"/>
      <c r="I104" s="755"/>
      <c r="J104" s="755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Matti Vinni</v>
      </c>
      <c r="F105" s="755"/>
      <c r="G105" s="851">
        <v>13</v>
      </c>
      <c r="H105" s="755"/>
      <c r="I105" s="755"/>
      <c r="J105" s="755"/>
    </row>
    <row r="106" spans="1:27" x14ac:dyDescent="0.2">
      <c r="A106" s="852" t="s">
        <v>413</v>
      </c>
      <c r="B106" s="850" t="str">
        <f>IF(A106="-","-",IFERROR(INDEX(B$1:B$100,MATCH(A106,I$1:I$100,0)),""))</f>
        <v>Matti Vinni</v>
      </c>
      <c r="C106" s="851">
        <v>13</v>
      </c>
      <c r="D106" s="858"/>
      <c r="E106" s="859"/>
      <c r="F106" s="857"/>
      <c r="G106" s="755"/>
      <c r="H106" s="755"/>
      <c r="I106" s="755"/>
      <c r="J106" s="755"/>
    </row>
    <row r="107" spans="1:27" x14ac:dyDescent="0.2">
      <c r="A107" s="852"/>
      <c r="B107" s="853"/>
      <c r="C107" s="854" t="str">
        <f>IF(COUNT(C106,C108)=2,IF(C106&gt;C108,B106,B108),"")</f>
        <v>Matti Vinni</v>
      </c>
      <c r="D107" s="860"/>
      <c r="E107" s="856">
        <v>13</v>
      </c>
      <c r="F107" s="858"/>
      <c r="G107" s="755"/>
      <c r="H107" s="755"/>
      <c r="I107" s="755"/>
      <c r="J107" s="755"/>
    </row>
    <row r="108" spans="1:27" x14ac:dyDescent="0.2">
      <c r="A108" s="852" t="s">
        <v>623</v>
      </c>
      <c r="B108" s="855" t="str">
        <f>IF(A108="-","-",IFERROR(INDEX(B$1:B$100,MATCH(A108,I$1:I$100,0)),""))</f>
        <v>Peep Peenema</v>
      </c>
      <c r="C108" s="856">
        <v>6</v>
      </c>
      <c r="D108" s="755"/>
      <c r="E108" s="807"/>
      <c r="F108" s="858"/>
      <c r="G108" s="755"/>
      <c r="H108" s="755"/>
      <c r="I108" s="755"/>
      <c r="J108" s="755"/>
    </row>
    <row r="109" spans="1:27" x14ac:dyDescent="0.2">
      <c r="A109" s="754"/>
      <c r="B109" s="818"/>
      <c r="C109" s="755"/>
      <c r="D109" s="755"/>
      <c r="E109" s="807"/>
      <c r="F109" s="858"/>
      <c r="G109" s="755" t="str">
        <f>IF(COUNT(G105,G113)=2,IF(G105&gt;G113,E105,E113),"")</f>
        <v>Matti Vinni</v>
      </c>
      <c r="H109" s="755"/>
      <c r="I109" s="851">
        <v>9</v>
      </c>
      <c r="J109" s="755"/>
    </row>
    <row r="110" spans="1:27" x14ac:dyDescent="0.2">
      <c r="A110" s="849" t="s">
        <v>622</v>
      </c>
      <c r="B110" s="850" t="str">
        <f>IF(A110="-","-",IFERROR(INDEX(B$1:B$100,MATCH(A110,I$1:I$100,0)),""))</f>
        <v>Ivar Viljaste</v>
      </c>
      <c r="C110" s="851">
        <v>13</v>
      </c>
      <c r="D110" s="755"/>
      <c r="E110" s="755"/>
      <c r="F110" s="858"/>
      <c r="G110" s="859"/>
      <c r="H110" s="857"/>
      <c r="I110" s="755"/>
      <c r="J110" s="755"/>
    </row>
    <row r="111" spans="1:27" x14ac:dyDescent="0.2">
      <c r="A111" s="852"/>
      <c r="B111" s="853"/>
      <c r="C111" s="854" t="str">
        <f>IF(COUNT(C110,C112)=2,IF(C110&gt;C112,B110,B112),"")</f>
        <v>Ivar Viljaste</v>
      </c>
      <c r="D111" s="755"/>
      <c r="E111" s="851">
        <v>8</v>
      </c>
      <c r="F111" s="858"/>
      <c r="G111" s="807"/>
      <c r="H111" s="858"/>
      <c r="I111" s="755"/>
      <c r="J111" s="755"/>
    </row>
    <row r="112" spans="1:27" x14ac:dyDescent="0.2">
      <c r="A112" s="852" t="s">
        <v>415</v>
      </c>
      <c r="B112" s="855" t="str">
        <f>IF(A112="-","-",IFERROR(INDEX(B$1:B$100,MATCH(A112,I$1:I$100,0)),""))</f>
        <v>Jaan Saar</v>
      </c>
      <c r="C112" s="856">
        <v>10</v>
      </c>
      <c r="D112" s="857"/>
      <c r="E112" s="755"/>
      <c r="F112" s="858"/>
      <c r="G112" s="807"/>
      <c r="H112" s="858"/>
      <c r="I112" s="755"/>
      <c r="J112" s="755"/>
    </row>
    <row r="113" spans="1:13" x14ac:dyDescent="0.2">
      <c r="A113" s="852"/>
      <c r="B113" s="818"/>
      <c r="C113" s="755"/>
      <c r="D113" s="858"/>
      <c r="E113" s="854" t="str">
        <f>IF(COUNT(E111,E115)=2,IF(E111&gt;E115,C111,C115),"")</f>
        <v>Oskar Sepp</v>
      </c>
      <c r="F113" s="860"/>
      <c r="G113" s="856">
        <v>5</v>
      </c>
      <c r="H113" s="858"/>
      <c r="I113" s="755"/>
      <c r="J113" s="755"/>
    </row>
    <row r="114" spans="1:13" x14ac:dyDescent="0.2">
      <c r="A114" s="852" t="s">
        <v>424</v>
      </c>
      <c r="B114" s="850" t="str">
        <f>IF(A114="-","-",IFERROR(INDEX(B$1:B$100,MATCH(A114,I$1:I$100,0)),""))</f>
        <v>-</v>
      </c>
      <c r="C114" s="851">
        <f>IF(B114="-",0,IF(B116="-",13,""))</f>
        <v>0</v>
      </c>
      <c r="D114" s="858"/>
      <c r="E114" s="859"/>
      <c r="F114" s="807"/>
      <c r="G114" s="807"/>
      <c r="H114" s="858"/>
      <c r="I114" s="755"/>
      <c r="J114" s="755"/>
    </row>
    <row r="115" spans="1:13" x14ac:dyDescent="0.2">
      <c r="A115" s="852"/>
      <c r="B115" s="853"/>
      <c r="C115" s="854" t="str">
        <f>IF(COUNT(C114,C116)=2,IF(C114&gt;C116,B114,B116),"")</f>
        <v>Oskar Sepp</v>
      </c>
      <c r="D115" s="860"/>
      <c r="E115" s="856">
        <v>13</v>
      </c>
      <c r="F115" s="755"/>
      <c r="G115" s="807"/>
      <c r="H115" s="858"/>
      <c r="I115" s="755"/>
      <c r="J115" s="755"/>
      <c r="M115" s="1"/>
    </row>
    <row r="116" spans="1:13" x14ac:dyDescent="0.2">
      <c r="A116" s="852" t="s">
        <v>417</v>
      </c>
      <c r="B116" s="855" t="str">
        <f>IF(A116="-","-",IFERROR(INDEX(B$1:B$100,MATCH(A116,I$1:I$100,0)),""))</f>
        <v>Oskar Sepp</v>
      </c>
      <c r="C116" s="856">
        <f>IF(B116="-",0,IF(B114="-",13,""))</f>
        <v>13</v>
      </c>
      <c r="D116" s="755"/>
      <c r="E116" s="807"/>
      <c r="F116" s="807"/>
      <c r="G116" s="807"/>
      <c r="H116" s="858"/>
      <c r="I116" s="755"/>
      <c r="J116" s="755"/>
      <c r="M116" s="1"/>
    </row>
    <row r="117" spans="1:13" ht="13.5" thickBot="1" x14ac:dyDescent="0.25">
      <c r="A117" s="754"/>
      <c r="B117" s="818"/>
      <c r="C117" s="755"/>
      <c r="D117" s="755"/>
      <c r="E117" s="755"/>
      <c r="F117" s="755"/>
      <c r="G117" s="807"/>
      <c r="H117" s="858"/>
      <c r="I117" s="755"/>
      <c r="J117" s="804" t="str">
        <f>IF(COUNT(I109,I125)=2,IF(I109&gt;I125,G109,G125),"")</f>
        <v>Kenneth Muusikus</v>
      </c>
      <c r="M117" s="1"/>
    </row>
    <row r="118" spans="1:13" x14ac:dyDescent="0.2">
      <c r="A118" s="849" t="s">
        <v>414</v>
      </c>
      <c r="B118" s="850" t="str">
        <f>IF(A118="-","-",IFERROR(INDEX(B$1:B$100,MATCH(A118,I$1:I$100,0)),""))</f>
        <v>Kaspar Mänd</v>
      </c>
      <c r="C118" s="851">
        <f>IF(B118="-",0,IF(B120="-",13,""))</f>
        <v>13</v>
      </c>
      <c r="D118" s="755"/>
      <c r="E118" s="755"/>
      <c r="F118" s="755"/>
      <c r="G118" s="807"/>
      <c r="H118" s="858"/>
      <c r="I118" s="862"/>
      <c r="J118" s="810" t="s">
        <v>389</v>
      </c>
      <c r="K118" s="1129"/>
      <c r="M118" s="1"/>
    </row>
    <row r="119" spans="1:13" x14ac:dyDescent="0.2">
      <c r="A119" s="852"/>
      <c r="B119" s="853"/>
      <c r="C119" s="854" t="str">
        <f>IF(COUNT(C118,C120)=2,IF(C118&gt;C120,B118,B120),"")</f>
        <v>Kaspar Mänd</v>
      </c>
      <c r="D119" s="755"/>
      <c r="E119" s="851">
        <v>13</v>
      </c>
      <c r="F119" s="755"/>
      <c r="G119" s="807"/>
      <c r="H119" s="858"/>
      <c r="I119" s="755"/>
      <c r="J119" s="807"/>
      <c r="K119" s="1130"/>
      <c r="M119" s="1"/>
    </row>
    <row r="120" spans="1:13" x14ac:dyDescent="0.2">
      <c r="A120" s="852" t="s">
        <v>424</v>
      </c>
      <c r="B120" s="855" t="str">
        <f>IF(A120="-","-",IFERROR(INDEX(B$1:B$100,MATCH(A120,I$1:I$100,0)),""))</f>
        <v>-</v>
      </c>
      <c r="C120" s="856">
        <f>IF(B120="-",0,IF(B118="-",13,""))</f>
        <v>0</v>
      </c>
      <c r="D120" s="857"/>
      <c r="E120" s="755"/>
      <c r="F120" s="755"/>
      <c r="G120" s="807"/>
      <c r="H120" s="858"/>
      <c r="I120" s="755"/>
      <c r="J120" s="807"/>
      <c r="K120" s="1130"/>
      <c r="M120" s="1"/>
    </row>
    <row r="121" spans="1:13" x14ac:dyDescent="0.2">
      <c r="A121" s="852"/>
      <c r="B121" s="818"/>
      <c r="C121" s="755"/>
      <c r="D121" s="858"/>
      <c r="E121" s="854" t="str">
        <f>IF(COUNT(E119,E123)=2,IF(E119&gt;E123,C119,C123),"")</f>
        <v>Kaspar Mänd</v>
      </c>
      <c r="F121" s="755"/>
      <c r="G121" s="851">
        <v>4</v>
      </c>
      <c r="H121" s="858"/>
      <c r="I121" s="755"/>
      <c r="J121" s="807"/>
      <c r="K121" s="1130"/>
      <c r="M121" s="1"/>
    </row>
    <row r="122" spans="1:13" x14ac:dyDescent="0.2">
      <c r="A122" s="852" t="s">
        <v>411</v>
      </c>
      <c r="B122" s="850" t="str">
        <f>IF(A122="-","-",IFERROR(INDEX(B$1:B$100,MATCH(A122,I$1:I$100,0)),""))</f>
        <v>Svetlana Veski</v>
      </c>
      <c r="C122" s="851">
        <v>13</v>
      </c>
      <c r="D122" s="858"/>
      <c r="E122" s="859"/>
      <c r="F122" s="857"/>
      <c r="G122" s="755"/>
      <c r="H122" s="858"/>
      <c r="I122" s="755"/>
      <c r="J122" s="807"/>
      <c r="K122" s="1130"/>
      <c r="M122" s="1"/>
    </row>
    <row r="123" spans="1:13" x14ac:dyDescent="0.2">
      <c r="A123" s="852"/>
      <c r="B123" s="853"/>
      <c r="C123" s="854" t="str">
        <f>IF(COUNT(C122,C124)=2,IF(C122&gt;C124,B122,B124),"")</f>
        <v>Svetlana Veski</v>
      </c>
      <c r="D123" s="860"/>
      <c r="E123" s="856">
        <v>11</v>
      </c>
      <c r="F123" s="858"/>
      <c r="G123" s="755"/>
      <c r="H123" s="858"/>
      <c r="I123" s="755"/>
      <c r="J123" s="807"/>
      <c r="K123" s="1130"/>
      <c r="M123" s="1"/>
    </row>
    <row r="124" spans="1:13" x14ac:dyDescent="0.2">
      <c r="A124" s="852" t="s">
        <v>621</v>
      </c>
      <c r="B124" s="855" t="str">
        <f>IF(A124="-","-",IFERROR(INDEX(B$1:B$100,MATCH(A124,I$1:I$100,0)),""))</f>
        <v>Elmo Lageda</v>
      </c>
      <c r="C124" s="856">
        <v>9</v>
      </c>
      <c r="D124" s="755"/>
      <c r="E124" s="807"/>
      <c r="F124" s="858"/>
      <c r="G124" s="755"/>
      <c r="H124" s="858"/>
      <c r="I124" s="755"/>
      <c r="J124" s="807"/>
      <c r="K124" s="1130"/>
      <c r="M124" s="1"/>
    </row>
    <row r="125" spans="1:13" x14ac:dyDescent="0.2">
      <c r="A125" s="754"/>
      <c r="B125" s="818"/>
      <c r="C125" s="755"/>
      <c r="D125" s="755"/>
      <c r="E125" s="807"/>
      <c r="F125" s="858"/>
      <c r="G125" s="755" t="str">
        <f>IF(COUNT(G121,G129)=2,IF(G121&gt;G129,E121,E129),"")</f>
        <v>Kenneth Muusikus</v>
      </c>
      <c r="H125" s="860"/>
      <c r="I125" s="856">
        <v>13</v>
      </c>
      <c r="J125" s="807"/>
      <c r="K125" s="1130"/>
      <c r="M125" s="1"/>
    </row>
    <row r="126" spans="1:13" ht="13.5" thickBot="1" x14ac:dyDescent="0.25">
      <c r="A126" s="849" t="s">
        <v>620</v>
      </c>
      <c r="B126" s="850" t="str">
        <f>IF(A126="-","-",IFERROR(INDEX(B$1:B$100,MATCH(A126,I$1:I$100,0)),""))</f>
        <v>Kenneth Muusikus</v>
      </c>
      <c r="C126" s="851">
        <f>IF(B126="-",0,IF(B128="-",13,""))</f>
        <v>13</v>
      </c>
      <c r="D126" s="755"/>
      <c r="E126" s="755"/>
      <c r="F126" s="858"/>
      <c r="G126" s="859"/>
      <c r="H126" s="755"/>
      <c r="I126" s="755"/>
      <c r="J126" s="951" t="str">
        <f>IF(COUNT(I109,I125)=2,IF(I109&lt;I125,G109,G125),"")</f>
        <v>Matti Vinni</v>
      </c>
      <c r="K126" s="1131"/>
      <c r="M126" s="1"/>
    </row>
    <row r="127" spans="1:13" x14ac:dyDescent="0.2">
      <c r="A127" s="852"/>
      <c r="B127" s="853"/>
      <c r="C127" s="854" t="str">
        <f>IF(COUNT(C126,C128)=2,IF(C126&gt;C128,B126,B128),"")</f>
        <v>Kenneth Muusikus</v>
      </c>
      <c r="D127" s="755"/>
      <c r="E127" s="851">
        <v>13</v>
      </c>
      <c r="F127" s="858"/>
      <c r="G127" s="807"/>
      <c r="H127" s="755"/>
      <c r="I127" s="755"/>
      <c r="J127" s="827" t="s">
        <v>390</v>
      </c>
      <c r="M127" s="1"/>
    </row>
    <row r="128" spans="1:13" x14ac:dyDescent="0.2">
      <c r="A128" s="852" t="s">
        <v>424</v>
      </c>
      <c r="B128" s="855" t="str">
        <f>IF(A128="-","-",IFERROR(INDEX(B$1:B$100,MATCH(A128,I$1:I$100,0)),""))</f>
        <v>-</v>
      </c>
      <c r="C128" s="856">
        <f>IF(B128="-",0,IF(B126="-",13,""))</f>
        <v>0</v>
      </c>
      <c r="D128" s="857"/>
      <c r="E128" s="755"/>
      <c r="F128" s="858"/>
      <c r="G128" s="807"/>
      <c r="H128" s="755"/>
      <c r="I128" s="755"/>
      <c r="J128" s="755"/>
      <c r="M128" s="1"/>
    </row>
    <row r="129" spans="1:13" x14ac:dyDescent="0.2">
      <c r="A129" s="852"/>
      <c r="B129" s="818"/>
      <c r="C129" s="755"/>
      <c r="D129" s="858"/>
      <c r="E129" s="854" t="str">
        <f>IF(COUNT(E127,E131)=2,IF(E127&gt;E131,C127,C131),"")</f>
        <v>Kenneth Muusikus</v>
      </c>
      <c r="F129" s="860"/>
      <c r="G129" s="856">
        <v>13</v>
      </c>
      <c r="H129" s="755"/>
      <c r="I129" s="755"/>
      <c r="J129" s="755"/>
      <c r="M129" s="1"/>
    </row>
    <row r="130" spans="1:13" x14ac:dyDescent="0.2">
      <c r="A130" s="852" t="s">
        <v>416</v>
      </c>
      <c r="B130" s="850" t="str">
        <f>IF(A130="-","-",IFERROR(INDEX(B$1:B$100,MATCH(A130,I$1:I$100,0)),""))</f>
        <v>Henri Mitt</v>
      </c>
      <c r="C130" s="851">
        <v>13</v>
      </c>
      <c r="D130" s="858"/>
      <c r="E130" s="859"/>
      <c r="F130" s="807"/>
      <c r="G130" s="807"/>
      <c r="H130" s="755"/>
      <c r="I130" s="755"/>
      <c r="J130" s="755"/>
      <c r="M130" s="1"/>
    </row>
    <row r="131" spans="1:13" x14ac:dyDescent="0.2">
      <c r="A131" s="852"/>
      <c r="B131" s="853"/>
      <c r="C131" s="854" t="str">
        <f>IF(COUNT(C130,C132)=2,IF(C130&gt;C132,B130,B132),"")</f>
        <v>Henri Mitt</v>
      </c>
      <c r="D131" s="860"/>
      <c r="E131" s="856">
        <v>12</v>
      </c>
      <c r="F131" s="755"/>
      <c r="G131" s="807" t="str">
        <f>IF(COUNT(G105,G113)=2,IF(G105&lt;G113,E105,E113),"")</f>
        <v>Oskar Sepp</v>
      </c>
      <c r="H131" s="755"/>
      <c r="I131" s="851">
        <v>13</v>
      </c>
      <c r="J131" s="755"/>
      <c r="M131" s="1"/>
    </row>
    <row r="132" spans="1:13" ht="13.5" thickBot="1" x14ac:dyDescent="0.25">
      <c r="A132" s="852" t="s">
        <v>412</v>
      </c>
      <c r="B132" s="855" t="str">
        <f>IF(A132="-","-",IFERROR(INDEX(B$1:B$100,MATCH(A132,I$1:I$100,0)),""))</f>
        <v>Ljudmila Varendi</v>
      </c>
      <c r="C132" s="856">
        <v>4</v>
      </c>
      <c r="D132" s="755"/>
      <c r="E132" s="807"/>
      <c r="F132" s="807"/>
      <c r="G132" s="863"/>
      <c r="H132" s="857"/>
      <c r="I132" s="1137"/>
      <c r="J132" s="804" t="str">
        <f>IF(COUNT(I131,I133)=2,IF(I131&gt;I133,G131,G133),"")</f>
        <v>Oskar Sepp</v>
      </c>
      <c r="M132" s="1"/>
    </row>
    <row r="133" spans="1:13" x14ac:dyDescent="0.2">
      <c r="A133" s="755"/>
      <c r="B133" s="755"/>
      <c r="C133" s="755"/>
      <c r="D133" s="755"/>
      <c r="E133" s="755"/>
      <c r="F133" s="807"/>
      <c r="G133" s="865" t="str">
        <f>IF(COUNT(G121,G129)=2,IF(G121&lt;G129,E121,E129),"")</f>
        <v>Kaspar Mänd</v>
      </c>
      <c r="H133" s="860"/>
      <c r="I133" s="871">
        <v>5</v>
      </c>
      <c r="J133" s="810" t="s">
        <v>391</v>
      </c>
      <c r="K133" s="1129"/>
      <c r="M133" s="1"/>
    </row>
    <row r="134" spans="1:13" x14ac:dyDescent="0.2">
      <c r="A134" s="755"/>
      <c r="B134" s="755"/>
      <c r="C134" s="755"/>
      <c r="D134" s="755"/>
      <c r="E134" s="755"/>
      <c r="F134" s="807"/>
      <c r="G134" s="755"/>
      <c r="H134" s="755"/>
      <c r="I134" s="755"/>
      <c r="J134" s="807"/>
      <c r="K134" s="1130"/>
      <c r="M134" s="1"/>
    </row>
    <row r="135" spans="1:13" ht="13.5" thickBot="1" x14ac:dyDescent="0.25">
      <c r="A135" s="755"/>
      <c r="B135" s="755"/>
      <c r="C135" s="755"/>
      <c r="D135" s="755"/>
      <c r="E135" s="755"/>
      <c r="F135" s="807"/>
      <c r="G135" s="807"/>
      <c r="H135" s="807"/>
      <c r="I135" s="755"/>
      <c r="J135" s="951" t="str">
        <f>IF(COUNT(I131,I133)=2,IF(I131&lt;I133,G131,G133),"")</f>
        <v>Kaspar Mänd</v>
      </c>
      <c r="K135" s="1131"/>
      <c r="M135" s="1"/>
    </row>
    <row r="136" spans="1:13" x14ac:dyDescent="0.2">
      <c r="A136" s="755"/>
      <c r="B136" s="755"/>
      <c r="C136" s="755"/>
      <c r="D136" s="755"/>
      <c r="E136" s="755"/>
      <c r="F136" s="755"/>
      <c r="G136" s="807"/>
      <c r="H136" s="807"/>
      <c r="I136" s="755"/>
      <c r="J136" s="754" t="s">
        <v>392</v>
      </c>
      <c r="M136" s="1"/>
    </row>
    <row r="137" spans="1:13" x14ac:dyDescent="0.2">
      <c r="A137" s="755"/>
      <c r="B137" s="755"/>
      <c r="C137" s="755"/>
      <c r="D137" s="755"/>
      <c r="E137" s="755"/>
      <c r="F137" s="755"/>
      <c r="G137" s="807"/>
      <c r="H137" s="807"/>
      <c r="I137" s="755"/>
      <c r="J137" s="754"/>
      <c r="M137" s="1"/>
    </row>
    <row r="138" spans="1:13" x14ac:dyDescent="0.2">
      <c r="A138" s="755"/>
      <c r="B138" s="755"/>
      <c r="C138" s="755"/>
      <c r="D138" s="755"/>
      <c r="E138" s="865" t="str">
        <f>IF(COUNT(E103,E107)=2,IF(E103&lt;E107,C103,C107),"")</f>
        <v>Tõnu Piik</v>
      </c>
      <c r="F138" s="755"/>
      <c r="G138" s="851">
        <v>9</v>
      </c>
      <c r="H138" s="851"/>
      <c r="I138" s="851"/>
      <c r="J138" s="755"/>
      <c r="M138" s="1"/>
    </row>
    <row r="139" spans="1:13" x14ac:dyDescent="0.2">
      <c r="A139" s="755"/>
      <c r="B139" s="755"/>
      <c r="C139" s="755"/>
      <c r="D139" s="755"/>
      <c r="E139" s="866"/>
      <c r="F139" s="867"/>
      <c r="G139" s="854" t="str">
        <f>IF(COUNT(G138,G140)=2,IF(G138&gt;G140,E138,E140),"")</f>
        <v>Ivar Viljaste</v>
      </c>
      <c r="H139" s="755"/>
      <c r="I139" s="851">
        <v>13</v>
      </c>
      <c r="J139" s="755"/>
      <c r="M139" s="1"/>
    </row>
    <row r="140" spans="1:13" x14ac:dyDescent="0.2">
      <c r="A140" s="755"/>
      <c r="B140" s="755"/>
      <c r="C140" s="755"/>
      <c r="D140" s="755"/>
      <c r="E140" s="865" t="str">
        <f>IF(COUNT(E111,E115)=2,IF(E111&lt;E115,C111,C115),"")</f>
        <v>Ivar Viljaste</v>
      </c>
      <c r="F140" s="868"/>
      <c r="G140" s="856">
        <v>13</v>
      </c>
      <c r="H140" s="867"/>
      <c r="I140" s="755"/>
      <c r="J140" s="755"/>
      <c r="M140" s="1"/>
    </row>
    <row r="141" spans="1:13" ht="13.5" thickBot="1" x14ac:dyDescent="0.25">
      <c r="A141" s="755"/>
      <c r="B141" s="755"/>
      <c r="C141" s="755"/>
      <c r="D141" s="755"/>
      <c r="E141" s="851"/>
      <c r="F141" s="851"/>
      <c r="G141" s="869"/>
      <c r="H141" s="870"/>
      <c r="I141" s="1137"/>
      <c r="J141" s="804" t="str">
        <f>IF(COUNT(I139,I143)=2,IF(I139&gt;I143,G139,G143),"")</f>
        <v>Ivar Viljaste</v>
      </c>
      <c r="M141" s="1"/>
    </row>
    <row r="142" spans="1:13" x14ac:dyDescent="0.2">
      <c r="A142" s="755"/>
      <c r="B142" s="755"/>
      <c r="C142" s="755"/>
      <c r="D142" s="755"/>
      <c r="E142" s="865" t="str">
        <f>IF(COUNT(E119,E123)=2,IF(E119&lt;E123,C119,C123),"")</f>
        <v>Svetlana Veski</v>
      </c>
      <c r="F142" s="851"/>
      <c r="G142" s="851">
        <v>13</v>
      </c>
      <c r="H142" s="870"/>
      <c r="I142" s="862"/>
      <c r="J142" s="810" t="s">
        <v>393</v>
      </c>
      <c r="K142" s="1129"/>
      <c r="M142" s="1"/>
    </row>
    <row r="143" spans="1:13" x14ac:dyDescent="0.2">
      <c r="A143" s="755"/>
      <c r="B143" s="755"/>
      <c r="C143" s="755"/>
      <c r="D143" s="755"/>
      <c r="E143" s="866"/>
      <c r="F143" s="867"/>
      <c r="G143" s="854" t="str">
        <f>IF(COUNT(G142,G144)=2,IF(G142&gt;G144,E142,E144),"")</f>
        <v>Svetlana Veski</v>
      </c>
      <c r="H143" s="860"/>
      <c r="I143" s="856">
        <v>11</v>
      </c>
      <c r="J143" s="807"/>
      <c r="K143" s="1130"/>
      <c r="M143" s="1"/>
    </row>
    <row r="144" spans="1:13" ht="13.5" thickBot="1" x14ac:dyDescent="0.25">
      <c r="A144" s="755"/>
      <c r="B144" s="755"/>
      <c r="C144" s="755"/>
      <c r="D144" s="755"/>
      <c r="E144" s="865" t="str">
        <f>IF(COUNT(E127,E131)=2,IF(E127&lt;E131,C127,C131),"")</f>
        <v>Henri Mitt</v>
      </c>
      <c r="F144" s="868"/>
      <c r="G144" s="856">
        <v>7</v>
      </c>
      <c r="H144" s="851"/>
      <c r="I144" s="869"/>
      <c r="J144" s="951" t="str">
        <f>IF(COUNT(I139,I143)=2,IF(I139&lt;I143,G139,G143),"")</f>
        <v>Svetlana Veski</v>
      </c>
      <c r="K144" s="1131"/>
      <c r="M144" s="1"/>
    </row>
    <row r="145" spans="1:13" x14ac:dyDescent="0.2">
      <c r="A145" s="755"/>
      <c r="B145" s="755"/>
      <c r="C145" s="755"/>
      <c r="D145" s="755"/>
      <c r="E145" s="851"/>
      <c r="F145" s="851"/>
      <c r="G145" s="851"/>
      <c r="H145" s="851"/>
      <c r="I145" s="869"/>
      <c r="J145" s="827" t="s">
        <v>394</v>
      </c>
      <c r="M145" s="1"/>
    </row>
    <row r="146" spans="1:13" x14ac:dyDescent="0.2">
      <c r="A146" s="755"/>
      <c r="B146" s="755"/>
      <c r="C146" s="755"/>
      <c r="D146" s="755"/>
      <c r="E146" s="851"/>
      <c r="F146" s="869"/>
      <c r="G146" s="804" t="str">
        <f>IF(COUNT(G138,G140)=2,IF(G138&lt;G140,E138,E140),"")</f>
        <v>Tõnu Piik</v>
      </c>
      <c r="H146" s="755"/>
      <c r="I146" s="851">
        <v>13</v>
      </c>
      <c r="J146" s="807"/>
      <c r="M146" s="1"/>
    </row>
    <row r="147" spans="1:13" ht="13.5" thickBot="1" x14ac:dyDescent="0.25">
      <c r="A147" s="755"/>
      <c r="B147" s="755"/>
      <c r="C147" s="755"/>
      <c r="D147" s="755"/>
      <c r="E147" s="851"/>
      <c r="F147" s="869"/>
      <c r="G147" s="863"/>
      <c r="H147" s="857"/>
      <c r="I147" s="1137"/>
      <c r="J147" s="804" t="str">
        <f>IF(COUNT(I146,I148)=2,IF(I146&gt;I148,G146,G148),"")</f>
        <v>Tõnu Piik</v>
      </c>
      <c r="M147" s="1"/>
    </row>
    <row r="148" spans="1:13" x14ac:dyDescent="0.2">
      <c r="A148" s="755"/>
      <c r="B148" s="755"/>
      <c r="C148" s="755"/>
      <c r="D148" s="755"/>
      <c r="E148" s="851"/>
      <c r="F148" s="869"/>
      <c r="G148" s="865" t="str">
        <f>IF(COUNT(G142,G144)=2,IF(G142&lt;G144,E142,E144),"")</f>
        <v>Henri Mitt</v>
      </c>
      <c r="H148" s="860"/>
      <c r="I148" s="871">
        <v>3</v>
      </c>
      <c r="J148" s="810" t="s">
        <v>418</v>
      </c>
      <c r="K148" s="1129"/>
      <c r="M148" s="1"/>
    </row>
    <row r="149" spans="1:13" x14ac:dyDescent="0.2">
      <c r="A149" s="755"/>
      <c r="B149" s="755"/>
      <c r="C149" s="755"/>
      <c r="D149" s="755"/>
      <c r="E149" s="755"/>
      <c r="F149" s="807"/>
      <c r="G149" s="755"/>
      <c r="H149" s="755"/>
      <c r="I149" s="755"/>
      <c r="J149" s="807"/>
      <c r="K149" s="1130"/>
      <c r="M149" s="1"/>
    </row>
    <row r="150" spans="1:13" ht="13.5" thickBot="1" x14ac:dyDescent="0.25">
      <c r="A150" s="755"/>
      <c r="B150" s="755"/>
      <c r="C150" s="755"/>
      <c r="D150" s="755"/>
      <c r="E150" s="755"/>
      <c r="F150" s="755"/>
      <c r="G150" s="807"/>
      <c r="H150" s="807"/>
      <c r="I150" s="755"/>
      <c r="J150" s="938" t="str">
        <f>IF(COUNT(I146,I148)=2,IF(I146&lt;I148,G146,G148),"")</f>
        <v>Henri Mitt</v>
      </c>
      <c r="K150" s="1131"/>
      <c r="M150" s="1"/>
    </row>
    <row r="151" spans="1:13" x14ac:dyDescent="0.2">
      <c r="A151" s="755"/>
      <c r="B151" s="755"/>
      <c r="C151" s="755"/>
      <c r="D151" s="755"/>
      <c r="E151" s="755"/>
      <c r="F151" s="755"/>
      <c r="G151" s="807"/>
      <c r="H151" s="807"/>
      <c r="I151" s="755"/>
      <c r="J151" s="827" t="s">
        <v>419</v>
      </c>
      <c r="M151" s="1"/>
    </row>
    <row r="152" spans="1:13" x14ac:dyDescent="0.2">
      <c r="A152" s="595"/>
      <c r="B152" s="595"/>
      <c r="C152" s="595"/>
      <c r="D152" s="595"/>
      <c r="E152" s="595"/>
      <c r="F152" s="595"/>
      <c r="G152" s="595"/>
      <c r="H152" s="595"/>
      <c r="I152" s="595"/>
      <c r="J152" s="595"/>
      <c r="M152" s="1"/>
    </row>
    <row r="153" spans="1:13" x14ac:dyDescent="0.2">
      <c r="A153" s="1127" t="s">
        <v>529</v>
      </c>
      <c r="B153" s="595"/>
      <c r="C153" s="595"/>
      <c r="D153" s="595"/>
      <c r="E153" s="595"/>
      <c r="F153" s="595"/>
      <c r="G153" s="595"/>
      <c r="H153" s="595"/>
      <c r="I153" s="595"/>
      <c r="J153" s="595"/>
      <c r="M153" s="1"/>
    </row>
    <row r="154" spans="1:13" x14ac:dyDescent="0.2">
      <c r="A154" s="595"/>
      <c r="B154" s="595"/>
      <c r="C154" s="595"/>
      <c r="D154" s="595"/>
      <c r="E154" s="595"/>
      <c r="F154" s="595"/>
      <c r="G154" s="595"/>
      <c r="H154" s="595"/>
      <c r="I154" s="595"/>
      <c r="J154" s="595"/>
      <c r="M154" s="1"/>
    </row>
    <row r="155" spans="1:13" x14ac:dyDescent="0.2">
      <c r="A155" s="595"/>
      <c r="B155" s="595"/>
      <c r="C155" s="865" t="str">
        <f>IF(COUNT(C102,C104)=2,IF(C102&lt;C104,B102,B104),"")</f>
        <v>-</v>
      </c>
      <c r="D155" s="595"/>
      <c r="E155" s="851">
        <f>IF(C155="-",0,IF(C157="-",13,""))</f>
        <v>0</v>
      </c>
      <c r="F155" s="755"/>
      <c r="G155" s="755"/>
      <c r="H155" s="755"/>
      <c r="I155" s="755"/>
      <c r="J155" s="755"/>
      <c r="M155" s="1"/>
    </row>
    <row r="156" spans="1:13" x14ac:dyDescent="0.2">
      <c r="A156" s="595"/>
      <c r="B156" s="595"/>
      <c r="C156" s="853"/>
      <c r="D156" s="1135"/>
      <c r="E156" s="854" t="str">
        <f>IF(COUNT(E155,E157)=2,IF(E155&gt;E157,C155,C157),"")</f>
        <v>Peep Peenema</v>
      </c>
      <c r="F156" s="755"/>
      <c r="G156" s="851">
        <v>13</v>
      </c>
      <c r="H156" s="755"/>
      <c r="I156" s="755"/>
      <c r="J156" s="755"/>
      <c r="M156" s="1"/>
    </row>
    <row r="157" spans="1:13" x14ac:dyDescent="0.2">
      <c r="A157" s="595"/>
      <c r="B157" s="595"/>
      <c r="C157" s="865" t="str">
        <f>IF(COUNT(C106,C108)=2,IF(C106&lt;C108,B106,B108),"")</f>
        <v>Peep Peenema</v>
      </c>
      <c r="D157" s="1128"/>
      <c r="E157" s="856">
        <f>IF(C157="-",0,IF(C155="-",13,""))</f>
        <v>13</v>
      </c>
      <c r="F157" s="1136"/>
      <c r="G157" s="755"/>
      <c r="H157" s="755"/>
      <c r="I157" s="755"/>
      <c r="J157" s="755"/>
      <c r="M157" s="1"/>
    </row>
    <row r="158" spans="1:13" x14ac:dyDescent="0.2">
      <c r="A158" s="595"/>
      <c r="B158" s="595"/>
      <c r="C158" s="818"/>
      <c r="D158" s="595"/>
      <c r="E158" s="755"/>
      <c r="F158" s="858"/>
      <c r="G158" s="854" t="str">
        <f>IF(COUNT(G156,G160)=2,IF(G156&gt;G160,E156,E160),"")</f>
        <v>Peep Peenema</v>
      </c>
      <c r="H158" s="755"/>
      <c r="I158" s="851">
        <v>8</v>
      </c>
      <c r="J158" s="755"/>
      <c r="M158" s="1"/>
    </row>
    <row r="159" spans="1:13" x14ac:dyDescent="0.2">
      <c r="A159" s="595"/>
      <c r="B159" s="595"/>
      <c r="C159" s="865" t="str">
        <f>IF(COUNT(C110,C112)=2,IF(C110&lt;C112,B110,B112),"")</f>
        <v>Jaan Saar</v>
      </c>
      <c r="D159" s="595"/>
      <c r="E159" s="851">
        <f>IF(C159="-",0,IF(C161="-",13,""))</f>
        <v>13</v>
      </c>
      <c r="F159" s="858"/>
      <c r="G159" s="859"/>
      <c r="H159" s="1136"/>
      <c r="I159" s="755"/>
      <c r="J159" s="755"/>
      <c r="M159" s="1"/>
    </row>
    <row r="160" spans="1:13" x14ac:dyDescent="0.2">
      <c r="A160" s="595"/>
      <c r="B160" s="595"/>
      <c r="C160" s="853"/>
      <c r="D160" s="1135"/>
      <c r="E160" s="854" t="str">
        <f>IF(COUNT(E159,E161)=2,IF(E159&gt;E161,C159,C161),"")</f>
        <v>Jaan Saar</v>
      </c>
      <c r="F160" s="860"/>
      <c r="G160" s="856">
        <v>12</v>
      </c>
      <c r="H160" s="858"/>
      <c r="I160" s="755"/>
      <c r="J160" s="755"/>
      <c r="M160" s="1"/>
    </row>
    <row r="161" spans="1:13" x14ac:dyDescent="0.2">
      <c r="A161" s="595"/>
      <c r="B161" s="595"/>
      <c r="C161" s="865" t="str">
        <f>IF(COUNT(C114,C116)=2,IF(C114&lt;C116,B114,B116),"")</f>
        <v>-</v>
      </c>
      <c r="D161" s="1128"/>
      <c r="E161" s="856">
        <f>IF(C161="-",0,IF(C159="-",13,""))</f>
        <v>0</v>
      </c>
      <c r="F161" s="755"/>
      <c r="G161" s="807"/>
      <c r="H161" s="858"/>
      <c r="I161" s="755"/>
      <c r="J161" s="755"/>
      <c r="M161" s="1"/>
    </row>
    <row r="162" spans="1:13" ht="13.5" thickBot="1" x14ac:dyDescent="0.25">
      <c r="A162" s="595"/>
      <c r="B162" s="595"/>
      <c r="C162" s="818"/>
      <c r="D162" s="595"/>
      <c r="E162" s="755"/>
      <c r="F162" s="755"/>
      <c r="G162" s="807"/>
      <c r="H162" s="858"/>
      <c r="I162" s="755"/>
      <c r="J162" s="804" t="str">
        <f>IF(COUNT(I158,I166)=2,IF(I158&gt;I166,G158,G166),"")</f>
        <v>Elmo Lageda</v>
      </c>
      <c r="M162" s="1"/>
    </row>
    <row r="163" spans="1:13" x14ac:dyDescent="0.2">
      <c r="A163" s="595"/>
      <c r="B163" s="595"/>
      <c r="C163" s="865" t="str">
        <f>IF(COUNT(C118,C120)=2,IF(C118&lt;C120,B118,B120),"")</f>
        <v>-</v>
      </c>
      <c r="D163" s="595"/>
      <c r="E163" s="851">
        <f>IF(C163="-",0,IF(C165="-",13,""))</f>
        <v>0</v>
      </c>
      <c r="F163" s="755"/>
      <c r="G163" s="755"/>
      <c r="H163" s="858"/>
      <c r="I163" s="862"/>
      <c r="J163" s="810" t="s">
        <v>426</v>
      </c>
      <c r="K163" s="1129"/>
      <c r="M163" s="1"/>
    </row>
    <row r="164" spans="1:13" x14ac:dyDescent="0.2">
      <c r="A164" s="595"/>
      <c r="B164" s="595"/>
      <c r="C164" s="853"/>
      <c r="D164" s="1135"/>
      <c r="E164" s="854" t="str">
        <f>IF(COUNT(E163,E165)=2,IF(E163&gt;E165,C163,C165),"")</f>
        <v>Elmo Lageda</v>
      </c>
      <c r="F164" s="755"/>
      <c r="G164" s="851">
        <v>13</v>
      </c>
      <c r="H164" s="858"/>
      <c r="I164" s="807"/>
      <c r="J164" s="807"/>
      <c r="K164" s="1130"/>
      <c r="M164" s="1"/>
    </row>
    <row r="165" spans="1:13" x14ac:dyDescent="0.2">
      <c r="A165" s="595"/>
      <c r="B165" s="595"/>
      <c r="C165" s="865" t="str">
        <f>IF(COUNT(C122,C124)=2,IF(C122&lt;C124,B122,B124),"")</f>
        <v>Elmo Lageda</v>
      </c>
      <c r="D165" s="1128"/>
      <c r="E165" s="856">
        <f>IF(C165="-",0,IF(C163="-",13,""))</f>
        <v>13</v>
      </c>
      <c r="F165" s="1136"/>
      <c r="G165" s="755"/>
      <c r="H165" s="858"/>
      <c r="I165" s="807"/>
      <c r="J165" s="807"/>
      <c r="K165" s="1130"/>
      <c r="M165" s="1"/>
    </row>
    <row r="166" spans="1:13" x14ac:dyDescent="0.2">
      <c r="A166" s="595"/>
      <c r="B166" s="595"/>
      <c r="C166" s="818"/>
      <c r="D166" s="595"/>
      <c r="E166" s="755"/>
      <c r="F166" s="858"/>
      <c r="G166" s="854" t="str">
        <f>IF(COUNT(G164,G168)=2,IF(G164&gt;G168,E164,E168),"")</f>
        <v>Elmo Lageda</v>
      </c>
      <c r="H166" s="860"/>
      <c r="I166" s="856">
        <v>13</v>
      </c>
      <c r="J166" s="807"/>
      <c r="K166" s="1130"/>
      <c r="M166" s="1"/>
    </row>
    <row r="167" spans="1:13" ht="13.5" thickBot="1" x14ac:dyDescent="0.25">
      <c r="A167" s="595"/>
      <c r="B167" s="595"/>
      <c r="C167" s="865" t="str">
        <f>IF(COUNT(C126,C128)=2,IF(C126&lt;C128,B126,B128),"")</f>
        <v>-</v>
      </c>
      <c r="D167" s="595"/>
      <c r="E167" s="851">
        <f>IF(C167="-",0,IF(C169="-",13,""))</f>
        <v>0</v>
      </c>
      <c r="F167" s="858"/>
      <c r="G167" s="859"/>
      <c r="H167" s="807"/>
      <c r="I167" s="807"/>
      <c r="J167" s="951" t="str">
        <f>IF(COUNT(I158,I166)=2,IF(I158&lt;I166,G158,G166),"")</f>
        <v>Peep Peenema</v>
      </c>
      <c r="K167" s="1131"/>
      <c r="M167" s="1"/>
    </row>
    <row r="168" spans="1:13" x14ac:dyDescent="0.2">
      <c r="A168" s="595"/>
      <c r="B168" s="595"/>
      <c r="C168" s="853"/>
      <c r="D168" s="1135"/>
      <c r="E168" s="854" t="str">
        <f>IF(COUNT(E167,E169)=2,IF(E167&gt;E169,C167,C169),"")</f>
        <v>Ljudmila Varendi</v>
      </c>
      <c r="F168" s="860"/>
      <c r="G168" s="856">
        <v>12</v>
      </c>
      <c r="H168" s="755"/>
      <c r="I168" s="807"/>
      <c r="J168" s="827" t="s">
        <v>428</v>
      </c>
      <c r="M168" s="1"/>
    </row>
    <row r="169" spans="1:13" x14ac:dyDescent="0.2">
      <c r="A169" s="595"/>
      <c r="B169" s="595"/>
      <c r="C169" s="865" t="str">
        <f>IF(COUNT(C130,C132)=2,IF(C130&lt;C132,B130,B132),"")</f>
        <v>Ljudmila Varendi</v>
      </c>
      <c r="D169" s="1128"/>
      <c r="E169" s="856">
        <f>IF(C169="-",0,IF(C167="-",13,""))</f>
        <v>13</v>
      </c>
      <c r="F169" s="755"/>
      <c r="G169" s="807"/>
      <c r="H169" s="807"/>
      <c r="I169" s="807"/>
      <c r="J169" s="755"/>
      <c r="M169" s="1"/>
    </row>
    <row r="170" spans="1:13" x14ac:dyDescent="0.2">
      <c r="A170" s="595"/>
      <c r="B170" s="595"/>
      <c r="C170" s="595"/>
      <c r="D170" s="595"/>
      <c r="E170" s="755"/>
      <c r="F170" s="755"/>
      <c r="G170" s="804" t="str">
        <f>IF(COUNT(G156,G160)=2,IF(G156&lt;G160,E156,E160),"")</f>
        <v>Jaan Saar</v>
      </c>
      <c r="H170" s="755"/>
      <c r="I170" s="851">
        <v>12</v>
      </c>
      <c r="J170" s="755"/>
      <c r="M170" s="1"/>
    </row>
    <row r="171" spans="1:13" ht="13.5" thickBot="1" x14ac:dyDescent="0.25">
      <c r="A171" s="595"/>
      <c r="B171" s="595"/>
      <c r="C171" s="595"/>
      <c r="D171" s="595"/>
      <c r="E171" s="755"/>
      <c r="F171" s="755"/>
      <c r="G171" s="863"/>
      <c r="H171" s="1136"/>
      <c r="I171" s="1137"/>
      <c r="J171" s="804" t="str">
        <f>IF(COUNT(I170,I172)=2,IF(I170&gt;I172,G170,G172),"")</f>
        <v>Ljudmila Varendi</v>
      </c>
      <c r="M171" s="1"/>
    </row>
    <row r="172" spans="1:13" x14ac:dyDescent="0.2">
      <c r="A172" s="595"/>
      <c r="B172" s="595"/>
      <c r="C172" s="595"/>
      <c r="D172" s="595"/>
      <c r="E172" s="755"/>
      <c r="F172" s="755"/>
      <c r="G172" s="865" t="str">
        <f>IF(COUNT(G164,G168)=2,IF(G164&lt;G168,E164,E168),"")</f>
        <v>Ljudmila Varendi</v>
      </c>
      <c r="H172" s="860"/>
      <c r="I172" s="871">
        <v>13</v>
      </c>
      <c r="J172" s="810" t="s">
        <v>430</v>
      </c>
      <c r="K172" s="1129"/>
      <c r="M172" s="1"/>
    </row>
    <row r="173" spans="1:13" x14ac:dyDescent="0.2">
      <c r="A173" s="595"/>
      <c r="B173" s="595"/>
      <c r="C173" s="595"/>
      <c r="D173" s="755"/>
      <c r="E173" s="755"/>
      <c r="F173" s="755"/>
      <c r="G173" s="755"/>
      <c r="H173" s="755"/>
      <c r="I173" s="755"/>
      <c r="J173" s="807"/>
      <c r="K173" s="1130"/>
      <c r="M173" s="1"/>
    </row>
    <row r="174" spans="1:13" ht="13.5" thickBot="1" x14ac:dyDescent="0.25">
      <c r="A174" s="595"/>
      <c r="B174" s="595"/>
      <c r="C174" s="595"/>
      <c r="D174" s="755"/>
      <c r="E174" s="755"/>
      <c r="F174" s="755"/>
      <c r="G174" s="807"/>
      <c r="H174" s="807"/>
      <c r="I174" s="755"/>
      <c r="J174" s="951" t="str">
        <f>IF(COUNT(I170,I172)=2,IF(I170&lt;I172,G170,G172),"")</f>
        <v>Jaan Saar</v>
      </c>
      <c r="K174" s="1131"/>
      <c r="M174" s="1"/>
    </row>
    <row r="175" spans="1:13" x14ac:dyDescent="0.2">
      <c r="A175" s="595"/>
      <c r="B175" s="595"/>
      <c r="C175" s="595"/>
      <c r="D175" s="755"/>
      <c r="E175" s="755"/>
      <c r="F175" s="755"/>
      <c r="G175" s="755"/>
      <c r="H175" s="755"/>
      <c r="I175" s="755"/>
      <c r="J175" s="754" t="s">
        <v>431</v>
      </c>
      <c r="M175" s="1"/>
    </row>
    <row r="176" spans="1:13" x14ac:dyDescent="0.2">
      <c r="A176" s="595"/>
      <c r="B176" s="595"/>
      <c r="C176" s="595"/>
      <c r="D176" s="755"/>
      <c r="E176" s="755"/>
      <c r="F176" s="755"/>
      <c r="G176" s="755"/>
      <c r="H176" s="755"/>
      <c r="I176" s="755"/>
      <c r="J176" s="755"/>
      <c r="M176" s="1"/>
    </row>
    <row r="177" spans="1:13" x14ac:dyDescent="0.2">
      <c r="A177" s="595"/>
      <c r="B177" s="595"/>
      <c r="C177" s="595"/>
      <c r="D177" s="755"/>
      <c r="E177" s="865" t="str">
        <f>IF(COUNT(E155,E157)=2,IF(E155&lt;E157,C155,C157),"")</f>
        <v>-</v>
      </c>
      <c r="F177" s="755"/>
      <c r="G177" s="851">
        <f>IF(E177="-",0,IF(E179="-",13,""))</f>
        <v>0</v>
      </c>
      <c r="H177" s="851"/>
      <c r="I177" s="851"/>
      <c r="J177" s="755"/>
      <c r="M177" s="1"/>
    </row>
    <row r="178" spans="1:13" x14ac:dyDescent="0.2">
      <c r="A178" s="595"/>
      <c r="B178" s="595"/>
      <c r="C178" s="595"/>
      <c r="D178" s="755"/>
      <c r="E178" s="866"/>
      <c r="F178" s="867"/>
      <c r="G178" s="854" t="str">
        <f>IF(COUNT(G177,G179)=2,IF(G177&gt;G179,E177,E179),"")</f>
        <v>-</v>
      </c>
      <c r="H178" s="755"/>
      <c r="I178" s="851" t="str">
        <f>IF(G177="-",0,IF(G179="-",13,""))</f>
        <v/>
      </c>
      <c r="J178" s="755"/>
      <c r="M178" s="1"/>
    </row>
    <row r="179" spans="1:13" x14ac:dyDescent="0.2">
      <c r="A179" s="595"/>
      <c r="B179" s="595"/>
      <c r="C179" s="595"/>
      <c r="D179" s="755"/>
      <c r="E179" s="865" t="str">
        <f>IF(COUNT(E159,E161)=2,IF(E159&lt;E161,C159,C161),"")</f>
        <v>-</v>
      </c>
      <c r="F179" s="868"/>
      <c r="G179" s="856">
        <f>IF(E179="-",0,IF(E177="-",13,""))</f>
        <v>0</v>
      </c>
      <c r="H179" s="867"/>
      <c r="I179" s="755"/>
      <c r="J179" s="755"/>
      <c r="M179" s="1"/>
    </row>
    <row r="180" spans="1:13" ht="13.5" thickBot="1" x14ac:dyDescent="0.25">
      <c r="A180" s="595"/>
      <c r="B180" s="595"/>
      <c r="C180" s="595"/>
      <c r="D180" s="755"/>
      <c r="E180" s="851"/>
      <c r="F180" s="851"/>
      <c r="G180" s="869"/>
      <c r="H180" s="870"/>
      <c r="I180" s="1137" t="str">
        <f>IF(COUNT(I178,I182)=2,IF(I178&gt;I182,G178,G182),"")</f>
        <v/>
      </c>
      <c r="J180" s="804" t="str">
        <f>IF(COUNT(I178,I182)=2,IF(I178&gt;I182,G178,G182),"")</f>
        <v/>
      </c>
      <c r="M180" s="1"/>
    </row>
    <row r="181" spans="1:13" x14ac:dyDescent="0.2">
      <c r="A181" s="595"/>
      <c r="B181" s="595"/>
      <c r="C181" s="595"/>
      <c r="D181" s="755"/>
      <c r="E181" s="865" t="str">
        <f>IF(COUNT(E163,E165)=2,IF(E163&lt;E165,C163,C165),"")</f>
        <v>-</v>
      </c>
      <c r="F181" s="851"/>
      <c r="G181" s="851">
        <f>IF(E181="-",0,IF(E183="-",13,""))</f>
        <v>0</v>
      </c>
      <c r="H181" s="870"/>
      <c r="I181" s="862"/>
      <c r="J181" s="810"/>
      <c r="K181" s="1129"/>
      <c r="M181" s="1"/>
    </row>
    <row r="182" spans="1:13" x14ac:dyDescent="0.2">
      <c r="A182" s="595"/>
      <c r="B182" s="595"/>
      <c r="C182" s="595"/>
      <c r="D182" s="755"/>
      <c r="E182" s="866"/>
      <c r="F182" s="867"/>
      <c r="G182" s="854" t="str">
        <f>IF(COUNT(G181,G183)=2,IF(G181&gt;G183,E181,E183),"")</f>
        <v>-</v>
      </c>
      <c r="H182" s="860"/>
      <c r="I182" s="856" t="str">
        <f>IF(G181="-",0,IF(G183="-",13,""))</f>
        <v/>
      </c>
      <c r="J182" s="807"/>
      <c r="K182" s="1130"/>
      <c r="M182" s="1"/>
    </row>
    <row r="183" spans="1:13" ht="13.5" thickBot="1" x14ac:dyDescent="0.25">
      <c r="A183" s="595"/>
      <c r="B183" s="595"/>
      <c r="C183" s="595"/>
      <c r="D183" s="755"/>
      <c r="E183" s="865" t="str">
        <f>IF(COUNT(E167,E169)=2,IF(E167&lt;E169,C167,C169),"")</f>
        <v>-</v>
      </c>
      <c r="F183" s="868"/>
      <c r="G183" s="856">
        <f>IF(E183="-",0,IF(E181="-",13,""))</f>
        <v>0</v>
      </c>
      <c r="H183" s="851"/>
      <c r="I183" s="869"/>
      <c r="J183" s="951" t="str">
        <f>IF(COUNT(I178,I182)=2,IF(I178&lt;I182,G178,G182),"")</f>
        <v/>
      </c>
      <c r="K183" s="1131"/>
      <c r="M183" s="1"/>
    </row>
    <row r="184" spans="1:13" x14ac:dyDescent="0.2">
      <c r="A184" s="595"/>
      <c r="B184" s="595"/>
      <c r="C184" s="595"/>
      <c r="D184" s="755"/>
      <c r="E184" s="851"/>
      <c r="F184" s="851"/>
      <c r="G184" s="851"/>
      <c r="H184" s="851"/>
      <c r="I184" s="869"/>
      <c r="J184" s="827"/>
      <c r="M184" s="1"/>
    </row>
    <row r="185" spans="1:13" x14ac:dyDescent="0.2">
      <c r="A185" s="595"/>
      <c r="B185" s="595"/>
      <c r="C185" s="595"/>
      <c r="D185" s="755"/>
      <c r="E185" s="851"/>
      <c r="F185" s="869"/>
      <c r="G185" s="804" t="str">
        <f>IF(COUNT(G177,G179)=2,IF(G177&lt;G179,E177,E179),"")</f>
        <v>-</v>
      </c>
      <c r="H185" s="755"/>
      <c r="I185" s="851">
        <f>IF(G185="-",0,IF(G187="-",13,""))</f>
        <v>0</v>
      </c>
      <c r="J185" s="807"/>
      <c r="M185" s="1"/>
    </row>
    <row r="186" spans="1:13" ht="13.5" thickBot="1" x14ac:dyDescent="0.25">
      <c r="A186" s="595"/>
      <c r="B186" s="595"/>
      <c r="C186" s="595"/>
      <c r="D186" s="755"/>
      <c r="E186" s="851"/>
      <c r="F186" s="869"/>
      <c r="G186" s="863"/>
      <c r="H186" s="857"/>
      <c r="I186" s="1137" t="str">
        <f>IF(COUNT(I185,I187)=2,IF(I185&gt;I187,G185,G187),"")</f>
        <v>-</v>
      </c>
      <c r="J186" s="804" t="str">
        <f>IF(COUNT(I185,I187)=2,IF(I185&gt;I187,G185,G187),"")</f>
        <v>-</v>
      </c>
      <c r="M186" s="1"/>
    </row>
    <row r="187" spans="1:13" x14ac:dyDescent="0.2">
      <c r="A187" s="595"/>
      <c r="B187" s="595"/>
      <c r="C187" s="595"/>
      <c r="D187" s="755"/>
      <c r="E187" s="851"/>
      <c r="F187" s="869"/>
      <c r="G187" s="865" t="str">
        <f>IF(COUNT(G181,G183)=2,IF(G181&lt;G183,E181,E183),"")</f>
        <v>-</v>
      </c>
      <c r="H187" s="860"/>
      <c r="I187" s="871">
        <f>IF(G187="-",0,IF(G185="-",13,""))</f>
        <v>0</v>
      </c>
      <c r="J187" s="810"/>
      <c r="K187" s="1129"/>
      <c r="M187" s="1"/>
    </row>
    <row r="188" spans="1:13" x14ac:dyDescent="0.2">
      <c r="A188" s="595"/>
      <c r="B188" s="595"/>
      <c r="C188" s="595"/>
      <c r="D188" s="755"/>
      <c r="E188" s="755"/>
      <c r="F188" s="807"/>
      <c r="G188" s="755"/>
      <c r="H188" s="755"/>
      <c r="I188" s="755"/>
      <c r="J188" s="807"/>
      <c r="K188" s="1130"/>
      <c r="M188" s="1"/>
    </row>
    <row r="189" spans="1:13" ht="13.5" thickBot="1" x14ac:dyDescent="0.25">
      <c r="A189" s="595"/>
      <c r="B189" s="595"/>
      <c r="C189" s="595"/>
      <c r="D189" s="755"/>
      <c r="E189" s="755"/>
      <c r="F189" s="755"/>
      <c r="G189" s="807"/>
      <c r="H189" s="807"/>
      <c r="I189" s="755"/>
      <c r="J189" s="938" t="str">
        <f>IF(COUNT(I185,I187)=2,IF(I185&lt;I187,G185,G187),"")</f>
        <v>-</v>
      </c>
      <c r="K189" s="1131"/>
      <c r="M189" s="1"/>
    </row>
    <row r="190" spans="1:13" x14ac:dyDescent="0.2">
      <c r="A190" s="595"/>
      <c r="B190" s="595"/>
      <c r="C190" s="595"/>
      <c r="D190" s="755"/>
      <c r="E190" s="755"/>
      <c r="F190" s="755"/>
      <c r="G190" s="807"/>
      <c r="H190" s="807"/>
      <c r="I190" s="755"/>
      <c r="J190" s="827"/>
      <c r="M190" s="1"/>
    </row>
    <row r="191" spans="1:13" x14ac:dyDescent="0.2">
      <c r="A191" s="595"/>
      <c r="B191" s="595"/>
      <c r="C191" s="595"/>
      <c r="D191" s="595"/>
      <c r="E191" s="595"/>
      <c r="F191" s="595"/>
      <c r="G191" s="595"/>
      <c r="H191" s="595"/>
      <c r="I191" s="595"/>
      <c r="J191" s="595"/>
      <c r="M191" s="1"/>
    </row>
    <row r="192" spans="1:13" x14ac:dyDescent="0.2">
      <c r="A192" s="1127" t="s">
        <v>634</v>
      </c>
      <c r="B192" s="595"/>
      <c r="C192" s="595"/>
      <c r="D192" s="595"/>
      <c r="E192" s="595"/>
      <c r="F192" s="595"/>
      <c r="G192" s="595"/>
      <c r="H192" s="595"/>
      <c r="I192" s="595"/>
      <c r="J192" s="595"/>
      <c r="M192" s="1"/>
    </row>
    <row r="193" spans="1:13" x14ac:dyDescent="0.2">
      <c r="A193" s="595"/>
      <c r="B193" s="595"/>
      <c r="C193" s="595"/>
      <c r="D193" s="595"/>
      <c r="E193" s="595"/>
      <c r="F193" s="595"/>
      <c r="G193" s="595"/>
      <c r="H193" s="595"/>
      <c r="I193" s="595"/>
      <c r="J193" s="595"/>
      <c r="M193" s="1"/>
    </row>
    <row r="194" spans="1:13" x14ac:dyDescent="0.2">
      <c r="A194" s="849" t="s">
        <v>421</v>
      </c>
      <c r="B194" s="850" t="str">
        <f>IF(A194="-","-",IFERROR(INDEX(B$1:B$100,MATCH(A194,I$1:I$100,0)),""))</f>
        <v>Viktor Švarõgin</v>
      </c>
      <c r="C194" s="851">
        <f>IF(B194="-",0,IF(B196="-",13,""))</f>
        <v>13</v>
      </c>
      <c r="D194" s="755"/>
      <c r="E194" s="755"/>
      <c r="F194" s="755"/>
      <c r="G194" s="755"/>
      <c r="H194" s="755"/>
      <c r="I194" s="755"/>
      <c r="J194" s="755"/>
      <c r="M194" s="1"/>
    </row>
    <row r="195" spans="1:13" x14ac:dyDescent="0.2">
      <c r="A195" s="852"/>
      <c r="B195" s="853"/>
      <c r="C195" s="854" t="str">
        <f>IF(COUNT(C194,C196)=2,IF(C194&gt;C196,B194,B196),"")</f>
        <v>Viktor Švarõgin</v>
      </c>
      <c r="D195" s="755"/>
      <c r="E195" s="851">
        <v>13</v>
      </c>
      <c r="F195" s="755"/>
      <c r="G195" s="755"/>
      <c r="H195" s="755"/>
      <c r="I195" s="755"/>
      <c r="J195" s="755"/>
      <c r="M195" s="1"/>
    </row>
    <row r="196" spans="1:13" x14ac:dyDescent="0.2">
      <c r="A196" s="852" t="s">
        <v>424</v>
      </c>
      <c r="B196" s="855" t="str">
        <f>IF(A196="-","-",IFERROR(INDEX(B$1:B$100,MATCH(A196,I$1:I$100,0)),""))</f>
        <v>-</v>
      </c>
      <c r="C196" s="856">
        <f>IF(B196="-",0,IF(B194="-",13,""))</f>
        <v>0</v>
      </c>
      <c r="D196" s="857"/>
      <c r="E196" s="755"/>
      <c r="F196" s="755"/>
      <c r="G196" s="755"/>
      <c r="H196" s="755"/>
      <c r="I196" s="755"/>
      <c r="J196" s="755"/>
      <c r="M196" s="1"/>
    </row>
    <row r="197" spans="1:13" x14ac:dyDescent="0.2">
      <c r="A197" s="852"/>
      <c r="B197" s="818"/>
      <c r="C197" s="755"/>
      <c r="D197" s="858"/>
      <c r="E197" s="854" t="str">
        <f>IF(COUNT(E195,E199)=2,IF(E195&gt;E199,C195,C199),"")</f>
        <v>Viktor Švarõgin</v>
      </c>
      <c r="F197" s="755"/>
      <c r="G197" s="851">
        <v>13</v>
      </c>
      <c r="H197" s="755"/>
      <c r="I197" s="755"/>
      <c r="J197" s="755"/>
      <c r="M197" s="1"/>
    </row>
    <row r="198" spans="1:13" x14ac:dyDescent="0.2">
      <c r="A198" s="852" t="s">
        <v>422</v>
      </c>
      <c r="B198" s="850" t="str">
        <f>IF(A198="-","-",IFERROR(INDEX(B$1:B$100,MATCH(A198,I$1:I$100,0)),""))</f>
        <v>Sirje Viljaste</v>
      </c>
      <c r="C198" s="851">
        <v>13</v>
      </c>
      <c r="D198" s="858"/>
      <c r="E198" s="859"/>
      <c r="F198" s="857"/>
      <c r="G198" s="755"/>
      <c r="H198" s="755"/>
      <c r="I198" s="755"/>
      <c r="J198" s="755"/>
      <c r="M198" s="1"/>
    </row>
    <row r="199" spans="1:13" x14ac:dyDescent="0.2">
      <c r="A199" s="852"/>
      <c r="B199" s="853"/>
      <c r="C199" s="854" t="str">
        <f>IF(COUNT(C198,C200)=2,IF(C198&gt;C200,B198,B200),"")</f>
        <v>Sirje Viljaste</v>
      </c>
      <c r="D199" s="860"/>
      <c r="E199" s="856">
        <v>1</v>
      </c>
      <c r="F199" s="858"/>
      <c r="G199" s="755"/>
      <c r="H199" s="755"/>
      <c r="I199" s="755"/>
      <c r="J199" s="755"/>
      <c r="M199" s="1"/>
    </row>
    <row r="200" spans="1:13" x14ac:dyDescent="0.2">
      <c r="A200" s="852" t="s">
        <v>631</v>
      </c>
      <c r="B200" s="855" t="str">
        <f>IF(A200="-","-",IFERROR(INDEX(B$1:B$100,MATCH(A200,I$1:I$100,0)),""))</f>
        <v>Enn Tokman</v>
      </c>
      <c r="C200" s="970">
        <v>0</v>
      </c>
      <c r="D200" s="755"/>
      <c r="E200" s="807"/>
      <c r="F200" s="858"/>
      <c r="G200" s="755"/>
      <c r="H200" s="755"/>
      <c r="I200" s="755"/>
      <c r="J200" s="755"/>
      <c r="M200" s="1"/>
    </row>
    <row r="201" spans="1:13" x14ac:dyDescent="0.2">
      <c r="A201" s="754"/>
      <c r="B201" s="818"/>
      <c r="C201" s="755"/>
      <c r="D201" s="755"/>
      <c r="E201" s="807"/>
      <c r="F201" s="858"/>
      <c r="G201" s="755" t="str">
        <f>IF(COUNT(G197,G205)=2,IF(G197&gt;G205,E197,E205),"")</f>
        <v>Viktor Švarõgin</v>
      </c>
      <c r="H201" s="755"/>
      <c r="I201" s="851">
        <v>13</v>
      </c>
      <c r="J201" s="755"/>
      <c r="M201" s="1"/>
    </row>
    <row r="202" spans="1:13" x14ac:dyDescent="0.2">
      <c r="A202" s="849" t="s">
        <v>625</v>
      </c>
      <c r="B202" s="850" t="str">
        <f>IF(A202="-","-",IFERROR(INDEX(B$1:B$100,MATCH(A202,I$1:I$100,0)),""))</f>
        <v>Vello Vasser</v>
      </c>
      <c r="C202" s="851">
        <f>IF(B202="-",0,IF(B204="-",13,""))</f>
        <v>13</v>
      </c>
      <c r="D202" s="755"/>
      <c r="E202" s="755"/>
      <c r="F202" s="858"/>
      <c r="G202" s="859"/>
      <c r="H202" s="857"/>
      <c r="I202" s="755"/>
      <c r="J202" s="755"/>
      <c r="M202" s="1"/>
    </row>
    <row r="203" spans="1:13" x14ac:dyDescent="0.2">
      <c r="A203" s="852"/>
      <c r="B203" s="853"/>
      <c r="C203" s="854" t="str">
        <f>IF(COUNT(C202,C204)=2,IF(C202&gt;C204,B202,B204),"")</f>
        <v>Vello Vasser</v>
      </c>
      <c r="D203" s="755"/>
      <c r="E203" s="851">
        <v>13</v>
      </c>
      <c r="F203" s="858"/>
      <c r="G203" s="807"/>
      <c r="H203" s="858"/>
      <c r="I203" s="755"/>
      <c r="J203" s="755"/>
      <c r="M203" s="1"/>
    </row>
    <row r="204" spans="1:13" x14ac:dyDescent="0.2">
      <c r="A204" s="852" t="s">
        <v>429</v>
      </c>
      <c r="B204" s="855" t="str">
        <f>IF(A204="-","-",IFERROR(INDEX(B$1:B$100,MATCH(A204,I$1:I$100,0)),""))</f>
        <v>-</v>
      </c>
      <c r="C204" s="856">
        <f>IF(B204="-",0,IF(B202="-",13,""))</f>
        <v>0</v>
      </c>
      <c r="D204" s="857"/>
      <c r="E204" s="755"/>
      <c r="F204" s="858"/>
      <c r="G204" s="807"/>
      <c r="H204" s="858"/>
      <c r="I204" s="755"/>
      <c r="J204" s="755"/>
      <c r="M204" s="1"/>
    </row>
    <row r="205" spans="1:13" x14ac:dyDescent="0.2">
      <c r="A205" s="852"/>
      <c r="B205" s="818"/>
      <c r="C205" s="755"/>
      <c r="D205" s="858"/>
      <c r="E205" s="854" t="str">
        <f>IF(COUNT(E203,E207)=2,IF(E203&gt;E207,C203,C207),"")</f>
        <v>Vello Vasser</v>
      </c>
      <c r="F205" s="860"/>
      <c r="G205" s="856">
        <v>8</v>
      </c>
      <c r="H205" s="858"/>
      <c r="I205" s="755"/>
      <c r="J205" s="755"/>
      <c r="M205" s="1"/>
    </row>
    <row r="206" spans="1:13" x14ac:dyDescent="0.2">
      <c r="A206" s="852" t="s">
        <v>424</v>
      </c>
      <c r="B206" s="850" t="str">
        <f>IF(A206="-","-",IFERROR(INDEX(B$1:B$100,MATCH(A206,I$1:I$100,0)),""))</f>
        <v>-</v>
      </c>
      <c r="C206" s="851">
        <f>IF(B206="-",0,IF(B208="-",13,""))</f>
        <v>0</v>
      </c>
      <c r="D206" s="858"/>
      <c r="E206" s="859"/>
      <c r="F206" s="807"/>
      <c r="G206" s="807"/>
      <c r="H206" s="858"/>
      <c r="I206" s="755"/>
      <c r="J206" s="755"/>
      <c r="M206" s="1"/>
    </row>
    <row r="207" spans="1:13" x14ac:dyDescent="0.2">
      <c r="A207" s="852"/>
      <c r="B207" s="853"/>
      <c r="C207" s="854" t="str">
        <f>IF(COUNT(C206,C208)=2,IF(C206&gt;C208,B206,B208),"")</f>
        <v>Jaan Sepp</v>
      </c>
      <c r="D207" s="860"/>
      <c r="E207" s="856">
        <v>12</v>
      </c>
      <c r="F207" s="755"/>
      <c r="G207" s="807"/>
      <c r="H207" s="858"/>
      <c r="I207" s="755"/>
      <c r="J207" s="755"/>
      <c r="M207" s="1"/>
    </row>
    <row r="208" spans="1:13" x14ac:dyDescent="0.2">
      <c r="A208" s="852" t="s">
        <v>427</v>
      </c>
      <c r="B208" s="855" t="str">
        <f>IF(A208="-","-",IFERROR(INDEX(B$1:B$100,MATCH(A208,I$1:I$100,0)),""))</f>
        <v>Jaan Sepp</v>
      </c>
      <c r="C208" s="856">
        <f>IF(B208="-",0,IF(B206="-",13,""))</f>
        <v>13</v>
      </c>
      <c r="D208" s="755"/>
      <c r="E208" s="807"/>
      <c r="F208" s="807"/>
      <c r="G208" s="807"/>
      <c r="H208" s="858"/>
      <c r="I208" s="755"/>
      <c r="J208" s="755"/>
      <c r="M208" s="1"/>
    </row>
    <row r="209" spans="1:13" ht="13.5" thickBot="1" x14ac:dyDescent="0.25">
      <c r="A209" s="754"/>
      <c r="B209" s="818"/>
      <c r="C209" s="755"/>
      <c r="D209" s="755"/>
      <c r="E209" s="755"/>
      <c r="F209" s="755"/>
      <c r="G209" s="807"/>
      <c r="H209" s="858"/>
      <c r="I209" s="755"/>
      <c r="J209" s="804" t="str">
        <f>IF(COUNT(I201,I217)=2,IF(I201&gt;I217,G201,G217),"")</f>
        <v>Viktor Švarõgin</v>
      </c>
      <c r="M209" s="1"/>
    </row>
    <row r="210" spans="1:13" x14ac:dyDescent="0.2">
      <c r="A210" s="849" t="s">
        <v>425</v>
      </c>
      <c r="B210" s="850" t="str">
        <f>IF(A210="-","-",IFERROR(INDEX(B$1:B$100,MATCH(A210,I$1:I$100,0)),""))</f>
        <v>Karla Purgats</v>
      </c>
      <c r="C210" s="851">
        <f>IF(B210="-",0,IF(B212="-",13,""))</f>
        <v>13</v>
      </c>
      <c r="D210" s="755"/>
      <c r="E210" s="755"/>
      <c r="F210" s="755"/>
      <c r="G210" s="807"/>
      <c r="H210" s="858"/>
      <c r="I210" s="862"/>
      <c r="J210" s="810" t="s">
        <v>432</v>
      </c>
      <c r="K210" s="1129"/>
      <c r="M210" s="1"/>
    </row>
    <row r="211" spans="1:13" x14ac:dyDescent="0.2">
      <c r="A211" s="852"/>
      <c r="B211" s="853"/>
      <c r="C211" s="854" t="str">
        <f>IF(COUNT(C210,C212)=2,IF(C210&gt;C212,B210,B212),"")</f>
        <v>Karla Purgats</v>
      </c>
      <c r="D211" s="755"/>
      <c r="E211" s="952">
        <v>0</v>
      </c>
      <c r="F211" s="755"/>
      <c r="G211" s="807"/>
      <c r="H211" s="858"/>
      <c r="I211" s="755"/>
      <c r="J211" s="807"/>
      <c r="K211" s="1130"/>
      <c r="M211" s="1"/>
    </row>
    <row r="212" spans="1:13" x14ac:dyDescent="0.2">
      <c r="A212" s="852" t="s">
        <v>424</v>
      </c>
      <c r="B212" s="855" t="str">
        <f>IF(A212="-","-",IFERROR(INDEX(B$1:B$100,MATCH(A212,I$1:I$100,0)),""))</f>
        <v>-</v>
      </c>
      <c r="C212" s="856">
        <f>IF(B212="-",0,IF(B210="-",13,""))</f>
        <v>0</v>
      </c>
      <c r="D212" s="857"/>
      <c r="E212" s="755"/>
      <c r="F212" s="755"/>
      <c r="G212" s="807"/>
      <c r="H212" s="858"/>
      <c r="I212" s="755"/>
      <c r="J212" s="807"/>
      <c r="K212" s="1130"/>
      <c r="M212" s="1"/>
    </row>
    <row r="213" spans="1:13" x14ac:dyDescent="0.2">
      <c r="A213" s="852"/>
      <c r="B213" s="818"/>
      <c r="C213" s="755"/>
      <c r="D213" s="858"/>
      <c r="E213" s="854" t="str">
        <f>IF(COUNT(E211,E215)=2,IF(E211&gt;E215,C211,C215),"")</f>
        <v>Janek Tarto</v>
      </c>
      <c r="F213" s="755"/>
      <c r="G213" s="851">
        <v>7</v>
      </c>
      <c r="H213" s="858"/>
      <c r="I213" s="755"/>
      <c r="J213" s="807"/>
      <c r="K213" s="1130"/>
      <c r="M213" s="1"/>
    </row>
    <row r="214" spans="1:13" x14ac:dyDescent="0.2">
      <c r="A214" s="852" t="s">
        <v>440</v>
      </c>
      <c r="B214" s="850" t="str">
        <f>IF(A214="-","-",IFERROR(INDEX(B$1:B$100,MATCH(A214,I$1:I$100,0)),""))</f>
        <v>Janek Tarto</v>
      </c>
      <c r="C214" s="851">
        <v>13</v>
      </c>
      <c r="D214" s="858"/>
      <c r="E214" s="859"/>
      <c r="F214" s="857"/>
      <c r="G214" s="755"/>
      <c r="H214" s="858"/>
      <c r="I214" s="755"/>
      <c r="J214" s="807"/>
      <c r="K214" s="1130"/>
      <c r="M214" s="1"/>
    </row>
    <row r="215" spans="1:13" x14ac:dyDescent="0.2">
      <c r="A215" s="852"/>
      <c r="B215" s="853"/>
      <c r="C215" s="854" t="str">
        <f>IF(COUNT(C214,C216)=2,IF(C214&gt;C216,B214,B216),"")</f>
        <v>Janek Tarto</v>
      </c>
      <c r="D215" s="860"/>
      <c r="E215" s="856">
        <v>13</v>
      </c>
      <c r="F215" s="858"/>
      <c r="G215" s="755"/>
      <c r="H215" s="858"/>
      <c r="I215" s="755"/>
      <c r="J215" s="807"/>
      <c r="K215" s="1130"/>
      <c r="M215" s="1"/>
    </row>
    <row r="216" spans="1:13" x14ac:dyDescent="0.2">
      <c r="A216" s="852" t="s">
        <v>632</v>
      </c>
      <c r="B216" s="855" t="str">
        <f>IF(A216="-","-",IFERROR(INDEX(B$1:B$100,MATCH(A216,I$1:I$100,0)),""))</f>
        <v>Andres Veski</v>
      </c>
      <c r="C216" s="856">
        <v>9</v>
      </c>
      <c r="D216" s="755"/>
      <c r="E216" s="807"/>
      <c r="F216" s="858"/>
      <c r="G216" s="755"/>
      <c r="H216" s="858"/>
      <c r="I216" s="755"/>
      <c r="J216" s="807"/>
      <c r="K216" s="1130"/>
      <c r="M216" s="1"/>
    </row>
    <row r="217" spans="1:13" x14ac:dyDescent="0.2">
      <c r="A217" s="754"/>
      <c r="B217" s="818"/>
      <c r="C217" s="755"/>
      <c r="D217" s="755"/>
      <c r="E217" s="807"/>
      <c r="F217" s="858"/>
      <c r="G217" s="755" t="str">
        <f>IF(COUNT(G213,G221)=2,IF(G213&gt;G221,E213,E221),"")</f>
        <v>Oleg Rõndenkov</v>
      </c>
      <c r="H217" s="860"/>
      <c r="I217" s="856">
        <v>9</v>
      </c>
      <c r="J217" s="807"/>
      <c r="K217" s="1130"/>
      <c r="M217" s="1"/>
    </row>
    <row r="218" spans="1:13" ht="13.5" thickBot="1" x14ac:dyDescent="0.25">
      <c r="A218" s="849" t="s">
        <v>624</v>
      </c>
      <c r="B218" s="850" t="str">
        <f>IF(A218="-","-",IFERROR(INDEX(B$1:B$100,MATCH(A218,I$1:I$100,0)),""))</f>
        <v>Oleg Rõndenkov</v>
      </c>
      <c r="C218" s="851">
        <f>IF(B218="-",0,IF(B220="-",13,""))</f>
        <v>13</v>
      </c>
      <c r="D218" s="755"/>
      <c r="E218" s="755"/>
      <c r="F218" s="858"/>
      <c r="G218" s="859"/>
      <c r="H218" s="755"/>
      <c r="I218" s="755"/>
      <c r="J218" s="951" t="str">
        <f>IF(COUNT(I201,I217)=2,IF(I201&lt;I217,G201,G217),"")</f>
        <v>Oleg Rõndenkov</v>
      </c>
      <c r="K218" s="1131"/>
      <c r="M218" s="1"/>
    </row>
    <row r="219" spans="1:13" x14ac:dyDescent="0.2">
      <c r="A219" s="852"/>
      <c r="B219" s="853"/>
      <c r="C219" s="854" t="str">
        <f>IF(COUNT(C218,C220)=2,IF(C218&gt;C220,B218,B220),"")</f>
        <v>Oleg Rõndenkov</v>
      </c>
      <c r="D219" s="755"/>
      <c r="E219" s="851">
        <v>13</v>
      </c>
      <c r="F219" s="858"/>
      <c r="G219" s="807"/>
      <c r="H219" s="755"/>
      <c r="I219" s="755"/>
      <c r="J219" s="827" t="s">
        <v>433</v>
      </c>
      <c r="M219" s="1"/>
    </row>
    <row r="220" spans="1:13" x14ac:dyDescent="0.2">
      <c r="A220" s="852" t="s">
        <v>424</v>
      </c>
      <c r="B220" s="855" t="str">
        <f>IF(A220="-","-",IFERROR(INDEX(B$1:B$100,MATCH(A220,I$1:I$100,0)),""))</f>
        <v>-</v>
      </c>
      <c r="C220" s="856">
        <f>IF(B220="-",0,IF(B218="-",13,""))</f>
        <v>0</v>
      </c>
      <c r="D220" s="857"/>
      <c r="E220" s="755"/>
      <c r="F220" s="858"/>
      <c r="G220" s="807"/>
      <c r="H220" s="755"/>
      <c r="I220" s="755"/>
      <c r="J220" s="755"/>
      <c r="M220" s="1"/>
    </row>
    <row r="221" spans="1:13" x14ac:dyDescent="0.2">
      <c r="A221" s="852"/>
      <c r="B221" s="818"/>
      <c r="C221" s="755"/>
      <c r="D221" s="858"/>
      <c r="E221" s="854" t="str">
        <f>IF(COUNT(E219,E223)=2,IF(E219&gt;E223,C219,C223),"")</f>
        <v>Oleg Rõndenkov</v>
      </c>
      <c r="F221" s="860"/>
      <c r="G221" s="856">
        <v>13</v>
      </c>
      <c r="H221" s="755"/>
      <c r="I221" s="755"/>
      <c r="J221" s="755"/>
      <c r="M221" s="1"/>
    </row>
    <row r="222" spans="1:13" x14ac:dyDescent="0.2">
      <c r="A222" s="852" t="s">
        <v>507</v>
      </c>
      <c r="B222" s="850" t="str">
        <f>IF(A222="-","-",IFERROR(INDEX(B$1:B$100,MATCH(A222,I$1:I$100,0)),""))</f>
        <v>Illar Tõnurist</v>
      </c>
      <c r="C222" s="851">
        <v>3</v>
      </c>
      <c r="D222" s="858"/>
      <c r="E222" s="859"/>
      <c r="F222" s="807"/>
      <c r="G222" s="807"/>
      <c r="H222" s="755"/>
      <c r="I222" s="755"/>
      <c r="J222" s="755"/>
      <c r="M222" s="1"/>
    </row>
    <row r="223" spans="1:13" x14ac:dyDescent="0.2">
      <c r="A223" s="852"/>
      <c r="B223" s="853"/>
      <c r="C223" s="854" t="str">
        <f>IF(COUNT(C222,C224)=2,IF(C222&gt;C224,B222,B224),"")</f>
        <v>Klavdia Piik</v>
      </c>
      <c r="D223" s="860"/>
      <c r="E223" s="856">
        <v>11</v>
      </c>
      <c r="F223" s="755"/>
      <c r="G223" s="807" t="str">
        <f>IF(COUNT(G197,G205)=2,IF(G197&lt;G205,E197,E205),"")</f>
        <v>Vello Vasser</v>
      </c>
      <c r="H223" s="755"/>
      <c r="I223" s="851">
        <v>13</v>
      </c>
      <c r="J223" s="755"/>
      <c r="M223" s="1"/>
    </row>
    <row r="224" spans="1:13" ht="13.5" thickBot="1" x14ac:dyDescent="0.25">
      <c r="A224" s="852" t="s">
        <v>423</v>
      </c>
      <c r="B224" s="855" t="str">
        <f>IF(A224="-","-",IFERROR(INDEX(B$1:B$100,MATCH(A224,I$1:I$100,0)),""))</f>
        <v>Klavdia Piik</v>
      </c>
      <c r="C224" s="856">
        <v>13</v>
      </c>
      <c r="D224" s="755"/>
      <c r="E224" s="807"/>
      <c r="F224" s="807"/>
      <c r="G224" s="863"/>
      <c r="H224" s="857"/>
      <c r="I224" s="1137"/>
      <c r="J224" s="804" t="str">
        <f>IF(COUNT(I223,I225)=2,IF(I223&gt;I225,G223,G225),"")</f>
        <v>Vello Vasser</v>
      </c>
      <c r="M224" s="1"/>
    </row>
    <row r="225" spans="1:13" x14ac:dyDescent="0.2">
      <c r="A225" s="755"/>
      <c r="B225" s="755"/>
      <c r="C225" s="755"/>
      <c r="D225" s="755"/>
      <c r="E225" s="755"/>
      <c r="F225" s="807"/>
      <c r="G225" s="865" t="str">
        <f>IF(COUNT(G213,G221)=2,IF(G213&lt;G221,E213,E221),"")</f>
        <v>Janek Tarto</v>
      </c>
      <c r="H225" s="860"/>
      <c r="I225" s="871">
        <v>12</v>
      </c>
      <c r="J225" s="810" t="s">
        <v>530</v>
      </c>
      <c r="K225" s="1129"/>
      <c r="M225" s="1"/>
    </row>
    <row r="226" spans="1:13" x14ac:dyDescent="0.2">
      <c r="A226" s="755"/>
      <c r="B226" s="755"/>
      <c r="C226" s="755"/>
      <c r="D226" s="755"/>
      <c r="E226" s="755"/>
      <c r="F226" s="807"/>
      <c r="G226" s="755"/>
      <c r="H226" s="755"/>
      <c r="I226" s="755"/>
      <c r="J226" s="807"/>
      <c r="K226" s="1130"/>
      <c r="M226" s="1"/>
    </row>
    <row r="227" spans="1:13" ht="13.5" thickBot="1" x14ac:dyDescent="0.25">
      <c r="A227" s="755"/>
      <c r="B227" s="755"/>
      <c r="C227" s="755"/>
      <c r="D227" s="755"/>
      <c r="E227" s="755"/>
      <c r="F227" s="807"/>
      <c r="G227" s="807"/>
      <c r="H227" s="807"/>
      <c r="I227" s="755"/>
      <c r="J227" s="951" t="str">
        <f>IF(COUNT(I223,I225)=2,IF(I223&lt;I225,G223,G225),"")</f>
        <v>Janek Tarto</v>
      </c>
      <c r="K227" s="1131"/>
      <c r="M227" s="1"/>
    </row>
    <row r="228" spans="1:13" x14ac:dyDescent="0.2">
      <c r="A228" s="755"/>
      <c r="B228" s="755"/>
      <c r="C228" s="755"/>
      <c r="D228" s="755"/>
      <c r="E228" s="755"/>
      <c r="F228" s="755"/>
      <c r="G228" s="807"/>
      <c r="H228" s="807"/>
      <c r="I228" s="755"/>
      <c r="J228" s="754" t="s">
        <v>531</v>
      </c>
      <c r="M228" s="1"/>
    </row>
    <row r="229" spans="1:13" x14ac:dyDescent="0.2">
      <c r="A229" s="755"/>
      <c r="B229" s="755"/>
      <c r="C229" s="755"/>
      <c r="D229" s="755"/>
      <c r="E229" s="755"/>
      <c r="F229" s="755"/>
      <c r="G229" s="807"/>
      <c r="H229" s="807"/>
      <c r="I229" s="755"/>
      <c r="J229" s="754"/>
      <c r="M229" s="1"/>
    </row>
    <row r="230" spans="1:13" x14ac:dyDescent="0.2">
      <c r="A230" s="755"/>
      <c r="B230" s="755"/>
      <c r="C230" s="755"/>
      <c r="D230" s="755"/>
      <c r="E230" s="865" t="str">
        <f>IF(COUNT(E195,E199)=2,IF(E195&lt;E199,C195,C199),"")</f>
        <v>Sirje Viljaste</v>
      </c>
      <c r="F230" s="755"/>
      <c r="G230" s="952">
        <v>0</v>
      </c>
      <c r="H230" s="851"/>
      <c r="I230" s="851"/>
      <c r="J230" s="755"/>
      <c r="M230" s="1"/>
    </row>
    <row r="231" spans="1:13" x14ac:dyDescent="0.2">
      <c r="A231" s="755"/>
      <c r="B231" s="755"/>
      <c r="C231" s="755"/>
      <c r="D231" s="755"/>
      <c r="E231" s="866"/>
      <c r="F231" s="867"/>
      <c r="G231" s="854" t="str">
        <f>IF(COUNT(G230,G232)=2,IF(G230&gt;G232,E230,E232),"")</f>
        <v>Jaan Sepp</v>
      </c>
      <c r="H231" s="755"/>
      <c r="I231" s="851">
        <v>13</v>
      </c>
      <c r="J231" s="755"/>
      <c r="M231" s="1"/>
    </row>
    <row r="232" spans="1:13" x14ac:dyDescent="0.2">
      <c r="A232" s="755"/>
      <c r="B232" s="755"/>
      <c r="C232" s="755"/>
      <c r="D232" s="755"/>
      <c r="E232" s="865" t="str">
        <f>IF(COUNT(E203,E207)=2,IF(E203&lt;E207,C203,C207),"")</f>
        <v>Jaan Sepp</v>
      </c>
      <c r="F232" s="868"/>
      <c r="G232" s="856">
        <v>13</v>
      </c>
      <c r="H232" s="867"/>
      <c r="I232" s="755"/>
      <c r="J232" s="755"/>
      <c r="M232" s="1"/>
    </row>
    <row r="233" spans="1:13" ht="13.5" thickBot="1" x14ac:dyDescent="0.25">
      <c r="A233" s="755"/>
      <c r="B233" s="755"/>
      <c r="C233" s="755"/>
      <c r="D233" s="755"/>
      <c r="E233" s="851"/>
      <c r="F233" s="851"/>
      <c r="G233" s="869"/>
      <c r="H233" s="870"/>
      <c r="I233" s="1137"/>
      <c r="J233" s="804" t="str">
        <f>IF(COUNT(I231,I235)=2,IF(I231&gt;I235,G231,G235),"")</f>
        <v>Jaan Sepp</v>
      </c>
      <c r="M233" s="1"/>
    </row>
    <row r="234" spans="1:13" x14ac:dyDescent="0.2">
      <c r="A234" s="755"/>
      <c r="B234" s="755"/>
      <c r="C234" s="755"/>
      <c r="D234" s="755"/>
      <c r="E234" s="865" t="str">
        <f>IF(COUNT(E211,E215)=2,IF(E211&lt;E215,C211,C215),"")</f>
        <v>Karla Purgats</v>
      </c>
      <c r="F234" s="851"/>
      <c r="G234" s="851">
        <v>3</v>
      </c>
      <c r="H234" s="870"/>
      <c r="I234" s="862"/>
      <c r="J234" s="810" t="s">
        <v>533</v>
      </c>
      <c r="K234" s="1129"/>
      <c r="M234" s="1"/>
    </row>
    <row r="235" spans="1:13" x14ac:dyDescent="0.2">
      <c r="A235" s="755"/>
      <c r="B235" s="755"/>
      <c r="C235" s="755"/>
      <c r="D235" s="755"/>
      <c r="E235" s="866"/>
      <c r="F235" s="867"/>
      <c r="G235" s="854" t="str">
        <f>IF(COUNT(G234,G236)=2,IF(G234&gt;G236,E234,E236),"")</f>
        <v>Klavdia Piik</v>
      </c>
      <c r="H235" s="860"/>
      <c r="I235" s="856">
        <v>4</v>
      </c>
      <c r="J235" s="807"/>
      <c r="K235" s="1130"/>
      <c r="M235" s="1"/>
    </row>
    <row r="236" spans="1:13" ht="13.5" thickBot="1" x14ac:dyDescent="0.25">
      <c r="A236" s="755"/>
      <c r="B236" s="755"/>
      <c r="C236" s="755"/>
      <c r="D236" s="755"/>
      <c r="E236" s="865" t="str">
        <f>IF(COUNT(E219,E223)=2,IF(E219&lt;E223,C219,C223),"")</f>
        <v>Klavdia Piik</v>
      </c>
      <c r="F236" s="868"/>
      <c r="G236" s="856">
        <v>13</v>
      </c>
      <c r="H236" s="851"/>
      <c r="I236" s="869"/>
      <c r="J236" s="951" t="str">
        <f>IF(COUNT(I231,I235)=2,IF(I231&lt;I235,G231,G235),"")</f>
        <v>Klavdia Piik</v>
      </c>
      <c r="K236" s="1131"/>
      <c r="M236" s="1"/>
    </row>
    <row r="237" spans="1:13" x14ac:dyDescent="0.2">
      <c r="A237" s="755"/>
      <c r="B237" s="755"/>
      <c r="C237" s="755"/>
      <c r="D237" s="755"/>
      <c r="E237" s="851"/>
      <c r="F237" s="851"/>
      <c r="G237" s="851"/>
      <c r="H237" s="851"/>
      <c r="I237" s="869"/>
      <c r="J237" s="827" t="s">
        <v>534</v>
      </c>
      <c r="M237" s="1"/>
    </row>
    <row r="238" spans="1:13" x14ac:dyDescent="0.2">
      <c r="A238" s="755"/>
      <c r="B238" s="755"/>
      <c r="C238" s="755"/>
      <c r="D238" s="755"/>
      <c r="E238" s="851"/>
      <c r="F238" s="869"/>
      <c r="G238" s="804" t="str">
        <f>IF(COUNT(G230,G232)=2,IF(G230&lt;G232,E230,E232),"")</f>
        <v>Sirje Viljaste</v>
      </c>
      <c r="H238" s="755"/>
      <c r="I238" s="851">
        <v>13</v>
      </c>
      <c r="J238" s="807"/>
      <c r="M238" s="1"/>
    </row>
    <row r="239" spans="1:13" ht="13.5" thickBot="1" x14ac:dyDescent="0.25">
      <c r="A239" s="755"/>
      <c r="B239" s="755"/>
      <c r="C239" s="755"/>
      <c r="D239" s="755"/>
      <c r="E239" s="851"/>
      <c r="F239" s="869"/>
      <c r="G239" s="863"/>
      <c r="H239" s="857"/>
      <c r="I239" s="1137"/>
      <c r="J239" s="804" t="str">
        <f>IF(COUNT(I238,I240)=2,IF(I238&gt;I240,G238,G240),"")</f>
        <v>Sirje Viljaste</v>
      </c>
      <c r="M239" s="1"/>
    </row>
    <row r="240" spans="1:13" x14ac:dyDescent="0.2">
      <c r="A240" s="755"/>
      <c r="B240" s="755"/>
      <c r="C240" s="755"/>
      <c r="D240" s="755"/>
      <c r="E240" s="851"/>
      <c r="F240" s="869"/>
      <c r="G240" s="865" t="str">
        <f>IF(COUNT(G234,G236)=2,IF(G234&lt;G236,E234,E236),"")</f>
        <v>Karla Purgats</v>
      </c>
      <c r="H240" s="860"/>
      <c r="I240" s="871">
        <v>8</v>
      </c>
      <c r="J240" s="810" t="s">
        <v>535</v>
      </c>
      <c r="K240" s="1129"/>
      <c r="M240" s="1"/>
    </row>
    <row r="241" spans="1:13" x14ac:dyDescent="0.2">
      <c r="A241" s="755"/>
      <c r="B241" s="755"/>
      <c r="C241" s="755"/>
      <c r="D241" s="755"/>
      <c r="E241" s="755"/>
      <c r="F241" s="807"/>
      <c r="G241" s="755"/>
      <c r="H241" s="755"/>
      <c r="I241" s="755"/>
      <c r="J241" s="807"/>
      <c r="K241" s="1130"/>
      <c r="M241" s="1"/>
    </row>
    <row r="242" spans="1:13" ht="13.5" thickBot="1" x14ac:dyDescent="0.25">
      <c r="A242" s="755"/>
      <c r="B242" s="755"/>
      <c r="C242" s="755"/>
      <c r="D242" s="755"/>
      <c r="E242" s="755"/>
      <c r="F242" s="755"/>
      <c r="G242" s="807"/>
      <c r="H242" s="807"/>
      <c r="I242" s="755"/>
      <c r="J242" s="938" t="str">
        <f>IF(COUNT(I238,I240)=2,IF(I238&lt;I240,G238,G240),"")</f>
        <v>Karla Purgats</v>
      </c>
      <c r="K242" s="1131"/>
      <c r="M242" s="1"/>
    </row>
    <row r="243" spans="1:13" x14ac:dyDescent="0.2">
      <c r="A243" s="755"/>
      <c r="B243" s="755"/>
      <c r="C243" s="755"/>
      <c r="D243" s="755"/>
      <c r="E243" s="755"/>
      <c r="F243" s="755"/>
      <c r="G243" s="807"/>
      <c r="H243" s="807"/>
      <c r="I243" s="755"/>
      <c r="J243" s="827" t="s">
        <v>536</v>
      </c>
      <c r="M243" s="1"/>
    </row>
    <row r="244" spans="1:13" x14ac:dyDescent="0.2">
      <c r="A244" s="595"/>
      <c r="B244" s="595"/>
      <c r="C244" s="595"/>
      <c r="D244" s="595"/>
      <c r="E244" s="595"/>
      <c r="F244" s="595"/>
      <c r="G244" s="595"/>
      <c r="H244" s="595"/>
      <c r="I244" s="595"/>
      <c r="J244" s="595"/>
      <c r="M244" s="1"/>
    </row>
    <row r="245" spans="1:13" x14ac:dyDescent="0.2">
      <c r="A245" s="1127" t="s">
        <v>529</v>
      </c>
      <c r="B245" s="595"/>
      <c r="C245" s="595"/>
      <c r="D245" s="595"/>
      <c r="E245" s="595"/>
      <c r="F245" s="595"/>
      <c r="G245" s="595"/>
      <c r="H245" s="595"/>
      <c r="I245" s="595"/>
      <c r="J245" s="595"/>
      <c r="M245" s="1"/>
    </row>
    <row r="246" spans="1:13" x14ac:dyDescent="0.2">
      <c r="A246" s="595"/>
      <c r="B246" s="595"/>
      <c r="C246" s="595"/>
      <c r="D246" s="595"/>
      <c r="E246" s="595"/>
      <c r="F246" s="595"/>
      <c r="G246" s="595"/>
      <c r="H246" s="595"/>
      <c r="I246" s="595"/>
      <c r="J246" s="595"/>
      <c r="M246" s="1"/>
    </row>
    <row r="247" spans="1:13" x14ac:dyDescent="0.2">
      <c r="A247" s="595"/>
      <c r="B247" s="595"/>
      <c r="C247" s="865" t="str">
        <f>IF(COUNT(C194,C196)=2,IF(C194&lt;C196,B194,B196),"")</f>
        <v>-</v>
      </c>
      <c r="D247" s="595"/>
      <c r="E247" s="851">
        <f>IF(C247="-",0,IF(C249="-",13,""))</f>
        <v>0</v>
      </c>
      <c r="F247" s="755"/>
      <c r="G247" s="755"/>
      <c r="H247" s="755"/>
      <c r="I247" s="755"/>
      <c r="J247" s="755"/>
      <c r="M247" s="1"/>
    </row>
    <row r="248" spans="1:13" x14ac:dyDescent="0.2">
      <c r="A248" s="595"/>
      <c r="B248" s="595"/>
      <c r="C248" s="853"/>
      <c r="D248" s="1135"/>
      <c r="E248" s="854" t="str">
        <f>IF(COUNT(E247,E249)=2,IF(E247&gt;E249,C247,C249),"")</f>
        <v>Enn Tokman</v>
      </c>
      <c r="F248" s="755"/>
      <c r="G248" s="851">
        <f>IF(E248="-",0,IF(E252="-",13,""))</f>
        <v>13</v>
      </c>
      <c r="H248" s="755"/>
      <c r="I248" s="755"/>
      <c r="J248" s="755"/>
      <c r="M248" s="1"/>
    </row>
    <row r="249" spans="1:13" x14ac:dyDescent="0.2">
      <c r="A249" s="595"/>
      <c r="B249" s="595"/>
      <c r="C249" s="865" t="str">
        <f>IF(COUNT(C198,C200)=2,IF(C198&lt;C200,B198,B200),"")</f>
        <v>Enn Tokman</v>
      </c>
      <c r="D249" s="1128"/>
      <c r="E249" s="856">
        <f>IF(C249="-",0,IF(C247="-",13,""))</f>
        <v>13</v>
      </c>
      <c r="F249" s="1136"/>
      <c r="G249" s="755"/>
      <c r="H249" s="755"/>
      <c r="I249" s="755"/>
      <c r="J249" s="755"/>
      <c r="M249" s="1"/>
    </row>
    <row r="250" spans="1:13" x14ac:dyDescent="0.2">
      <c r="A250" s="595"/>
      <c r="B250" s="595"/>
      <c r="C250" s="818"/>
      <c r="D250" s="595"/>
      <c r="E250" s="755"/>
      <c r="F250" s="858"/>
      <c r="G250" s="854" t="str">
        <f>IF(COUNT(G248,G252)=2,IF(G248&gt;G252,E248,E252),"")</f>
        <v>Enn Tokman</v>
      </c>
      <c r="H250" s="755"/>
      <c r="I250" s="851">
        <v>13</v>
      </c>
      <c r="J250" s="755"/>
      <c r="M250" s="1"/>
    </row>
    <row r="251" spans="1:13" x14ac:dyDescent="0.2">
      <c r="A251" s="595"/>
      <c r="B251" s="595"/>
      <c r="C251" s="865" t="str">
        <f>IF(COUNT(C202,C204)=2,IF(C202&lt;C204,B202,B204),"")</f>
        <v>-</v>
      </c>
      <c r="D251" s="595"/>
      <c r="E251" s="851">
        <f>IF(C251="-",0,IF(C253="-",13,""))</f>
        <v>0</v>
      </c>
      <c r="F251" s="858"/>
      <c r="G251" s="859"/>
      <c r="H251" s="1136"/>
      <c r="I251" s="755"/>
      <c r="J251" s="755"/>
      <c r="M251" s="1"/>
    </row>
    <row r="252" spans="1:13" x14ac:dyDescent="0.2">
      <c r="A252" s="595"/>
      <c r="B252" s="595"/>
      <c r="C252" s="853"/>
      <c r="D252" s="1135"/>
      <c r="E252" s="854" t="str">
        <f>IF(COUNT(E251,E253)=2,IF(E251&gt;E253,C251,C253),"")</f>
        <v>-</v>
      </c>
      <c r="F252" s="860"/>
      <c r="G252" s="856">
        <f>IF(E252="-",0,IF(E247="-",13,""))</f>
        <v>0</v>
      </c>
      <c r="H252" s="858"/>
      <c r="I252" s="755"/>
      <c r="J252" s="755"/>
      <c r="M252" s="1"/>
    </row>
    <row r="253" spans="1:13" x14ac:dyDescent="0.2">
      <c r="A253" s="595"/>
      <c r="B253" s="595"/>
      <c r="C253" s="865" t="str">
        <f>IF(COUNT(C206,C208)=2,IF(C206&lt;C208,B206,B208),"")</f>
        <v>-</v>
      </c>
      <c r="D253" s="1128"/>
      <c r="E253" s="856">
        <f>IF(C253="-",0,IF(C251="-",13,""))</f>
        <v>0</v>
      </c>
      <c r="F253" s="755"/>
      <c r="G253" s="807"/>
      <c r="H253" s="858"/>
      <c r="I253" s="755"/>
      <c r="J253" s="755"/>
      <c r="M253" s="1"/>
    </row>
    <row r="254" spans="1:13" ht="13.5" thickBot="1" x14ac:dyDescent="0.25">
      <c r="A254" s="595"/>
      <c r="B254" s="595"/>
      <c r="C254" s="818"/>
      <c r="D254" s="595"/>
      <c r="E254" s="755"/>
      <c r="F254" s="755"/>
      <c r="G254" s="807"/>
      <c r="H254" s="858"/>
      <c r="I254" s="755"/>
      <c r="J254" s="804" t="str">
        <f>IF(COUNT(I250,I258)=2,IF(I250&gt;I258,G250,G258),"")</f>
        <v>Enn Tokman</v>
      </c>
      <c r="M254" s="1"/>
    </row>
    <row r="255" spans="1:13" x14ac:dyDescent="0.2">
      <c r="A255" s="595"/>
      <c r="B255" s="595"/>
      <c r="C255" s="865" t="str">
        <f>IF(COUNT(C210,C212)=2,IF(C210&lt;C212,B210,B212),"")</f>
        <v>-</v>
      </c>
      <c r="D255" s="595"/>
      <c r="E255" s="851">
        <f>IF(C255="-",0,IF(C257="-",13,""))</f>
        <v>0</v>
      </c>
      <c r="F255" s="755"/>
      <c r="G255" s="755"/>
      <c r="H255" s="858"/>
      <c r="I255" s="862"/>
      <c r="J255" s="810" t="s">
        <v>626</v>
      </c>
      <c r="K255" s="1129"/>
      <c r="M255" s="1"/>
    </row>
    <row r="256" spans="1:13" x14ac:dyDescent="0.2">
      <c r="A256" s="595"/>
      <c r="B256" s="595"/>
      <c r="C256" s="853"/>
      <c r="D256" s="1135"/>
      <c r="E256" s="854" t="str">
        <f>IF(COUNT(E255,E257)=2,IF(E255&gt;E257,C255,C257),"")</f>
        <v>Andres Veski</v>
      </c>
      <c r="F256" s="755"/>
      <c r="G256" s="851">
        <v>13</v>
      </c>
      <c r="H256" s="858"/>
      <c r="I256" s="807"/>
      <c r="J256" s="807"/>
      <c r="K256" s="1130"/>
      <c r="M256" s="1"/>
    </row>
    <row r="257" spans="1:13" x14ac:dyDescent="0.2">
      <c r="A257" s="595"/>
      <c r="B257" s="595"/>
      <c r="C257" s="865" t="str">
        <f>IF(COUNT(C214,C216)=2,IF(C214&lt;C216,B214,B216),"")</f>
        <v>Andres Veski</v>
      </c>
      <c r="D257" s="1128"/>
      <c r="E257" s="856">
        <f>IF(C257="-",0,IF(C255="-",13,""))</f>
        <v>13</v>
      </c>
      <c r="F257" s="1136"/>
      <c r="G257" s="755"/>
      <c r="H257" s="858"/>
      <c r="I257" s="807"/>
      <c r="J257" s="807"/>
      <c r="K257" s="1130"/>
      <c r="M257" s="1"/>
    </row>
    <row r="258" spans="1:13" x14ac:dyDescent="0.2">
      <c r="A258" s="595"/>
      <c r="B258" s="595"/>
      <c r="C258" s="818"/>
      <c r="D258" s="595"/>
      <c r="E258" s="755"/>
      <c r="F258" s="858"/>
      <c r="G258" s="854" t="str">
        <f>IF(COUNT(G256,G260)=2,IF(G256&gt;G260,E256,E260),"")</f>
        <v>Andres Veski</v>
      </c>
      <c r="H258" s="860"/>
      <c r="I258" s="856">
        <v>2</v>
      </c>
      <c r="J258" s="807"/>
      <c r="K258" s="1130"/>
      <c r="M258" s="1"/>
    </row>
    <row r="259" spans="1:13" ht="13.5" thickBot="1" x14ac:dyDescent="0.25">
      <c r="A259" s="595"/>
      <c r="B259" s="595"/>
      <c r="C259" s="865" t="str">
        <f>IF(COUNT(C218,C220)=2,IF(C218&lt;C220,B218,B220),"")</f>
        <v>-</v>
      </c>
      <c r="D259" s="595"/>
      <c r="E259" s="851">
        <f>IF(C259="-",0,IF(C261="-",13,""))</f>
        <v>0</v>
      </c>
      <c r="F259" s="858"/>
      <c r="G259" s="859"/>
      <c r="H259" s="807"/>
      <c r="I259" s="807"/>
      <c r="J259" s="951" t="str">
        <f>IF(COUNT(I250,I258)=2,IF(I250&lt;I258,G250,G258),"")</f>
        <v>Andres Veski</v>
      </c>
      <c r="K259" s="1131"/>
      <c r="M259" s="1"/>
    </row>
    <row r="260" spans="1:13" x14ac:dyDescent="0.2">
      <c r="A260" s="595"/>
      <c r="B260" s="595"/>
      <c r="C260" s="853"/>
      <c r="D260" s="1135"/>
      <c r="E260" s="854" t="str">
        <f>IF(COUNT(E259,E261)=2,IF(E259&gt;E261,C259,C261),"")</f>
        <v>Illar Tõnurist</v>
      </c>
      <c r="F260" s="860"/>
      <c r="G260" s="970">
        <v>0</v>
      </c>
      <c r="H260" s="755"/>
      <c r="I260" s="807"/>
      <c r="J260" s="827" t="s">
        <v>627</v>
      </c>
      <c r="M260" s="1"/>
    </row>
    <row r="261" spans="1:13" x14ac:dyDescent="0.2">
      <c r="A261" s="595"/>
      <c r="B261" s="595"/>
      <c r="C261" s="865" t="str">
        <f>IF(COUNT(C222,C224)=2,IF(C222&lt;C224,B222,B224),"")</f>
        <v>Illar Tõnurist</v>
      </c>
      <c r="D261" s="1128"/>
      <c r="E261" s="856">
        <f>IF(C261="-",0,IF(C259="-",13,""))</f>
        <v>13</v>
      </c>
      <c r="F261" s="755"/>
      <c r="G261" s="807"/>
      <c r="H261" s="807"/>
      <c r="I261" s="807"/>
      <c r="J261" s="755"/>
      <c r="M261" s="1"/>
    </row>
    <row r="262" spans="1:13" x14ac:dyDescent="0.2">
      <c r="A262" s="595"/>
      <c r="B262" s="595"/>
      <c r="C262" s="595"/>
      <c r="D262" s="595"/>
      <c r="E262" s="755"/>
      <c r="F262" s="755"/>
      <c r="G262" s="804" t="str">
        <f>IF(COUNT(G248,G252)=2,IF(G248&lt;G252,E248,E252),"")</f>
        <v>-</v>
      </c>
      <c r="H262" s="755"/>
      <c r="I262" s="851">
        <f>IF(G262="-",0,IF(G264="-",13,""))</f>
        <v>0</v>
      </c>
      <c r="J262" s="755"/>
      <c r="M262" s="1"/>
    </row>
    <row r="263" spans="1:13" ht="13.5" thickBot="1" x14ac:dyDescent="0.25">
      <c r="A263" s="595"/>
      <c r="B263" s="595"/>
      <c r="C263" s="595"/>
      <c r="D263" s="595"/>
      <c r="E263" s="755"/>
      <c r="F263" s="755"/>
      <c r="G263" s="863"/>
      <c r="H263" s="1136"/>
      <c r="I263" s="1137"/>
      <c r="J263" s="804" t="str">
        <f>IF(COUNT(I262,I264)=2,IF(I262&gt;I264,G262,G264),"")</f>
        <v>Illar Tõnurist</v>
      </c>
      <c r="M263" s="1"/>
    </row>
    <row r="264" spans="1:13" x14ac:dyDescent="0.2">
      <c r="A264" s="595"/>
      <c r="B264" s="595"/>
      <c r="C264" s="595"/>
      <c r="D264" s="595"/>
      <c r="E264" s="755"/>
      <c r="F264" s="755"/>
      <c r="G264" s="865" t="str">
        <f>IF(COUNT(G256,G260)=2,IF(G256&lt;G260,E256,E260),"")</f>
        <v>Illar Tõnurist</v>
      </c>
      <c r="H264" s="860"/>
      <c r="I264" s="871">
        <f>IF(G264="-",0,IF(G262="-",13,""))</f>
        <v>13</v>
      </c>
      <c r="J264" s="810" t="s">
        <v>628</v>
      </c>
      <c r="K264" s="1129"/>
      <c r="M264" s="1"/>
    </row>
    <row r="265" spans="1:13" x14ac:dyDescent="0.2">
      <c r="A265" s="595"/>
      <c r="B265" s="595"/>
      <c r="C265" s="595"/>
      <c r="D265" s="755"/>
      <c r="E265" s="755"/>
      <c r="F265" s="755"/>
      <c r="G265" s="755"/>
      <c r="H265" s="755"/>
      <c r="I265" s="755"/>
      <c r="J265" s="807"/>
      <c r="K265" s="1130"/>
      <c r="M265" s="1"/>
    </row>
    <row r="266" spans="1:13" ht="13.5" thickBot="1" x14ac:dyDescent="0.25">
      <c r="A266" s="595"/>
      <c r="B266" s="595"/>
      <c r="C266" s="595"/>
      <c r="D266" s="755"/>
      <c r="E266" s="755"/>
      <c r="F266" s="755"/>
      <c r="G266" s="807"/>
      <c r="H266" s="807"/>
      <c r="I266" s="755"/>
      <c r="J266" s="951" t="str">
        <f>IF(COUNT(I262,I264)=2,IF(I262&lt;I264,G262,G264),"")</f>
        <v>-</v>
      </c>
      <c r="K266" s="1131"/>
      <c r="M266" s="1"/>
    </row>
    <row r="267" spans="1:13" x14ac:dyDescent="0.2">
      <c r="A267" s="595"/>
      <c r="B267" s="595"/>
      <c r="C267" s="595"/>
      <c r="D267" s="755"/>
      <c r="E267" s="755"/>
      <c r="F267" s="755"/>
      <c r="G267" s="755"/>
      <c r="H267" s="755"/>
      <c r="I267" s="755"/>
      <c r="J267" s="754"/>
      <c r="M267" s="1"/>
    </row>
    <row r="268" spans="1:13" hidden="1" x14ac:dyDescent="0.2">
      <c r="A268" s="595"/>
      <c r="B268" s="595"/>
      <c r="C268" s="595"/>
      <c r="D268" s="755"/>
      <c r="E268" s="755"/>
      <c r="F268" s="755"/>
      <c r="G268" s="755"/>
      <c r="H268" s="755"/>
      <c r="I268" s="755"/>
      <c r="J268" s="755"/>
      <c r="M268" s="1"/>
    </row>
    <row r="269" spans="1:13" hidden="1" x14ac:dyDescent="0.2">
      <c r="A269" s="595"/>
      <c r="B269" s="595"/>
      <c r="C269" s="595"/>
      <c r="D269" s="755"/>
      <c r="E269" s="865" t="str">
        <f>IF(COUNT(E247,E249)=2,IF(E247&lt;E249,C247,C249),"")</f>
        <v>-</v>
      </c>
      <c r="F269" s="755"/>
      <c r="G269" s="851">
        <f>IF(E269="-",0,IF(E271="-",13,""))</f>
        <v>0</v>
      </c>
      <c r="H269" s="851"/>
      <c r="I269" s="851"/>
      <c r="J269" s="755"/>
      <c r="M269" s="1"/>
    </row>
    <row r="270" spans="1:13" hidden="1" x14ac:dyDescent="0.2">
      <c r="A270" s="595"/>
      <c r="B270" s="595"/>
      <c r="C270" s="595"/>
      <c r="D270" s="755"/>
      <c r="E270" s="866"/>
      <c r="F270" s="867"/>
      <c r="G270" s="854" t="str">
        <f>IF(COUNT(G269,G271)=2,IF(G269&gt;G271,E269,E271),"")</f>
        <v>-</v>
      </c>
      <c r="H270" s="755"/>
      <c r="I270" s="851" t="str">
        <f>IF(G269="-",0,IF(G271="-",13,""))</f>
        <v/>
      </c>
      <c r="J270" s="755"/>
      <c r="M270" s="1"/>
    </row>
    <row r="271" spans="1:13" hidden="1" x14ac:dyDescent="0.2">
      <c r="A271" s="595"/>
      <c r="B271" s="595"/>
      <c r="C271" s="595"/>
      <c r="D271" s="755"/>
      <c r="E271" s="865" t="str">
        <f>IF(COUNT(E251,E253)=2,IF(E251&lt;E253,C251,C253),"")</f>
        <v>-</v>
      </c>
      <c r="F271" s="868"/>
      <c r="G271" s="856">
        <f>IF(E271="-",0,IF(E269="-",13,""))</f>
        <v>0</v>
      </c>
      <c r="H271" s="867"/>
      <c r="I271" s="755"/>
      <c r="J271" s="755"/>
      <c r="M271" s="1"/>
    </row>
    <row r="272" spans="1:13" hidden="1" x14ac:dyDescent="0.2">
      <c r="A272" s="595"/>
      <c r="B272" s="595"/>
      <c r="C272" s="595"/>
      <c r="D272" s="755"/>
      <c r="E272" s="851"/>
      <c r="F272" s="851"/>
      <c r="G272" s="869"/>
      <c r="H272" s="870"/>
      <c r="I272" s="1137" t="str">
        <f>IF(COUNT(I270,I274)=2,IF(I270&gt;I274,G270,G274),"")</f>
        <v/>
      </c>
      <c r="J272" s="804" t="str">
        <f>IF(COUNT(I270,I274)=2,IF(I270&gt;I274,G270,G274),"")</f>
        <v/>
      </c>
      <c r="M272" s="1"/>
    </row>
    <row r="273" spans="1:13" hidden="1" x14ac:dyDescent="0.2">
      <c r="A273" s="595"/>
      <c r="B273" s="595"/>
      <c r="C273" s="595"/>
      <c r="D273" s="755"/>
      <c r="E273" s="865" t="str">
        <f>IF(COUNT(E255,E257)=2,IF(E255&lt;E257,C255,C257),"")</f>
        <v>-</v>
      </c>
      <c r="F273" s="851"/>
      <c r="G273" s="851">
        <f>IF(E273="-",0,IF(E275="-",13,""))</f>
        <v>0</v>
      </c>
      <c r="H273" s="870"/>
      <c r="I273" s="862"/>
      <c r="J273" s="810"/>
      <c r="K273" s="1129"/>
      <c r="M273" s="1"/>
    </row>
    <row r="274" spans="1:13" hidden="1" x14ac:dyDescent="0.2">
      <c r="A274" s="595"/>
      <c r="B274" s="595"/>
      <c r="C274" s="595"/>
      <c r="D274" s="755"/>
      <c r="E274" s="866"/>
      <c r="F274" s="867"/>
      <c r="G274" s="854" t="str">
        <f>IF(COUNT(G273,G275)=2,IF(G273&gt;G275,E273,E275),"")</f>
        <v>-</v>
      </c>
      <c r="H274" s="860"/>
      <c r="I274" s="856" t="str">
        <f>IF(G273="-",0,IF(G275="-",13,""))</f>
        <v/>
      </c>
      <c r="J274" s="807"/>
      <c r="K274" s="1130"/>
      <c r="M274" s="1"/>
    </row>
    <row r="275" spans="1:13" ht="13.5" hidden="1" thickBot="1" x14ac:dyDescent="0.25">
      <c r="A275" s="595"/>
      <c r="B275" s="595"/>
      <c r="C275" s="595"/>
      <c r="D275" s="755"/>
      <c r="E275" s="865" t="str">
        <f>IF(COUNT(E259,E261)=2,IF(E259&lt;E261,C259,C261),"")</f>
        <v>-</v>
      </c>
      <c r="F275" s="868"/>
      <c r="G275" s="856">
        <f>IF(E275="-",0,IF(E273="-",13,""))</f>
        <v>0</v>
      </c>
      <c r="H275" s="851"/>
      <c r="I275" s="869"/>
      <c r="J275" s="951" t="str">
        <f>IF(COUNT(I270,I274)=2,IF(I270&lt;I274,G270,G274),"")</f>
        <v/>
      </c>
      <c r="K275" s="1131"/>
      <c r="M275" s="1"/>
    </row>
    <row r="276" spans="1:13" hidden="1" x14ac:dyDescent="0.2">
      <c r="A276" s="595"/>
      <c r="B276" s="595"/>
      <c r="C276" s="595"/>
      <c r="D276" s="755"/>
      <c r="E276" s="851"/>
      <c r="F276" s="851"/>
      <c r="G276" s="851"/>
      <c r="H276" s="851"/>
      <c r="I276" s="869"/>
      <c r="J276" s="827"/>
      <c r="M276" s="1"/>
    </row>
    <row r="277" spans="1:13" hidden="1" x14ac:dyDescent="0.2">
      <c r="A277" s="595"/>
      <c r="B277" s="595"/>
      <c r="C277" s="595"/>
      <c r="D277" s="755"/>
      <c r="E277" s="851"/>
      <c r="F277" s="869"/>
      <c r="G277" s="804" t="str">
        <f>IF(COUNT(G269,G271)=2,IF(G269&lt;G271,E269,E271),"")</f>
        <v>-</v>
      </c>
      <c r="H277" s="755"/>
      <c r="I277" s="851">
        <f>IF(G277="-",0,IF(G279="-",13,""))</f>
        <v>0</v>
      </c>
      <c r="J277" s="807"/>
      <c r="M277" s="1"/>
    </row>
    <row r="278" spans="1:13" hidden="1" x14ac:dyDescent="0.2">
      <c r="A278" s="595"/>
      <c r="B278" s="595"/>
      <c r="C278" s="595"/>
      <c r="D278" s="755"/>
      <c r="E278" s="851"/>
      <c r="F278" s="869"/>
      <c r="G278" s="863"/>
      <c r="H278" s="857"/>
      <c r="I278" s="1137" t="str">
        <f>IF(COUNT(I277,I279)=2,IF(I277&gt;I279,G277,G279),"")</f>
        <v>-</v>
      </c>
      <c r="J278" s="804" t="str">
        <f>IF(COUNT(I277,I279)=2,IF(I277&gt;I279,G277,G279),"")</f>
        <v>-</v>
      </c>
      <c r="M278" s="1"/>
    </row>
    <row r="279" spans="1:13" hidden="1" x14ac:dyDescent="0.2">
      <c r="A279" s="595"/>
      <c r="B279" s="595"/>
      <c r="C279" s="595"/>
      <c r="D279" s="755"/>
      <c r="E279" s="851"/>
      <c r="F279" s="869"/>
      <c r="G279" s="865" t="str">
        <f>IF(COUNT(G273,G275)=2,IF(G273&lt;G275,E273,E275),"")</f>
        <v>-</v>
      </c>
      <c r="H279" s="860"/>
      <c r="I279" s="871">
        <f>IF(G279="-",0,IF(G277="-",13,""))</f>
        <v>0</v>
      </c>
      <c r="J279" s="810"/>
      <c r="K279" s="1129"/>
      <c r="M279" s="1"/>
    </row>
    <row r="280" spans="1:13" hidden="1" x14ac:dyDescent="0.2">
      <c r="A280" s="595"/>
      <c r="B280" s="595"/>
      <c r="C280" s="595"/>
      <c r="D280" s="755"/>
      <c r="E280" s="755"/>
      <c r="F280" s="807"/>
      <c r="G280" s="755"/>
      <c r="H280" s="755"/>
      <c r="I280" s="755"/>
      <c r="J280" s="807"/>
      <c r="K280" s="1130"/>
      <c r="M280" s="1"/>
    </row>
    <row r="281" spans="1:13" ht="13.5" hidden="1" thickBot="1" x14ac:dyDescent="0.25">
      <c r="A281" s="595"/>
      <c r="B281" s="595"/>
      <c r="C281" s="595"/>
      <c r="D281" s="755"/>
      <c r="E281" s="755"/>
      <c r="F281" s="755"/>
      <c r="G281" s="807"/>
      <c r="H281" s="807"/>
      <c r="I281" s="755"/>
      <c r="J281" s="938" t="str">
        <f>IF(COUNT(I277,I279)=2,IF(I277&lt;I279,G277,G279),"")</f>
        <v>-</v>
      </c>
      <c r="K281" s="1131"/>
      <c r="M281" s="1"/>
    </row>
    <row r="282" spans="1:13" hidden="1" x14ac:dyDescent="0.2">
      <c r="A282" s="595"/>
      <c r="B282" s="595"/>
      <c r="C282" s="595"/>
      <c r="D282" s="755"/>
      <c r="E282" s="755"/>
      <c r="F282" s="755"/>
      <c r="G282" s="807"/>
      <c r="H282" s="807"/>
      <c r="I282" s="755"/>
      <c r="J282" s="827"/>
      <c r="M282" s="1"/>
    </row>
    <row r="283" spans="1:13" hidden="1" x14ac:dyDescent="0.2">
      <c r="M283" s="1"/>
    </row>
    <row r="284" spans="1:13" hidden="1" x14ac:dyDescent="0.2">
      <c r="M284" s="1"/>
    </row>
    <row r="285" spans="1:13" hidden="1" x14ac:dyDescent="0.2">
      <c r="M285" s="1"/>
    </row>
    <row r="286" spans="1:13" hidden="1" x14ac:dyDescent="0.2">
      <c r="M286" s="1"/>
    </row>
    <row r="287" spans="1:13" hidden="1" x14ac:dyDescent="0.2">
      <c r="M287" s="1"/>
    </row>
    <row r="288" spans="1:13" hidden="1" x14ac:dyDescent="0.2">
      <c r="M288" s="1"/>
    </row>
    <row r="289" spans="1:13" hidden="1" x14ac:dyDescent="0.2">
      <c r="M289" s="1"/>
    </row>
    <row r="290" spans="1:13" hidden="1" x14ac:dyDescent="0.2">
      <c r="M290" s="1"/>
    </row>
    <row r="291" spans="1:13" hidden="1" x14ac:dyDescent="0.2">
      <c r="M291" s="1"/>
    </row>
    <row r="292" spans="1:13" hidden="1" x14ac:dyDescent="0.2">
      <c r="M292" s="1"/>
    </row>
    <row r="293" spans="1:13" hidden="1" x14ac:dyDescent="0.2">
      <c r="M293" s="1"/>
    </row>
    <row r="294" spans="1:13" hidden="1" x14ac:dyDescent="0.2">
      <c r="M294" s="1"/>
    </row>
    <row r="295" spans="1:13" hidden="1" x14ac:dyDescent="0.2">
      <c r="M295" s="1"/>
    </row>
    <row r="296" spans="1:13" hidden="1" x14ac:dyDescent="0.2">
      <c r="M296" s="1"/>
    </row>
    <row r="297" spans="1:13" hidden="1" x14ac:dyDescent="0.2">
      <c r="M297" s="1"/>
    </row>
    <row r="298" spans="1:13" hidden="1" x14ac:dyDescent="0.2">
      <c r="M298" s="1"/>
    </row>
    <row r="299" spans="1:13" x14ac:dyDescent="0.2">
      <c r="M299" s="1"/>
    </row>
    <row r="300" spans="1:13" x14ac:dyDescent="0.2">
      <c r="A300" s="815">
        <v>1</v>
      </c>
      <c r="B300" s="816" t="str">
        <f t="shared" ref="B300:B322" si="3">IFERROR(INDEX(J$100:J$300,MATCH(A300&amp;". koht",J$101:J$301,0)),"")</f>
        <v>Kenneth Muusikus</v>
      </c>
      <c r="M300" s="1"/>
    </row>
    <row r="301" spans="1:13" x14ac:dyDescent="0.2">
      <c r="A301" s="875">
        <v>2</v>
      </c>
      <c r="B301" s="816" t="str">
        <f t="shared" si="3"/>
        <v>Matti Vinni</v>
      </c>
      <c r="M301" s="1"/>
    </row>
    <row r="302" spans="1:13" x14ac:dyDescent="0.2">
      <c r="A302" s="875">
        <v>3</v>
      </c>
      <c r="B302" s="816" t="str">
        <f t="shared" si="3"/>
        <v>Oskar Sepp</v>
      </c>
      <c r="M302" s="1"/>
    </row>
    <row r="303" spans="1:13" x14ac:dyDescent="0.2">
      <c r="A303" s="875">
        <v>4</v>
      </c>
      <c r="B303" s="816" t="str">
        <f t="shared" si="3"/>
        <v>Kaspar Mänd</v>
      </c>
      <c r="M303" s="1"/>
    </row>
    <row r="304" spans="1:13" x14ac:dyDescent="0.2">
      <c r="A304" s="875">
        <v>5</v>
      </c>
      <c r="B304" s="816" t="str">
        <f t="shared" si="3"/>
        <v>Ivar Viljaste</v>
      </c>
      <c r="M304" s="1"/>
    </row>
    <row r="305" spans="1:13" x14ac:dyDescent="0.2">
      <c r="A305" s="875">
        <v>6</v>
      </c>
      <c r="B305" s="816" t="str">
        <f t="shared" si="3"/>
        <v>Svetlana Veski</v>
      </c>
      <c r="M305" s="1"/>
    </row>
    <row r="306" spans="1:13" x14ac:dyDescent="0.2">
      <c r="A306" s="875">
        <v>7</v>
      </c>
      <c r="B306" s="816" t="str">
        <f t="shared" si="3"/>
        <v>Tõnu Piik</v>
      </c>
      <c r="M306" s="1"/>
    </row>
    <row r="307" spans="1:13" x14ac:dyDescent="0.2">
      <c r="A307" s="875">
        <v>8</v>
      </c>
      <c r="B307" s="816" t="str">
        <f t="shared" si="3"/>
        <v>Henri Mitt</v>
      </c>
      <c r="M307" s="1"/>
    </row>
    <row r="308" spans="1:13" x14ac:dyDescent="0.2">
      <c r="A308" s="875">
        <v>9</v>
      </c>
      <c r="B308" s="816" t="str">
        <f t="shared" si="3"/>
        <v>Elmo Lageda</v>
      </c>
      <c r="M308" s="1"/>
    </row>
    <row r="309" spans="1:13" x14ac:dyDescent="0.2">
      <c r="A309" s="875">
        <v>10</v>
      </c>
      <c r="B309" s="816" t="str">
        <f t="shared" si="3"/>
        <v>Peep Peenema</v>
      </c>
      <c r="M309" s="1"/>
    </row>
    <row r="310" spans="1:13" x14ac:dyDescent="0.2">
      <c r="A310" s="1032">
        <v>11</v>
      </c>
      <c r="B310" s="1138" t="str">
        <f t="shared" si="3"/>
        <v>Ljudmila Varendi</v>
      </c>
      <c r="M310" s="1"/>
    </row>
    <row r="311" spans="1:13" x14ac:dyDescent="0.2">
      <c r="A311" s="875">
        <v>12</v>
      </c>
      <c r="B311" s="816" t="str">
        <f t="shared" si="3"/>
        <v>Jaan Saar</v>
      </c>
      <c r="M311" s="1"/>
    </row>
    <row r="312" spans="1:13" x14ac:dyDescent="0.2">
      <c r="A312" s="875">
        <v>13</v>
      </c>
      <c r="B312" s="816" t="str">
        <f t="shared" si="3"/>
        <v>Viktor Švarõgin</v>
      </c>
      <c r="M312" s="1"/>
    </row>
    <row r="313" spans="1:13" x14ac:dyDescent="0.2">
      <c r="A313" s="875">
        <v>14</v>
      </c>
      <c r="B313" s="816" t="str">
        <f t="shared" si="3"/>
        <v>Oleg Rõndenkov</v>
      </c>
      <c r="M313" s="1"/>
    </row>
    <row r="314" spans="1:13" x14ac:dyDescent="0.2">
      <c r="A314" s="875">
        <v>15</v>
      </c>
      <c r="B314" s="816" t="str">
        <f t="shared" si="3"/>
        <v>Vello Vasser</v>
      </c>
    </row>
    <row r="315" spans="1:13" x14ac:dyDescent="0.2">
      <c r="A315" s="875">
        <v>16</v>
      </c>
      <c r="B315" s="816" t="str">
        <f t="shared" si="3"/>
        <v>Janek Tarto</v>
      </c>
    </row>
    <row r="316" spans="1:13" x14ac:dyDescent="0.2">
      <c r="A316" s="875">
        <v>17</v>
      </c>
      <c r="B316" s="816" t="str">
        <f t="shared" si="3"/>
        <v>Jaan Sepp</v>
      </c>
    </row>
    <row r="317" spans="1:13" x14ac:dyDescent="0.2">
      <c r="A317" s="875">
        <v>18</v>
      </c>
      <c r="B317" s="816" t="str">
        <f t="shared" si="3"/>
        <v>Klavdia Piik</v>
      </c>
    </row>
    <row r="318" spans="1:13" x14ac:dyDescent="0.2">
      <c r="A318" s="1032">
        <v>19</v>
      </c>
      <c r="B318" s="1138" t="str">
        <f t="shared" si="3"/>
        <v>Sirje Viljaste</v>
      </c>
    </row>
    <row r="319" spans="1:13" x14ac:dyDescent="0.2">
      <c r="A319" s="875">
        <v>20</v>
      </c>
      <c r="B319" s="816" t="str">
        <f t="shared" si="3"/>
        <v>Karla Purgats</v>
      </c>
    </row>
    <row r="320" spans="1:13" x14ac:dyDescent="0.2">
      <c r="A320" s="875">
        <v>21</v>
      </c>
      <c r="B320" s="816" t="str">
        <f t="shared" si="3"/>
        <v>Enn Tokman</v>
      </c>
    </row>
    <row r="321" spans="1:2" x14ac:dyDescent="0.2">
      <c r="A321" s="875">
        <v>22</v>
      </c>
      <c r="B321" s="816" t="str">
        <f t="shared" si="3"/>
        <v>Andres Veski</v>
      </c>
    </row>
    <row r="322" spans="1:2" x14ac:dyDescent="0.2">
      <c r="A322" s="875">
        <v>23</v>
      </c>
      <c r="B322" s="816" t="str">
        <f t="shared" si="3"/>
        <v>Illar Tõnurist</v>
      </c>
    </row>
  </sheetData>
  <conditionalFormatting sqref="I56:I60">
    <cfRule type="expression" dxfId="424" priority="512">
      <formula>FIND(2,I56,1)</formula>
    </cfRule>
    <cfRule type="expression" dxfId="423" priority="513">
      <formula>FIND(1,I56,1)</formula>
    </cfRule>
  </conditionalFormatting>
  <conditionalFormatting sqref="D7 C8">
    <cfRule type="aboveAverage" dxfId="422" priority="663"/>
  </conditionalFormatting>
  <conditionalFormatting sqref="E7 C9">
    <cfRule type="aboveAverage" dxfId="421" priority="662"/>
  </conditionalFormatting>
  <conditionalFormatting sqref="F7 C10">
    <cfRule type="aboveAverage" dxfId="420" priority="661"/>
  </conditionalFormatting>
  <conditionalFormatting sqref="E8 D9">
    <cfRule type="aboveAverage" dxfId="419" priority="660"/>
  </conditionalFormatting>
  <conditionalFormatting sqref="G7 C11">
    <cfRule type="aboveAverage" dxfId="418" priority="659"/>
  </conditionalFormatting>
  <conditionalFormatting sqref="F8 D10">
    <cfRule type="aboveAverage" dxfId="417" priority="658"/>
  </conditionalFormatting>
  <conditionalFormatting sqref="G8 D11">
    <cfRule type="aboveAverage" dxfId="416" priority="657"/>
  </conditionalFormatting>
  <conditionalFormatting sqref="F9 E10">
    <cfRule type="aboveAverage" dxfId="415" priority="656"/>
  </conditionalFormatting>
  <conditionalFormatting sqref="G9 E11">
    <cfRule type="aboveAverage" dxfId="414" priority="655"/>
  </conditionalFormatting>
  <conditionalFormatting sqref="F11 G10">
    <cfRule type="aboveAverage" dxfId="413" priority="654"/>
  </conditionalFormatting>
  <conditionalFormatting sqref="C69 C73:C74">
    <cfRule type="aboveAverage" dxfId="412" priority="635"/>
  </conditionalFormatting>
  <conditionalFormatting sqref="D69 D73:D74">
    <cfRule type="aboveAverage" dxfId="411" priority="634"/>
  </conditionalFormatting>
  <conditionalFormatting sqref="D14 C15">
    <cfRule type="aboveAverage" dxfId="410" priority="627"/>
  </conditionalFormatting>
  <conditionalFormatting sqref="E14 C16">
    <cfRule type="aboveAverage" dxfId="409" priority="626"/>
  </conditionalFormatting>
  <conditionalFormatting sqref="F14 C17">
    <cfRule type="aboveAverage" dxfId="408" priority="625"/>
  </conditionalFormatting>
  <conditionalFormatting sqref="E15 D16">
    <cfRule type="aboveAverage" dxfId="407" priority="624"/>
  </conditionalFormatting>
  <conditionalFormatting sqref="G14 C18">
    <cfRule type="aboveAverage" dxfId="406" priority="623"/>
  </conditionalFormatting>
  <conditionalFormatting sqref="F15 D17">
    <cfRule type="aboveAverage" dxfId="405" priority="622"/>
  </conditionalFormatting>
  <conditionalFormatting sqref="G15 D18">
    <cfRule type="aboveAverage" dxfId="404" priority="621"/>
  </conditionalFormatting>
  <conditionalFormatting sqref="F16 E17">
    <cfRule type="aboveAverage" dxfId="403" priority="620"/>
  </conditionalFormatting>
  <conditionalFormatting sqref="G16 E18">
    <cfRule type="aboveAverage" dxfId="402" priority="619"/>
  </conditionalFormatting>
  <conditionalFormatting sqref="F18 G17">
    <cfRule type="aboveAverage" dxfId="401" priority="618"/>
  </conditionalFormatting>
  <conditionalFormatting sqref="D21 C22">
    <cfRule type="aboveAverage" dxfId="400" priority="617"/>
  </conditionalFormatting>
  <conditionalFormatting sqref="E21 C23">
    <cfRule type="aboveAverage" dxfId="399" priority="616"/>
  </conditionalFormatting>
  <conditionalFormatting sqref="F21 C24">
    <cfRule type="aboveAverage" dxfId="398" priority="615"/>
  </conditionalFormatting>
  <conditionalFormatting sqref="E22 D23">
    <cfRule type="aboveAverage" dxfId="397" priority="614"/>
  </conditionalFormatting>
  <conditionalFormatting sqref="G21 C25">
    <cfRule type="aboveAverage" dxfId="396" priority="613"/>
  </conditionalFormatting>
  <conditionalFormatting sqref="F22 D24">
    <cfRule type="aboveAverage" dxfId="395" priority="612"/>
  </conditionalFormatting>
  <conditionalFormatting sqref="G22 D25">
    <cfRule type="aboveAverage" dxfId="394" priority="611"/>
  </conditionalFormatting>
  <conditionalFormatting sqref="F23 E24">
    <cfRule type="aboveAverage" dxfId="393" priority="610"/>
  </conditionalFormatting>
  <conditionalFormatting sqref="G23 E25">
    <cfRule type="aboveAverage" dxfId="392" priority="609"/>
  </conditionalFormatting>
  <conditionalFormatting sqref="F25 G24">
    <cfRule type="aboveAverage" dxfId="391" priority="608"/>
  </conditionalFormatting>
  <conditionalFormatting sqref="D28 C29">
    <cfRule type="aboveAverage" dxfId="390" priority="607"/>
  </conditionalFormatting>
  <conditionalFormatting sqref="E28 C30">
    <cfRule type="aboveAverage" dxfId="389" priority="606"/>
  </conditionalFormatting>
  <conditionalFormatting sqref="F28 C31">
    <cfRule type="aboveAverage" dxfId="388" priority="605"/>
  </conditionalFormatting>
  <conditionalFormatting sqref="E29 D30">
    <cfRule type="aboveAverage" dxfId="387" priority="604"/>
  </conditionalFormatting>
  <conditionalFormatting sqref="G28 C32">
    <cfRule type="aboveAverage" dxfId="386" priority="603"/>
  </conditionalFormatting>
  <conditionalFormatting sqref="F29 D31">
    <cfRule type="aboveAverage" dxfId="385" priority="602"/>
  </conditionalFormatting>
  <conditionalFormatting sqref="G29 D32">
    <cfRule type="aboveAverage" dxfId="384" priority="601"/>
  </conditionalFormatting>
  <conditionalFormatting sqref="F30 E31">
    <cfRule type="aboveAverage" dxfId="383" priority="600"/>
  </conditionalFormatting>
  <conditionalFormatting sqref="G30 E32">
    <cfRule type="aboveAverage" dxfId="382" priority="599"/>
  </conditionalFormatting>
  <conditionalFormatting sqref="F32 G31">
    <cfRule type="aboveAverage" dxfId="381" priority="598"/>
  </conditionalFormatting>
  <conditionalFormatting sqref="D35 C36">
    <cfRule type="aboveAverage" dxfId="380" priority="596"/>
  </conditionalFormatting>
  <conditionalFormatting sqref="E35 C37">
    <cfRule type="aboveAverage" dxfId="379" priority="595"/>
  </conditionalFormatting>
  <conditionalFormatting sqref="F35 C38">
    <cfRule type="aboveAverage" dxfId="378" priority="594"/>
  </conditionalFormatting>
  <conditionalFormatting sqref="E36 D37">
    <cfRule type="aboveAverage" dxfId="377" priority="593"/>
  </conditionalFormatting>
  <conditionalFormatting sqref="G35 C39">
    <cfRule type="aboveAverage" dxfId="376" priority="592"/>
  </conditionalFormatting>
  <conditionalFormatting sqref="F36 D38">
    <cfRule type="aboveAverage" dxfId="375" priority="591"/>
  </conditionalFormatting>
  <conditionalFormatting sqref="G36 D39">
    <cfRule type="aboveAverage" dxfId="374" priority="590"/>
  </conditionalFormatting>
  <conditionalFormatting sqref="F37 E38">
    <cfRule type="aboveAverage" dxfId="373" priority="589"/>
  </conditionalFormatting>
  <conditionalFormatting sqref="G37 E39">
    <cfRule type="aboveAverage" dxfId="372" priority="588"/>
  </conditionalFormatting>
  <conditionalFormatting sqref="F39 G38">
    <cfRule type="aboveAverage" dxfId="371" priority="587"/>
  </conditionalFormatting>
  <conditionalFormatting sqref="B37">
    <cfRule type="duplicateValues" dxfId="370" priority="597"/>
  </conditionalFormatting>
  <conditionalFormatting sqref="D42 C43">
    <cfRule type="aboveAverage" dxfId="369" priority="561"/>
  </conditionalFormatting>
  <conditionalFormatting sqref="E42 C44">
    <cfRule type="aboveAverage" dxfId="368" priority="560"/>
  </conditionalFormatting>
  <conditionalFormatting sqref="F42 C45">
    <cfRule type="aboveAverage" dxfId="367" priority="559"/>
  </conditionalFormatting>
  <conditionalFormatting sqref="E43 D44">
    <cfRule type="aboveAverage" dxfId="366" priority="558"/>
  </conditionalFormatting>
  <conditionalFormatting sqref="G42 C46">
    <cfRule type="aboveAverage" dxfId="365" priority="557"/>
  </conditionalFormatting>
  <conditionalFormatting sqref="F43 D45">
    <cfRule type="aboveAverage" dxfId="364" priority="556"/>
  </conditionalFormatting>
  <conditionalFormatting sqref="G43 D46">
    <cfRule type="aboveAverage" dxfId="363" priority="555"/>
  </conditionalFormatting>
  <conditionalFormatting sqref="F44 E45">
    <cfRule type="aboveAverage" dxfId="362" priority="554"/>
  </conditionalFormatting>
  <conditionalFormatting sqref="G44 E46">
    <cfRule type="aboveAverage" dxfId="361" priority="553"/>
  </conditionalFormatting>
  <conditionalFormatting sqref="F46 G45">
    <cfRule type="aboveAverage" dxfId="360" priority="552"/>
  </conditionalFormatting>
  <conditionalFormatting sqref="B44">
    <cfRule type="duplicateValues" dxfId="359" priority="562"/>
  </conditionalFormatting>
  <conditionalFormatting sqref="D49 C50">
    <cfRule type="aboveAverage" dxfId="358" priority="550"/>
  </conditionalFormatting>
  <conditionalFormatting sqref="E49 C51">
    <cfRule type="aboveAverage" dxfId="357" priority="549"/>
  </conditionalFormatting>
  <conditionalFormatting sqref="F49 C52">
    <cfRule type="aboveAverage" dxfId="356" priority="548"/>
  </conditionalFormatting>
  <conditionalFormatting sqref="E50 D51">
    <cfRule type="aboveAverage" dxfId="355" priority="547"/>
  </conditionalFormatting>
  <conditionalFormatting sqref="G49 C53">
    <cfRule type="aboveAverage" dxfId="354" priority="546"/>
  </conditionalFormatting>
  <conditionalFormatting sqref="F50 D52">
    <cfRule type="aboveAverage" dxfId="353" priority="545"/>
  </conditionalFormatting>
  <conditionalFormatting sqref="G50 D53">
    <cfRule type="aboveAverage" dxfId="352" priority="544"/>
  </conditionalFormatting>
  <conditionalFormatting sqref="F51 E52">
    <cfRule type="aboveAverage" dxfId="351" priority="543"/>
  </conditionalFormatting>
  <conditionalFormatting sqref="G51 E53">
    <cfRule type="aboveAverage" dxfId="350" priority="542"/>
  </conditionalFormatting>
  <conditionalFormatting sqref="F53 G52">
    <cfRule type="aboveAverage" dxfId="349" priority="541"/>
  </conditionalFormatting>
  <conditionalFormatting sqref="B51">
    <cfRule type="duplicateValues" dxfId="348" priority="551"/>
  </conditionalFormatting>
  <conditionalFormatting sqref="D56 C57">
    <cfRule type="aboveAverage" dxfId="347" priority="539"/>
  </conditionalFormatting>
  <conditionalFormatting sqref="E56 C58">
    <cfRule type="aboveAverage" dxfId="346" priority="538"/>
  </conditionalFormatting>
  <conditionalFormatting sqref="F56 C59">
    <cfRule type="aboveAverage" dxfId="345" priority="537"/>
  </conditionalFormatting>
  <conditionalFormatting sqref="E57 D58">
    <cfRule type="aboveAverage" dxfId="344" priority="536"/>
  </conditionalFormatting>
  <conditionalFormatting sqref="G56 C60">
    <cfRule type="aboveAverage" dxfId="343" priority="535"/>
  </conditionalFormatting>
  <conditionalFormatting sqref="F57 D59">
    <cfRule type="aboveAverage" dxfId="342" priority="534"/>
  </conditionalFormatting>
  <conditionalFormatting sqref="G57 D60">
    <cfRule type="aboveAverage" dxfId="341" priority="533"/>
  </conditionalFormatting>
  <conditionalFormatting sqref="F58 E59">
    <cfRule type="aboveAverage" dxfId="340" priority="532"/>
  </conditionalFormatting>
  <conditionalFormatting sqref="G58 E60">
    <cfRule type="aboveAverage" dxfId="339" priority="531"/>
  </conditionalFormatting>
  <conditionalFormatting sqref="F60 G59">
    <cfRule type="aboveAverage" dxfId="338" priority="530"/>
  </conditionalFormatting>
  <conditionalFormatting sqref="B58">
    <cfRule type="duplicateValues" dxfId="337" priority="540"/>
  </conditionalFormatting>
  <conditionalFormatting sqref="I28:I32">
    <cfRule type="expression" dxfId="336" priority="522">
      <formula>FIND(2,I28,1)</formula>
    </cfRule>
    <cfRule type="expression" dxfId="335" priority="523">
      <formula>FIND(1,I28,1)</formula>
    </cfRule>
  </conditionalFormatting>
  <conditionalFormatting sqref="I21:I25">
    <cfRule type="expression" dxfId="334" priority="524">
      <formula>FIND(2,I21,1)</formula>
    </cfRule>
    <cfRule type="expression" dxfId="333" priority="525">
      <formula>FIND(1,I21,1)</formula>
    </cfRule>
  </conditionalFormatting>
  <conditionalFormatting sqref="I49:I53">
    <cfRule type="expression" dxfId="332" priority="514">
      <formula>FIND(2,I49,1)</formula>
    </cfRule>
    <cfRule type="expression" dxfId="331" priority="515">
      <formula>FIND(1,I49,1)</formula>
    </cfRule>
  </conditionalFormatting>
  <conditionalFormatting sqref="T7:T45">
    <cfRule type="expression" dxfId="330" priority="664">
      <formula>AND(S7="",COUNTIF(T7,"*,*")=0)</formula>
    </cfRule>
  </conditionalFormatting>
  <conditionalFormatting sqref="A102:A132">
    <cfRule type="cellIs" dxfId="329" priority="474" operator="equal">
      <formula>"-"</formula>
    </cfRule>
    <cfRule type="duplicateValues" dxfId="328" priority="475"/>
  </conditionalFormatting>
  <conditionalFormatting sqref="E107">
    <cfRule type="aboveAverage" dxfId="327" priority="466"/>
  </conditionalFormatting>
  <conditionalFormatting sqref="G113">
    <cfRule type="aboveAverage" dxfId="326" priority="462"/>
  </conditionalFormatting>
  <conditionalFormatting sqref="E107 G113">
    <cfRule type="containsBlanks" dxfId="325" priority="453">
      <formula>LEN(TRIM(E107))=0</formula>
    </cfRule>
  </conditionalFormatting>
  <conditionalFormatting sqref="I125">
    <cfRule type="aboveAverage" dxfId="324" priority="452"/>
  </conditionalFormatting>
  <conditionalFormatting sqref="I125">
    <cfRule type="containsBlanks" dxfId="323" priority="451">
      <formula>LEN(TRIM(I125))=0</formula>
    </cfRule>
  </conditionalFormatting>
  <conditionalFormatting sqref="I7:I11">
    <cfRule type="expression" dxfId="322" priority="526">
      <formula>FIND(2,I7,1)</formula>
    </cfRule>
    <cfRule type="expression" dxfId="321" priority="527">
      <formula>FIND(1,I7,1)</formula>
    </cfRule>
  </conditionalFormatting>
  <conditionalFormatting sqref="I14:I18">
    <cfRule type="expression" dxfId="320" priority="419">
      <formula>FIND(2,I14,1)</formula>
    </cfRule>
    <cfRule type="expression" dxfId="319" priority="420">
      <formula>FIND(1,I14,1)</formula>
    </cfRule>
  </conditionalFormatting>
  <conditionalFormatting sqref="I35:I39">
    <cfRule type="expression" dxfId="318" priority="415">
      <formula>FIND(2,I35,1)</formula>
    </cfRule>
    <cfRule type="expression" dxfId="317" priority="416">
      <formula>FIND(1,I35,1)</formula>
    </cfRule>
  </conditionalFormatting>
  <conditionalFormatting sqref="I42:I46">
    <cfRule type="expression" dxfId="316" priority="398">
      <formula>FIND(2,I42,1)</formula>
    </cfRule>
    <cfRule type="expression" dxfId="315" priority="399">
      <formula>FIND(1,I42,1)</formula>
    </cfRule>
  </conditionalFormatting>
  <conditionalFormatting sqref="C102 C104">
    <cfRule type="aboveAverage" dxfId="314" priority="397"/>
  </conditionalFormatting>
  <conditionalFormatting sqref="C102 C104">
    <cfRule type="containsBlanks" dxfId="313" priority="396">
      <formula>LEN(TRIM(C102))=0</formula>
    </cfRule>
  </conditionalFormatting>
  <conditionalFormatting sqref="C106 C108">
    <cfRule type="aboveAverage" dxfId="312" priority="395"/>
  </conditionalFormatting>
  <conditionalFormatting sqref="C106 C108">
    <cfRule type="containsBlanks" dxfId="311" priority="394">
      <formula>LEN(TRIM(C106))=0</formula>
    </cfRule>
  </conditionalFormatting>
  <conditionalFormatting sqref="C110 C112">
    <cfRule type="aboveAverage" dxfId="310" priority="393"/>
  </conditionalFormatting>
  <conditionalFormatting sqref="C110 C112">
    <cfRule type="containsBlanks" dxfId="309" priority="392">
      <formula>LEN(TRIM(C110))=0</formula>
    </cfRule>
  </conditionalFormatting>
  <conditionalFormatting sqref="C114 C116">
    <cfRule type="aboveAverage" dxfId="308" priority="391"/>
  </conditionalFormatting>
  <conditionalFormatting sqref="C114 C116">
    <cfRule type="containsBlanks" dxfId="307" priority="390">
      <formula>LEN(TRIM(C114))=0</formula>
    </cfRule>
  </conditionalFormatting>
  <conditionalFormatting sqref="C118 C120">
    <cfRule type="aboveAverage" dxfId="306" priority="389"/>
  </conditionalFormatting>
  <conditionalFormatting sqref="C118 C120">
    <cfRule type="containsBlanks" dxfId="305" priority="388">
      <formula>LEN(TRIM(C118))=0</formula>
    </cfRule>
  </conditionalFormatting>
  <conditionalFormatting sqref="C122 C124">
    <cfRule type="aboveAverage" dxfId="304" priority="387"/>
  </conditionalFormatting>
  <conditionalFormatting sqref="C122 C124">
    <cfRule type="containsBlanks" dxfId="303" priority="386">
      <formula>LEN(TRIM(C122))=0</formula>
    </cfRule>
  </conditionalFormatting>
  <conditionalFormatting sqref="C126 C128">
    <cfRule type="aboveAverage" dxfId="302" priority="385"/>
  </conditionalFormatting>
  <conditionalFormatting sqref="C126 C128">
    <cfRule type="containsBlanks" dxfId="301" priority="384">
      <formula>LEN(TRIM(C126))=0</formula>
    </cfRule>
  </conditionalFormatting>
  <conditionalFormatting sqref="C130 C132">
    <cfRule type="aboveAverage" dxfId="300" priority="383"/>
  </conditionalFormatting>
  <conditionalFormatting sqref="C130 C132">
    <cfRule type="containsBlanks" dxfId="299" priority="382">
      <formula>LEN(TRIM(C130))=0</formula>
    </cfRule>
  </conditionalFormatting>
  <conditionalFormatting sqref="E159 E161">
    <cfRule type="aboveAverage" dxfId="298" priority="380"/>
  </conditionalFormatting>
  <conditionalFormatting sqref="E163 E165">
    <cfRule type="aboveAverage" dxfId="297" priority="379"/>
  </conditionalFormatting>
  <conditionalFormatting sqref="E167 E169">
    <cfRule type="aboveAverage" dxfId="296" priority="378"/>
  </conditionalFormatting>
  <conditionalFormatting sqref="E159 E161 E163 E165 E167 E169">
    <cfRule type="containsBlanks" dxfId="295" priority="377">
      <formula>LEN(TRIM(E159))=0</formula>
    </cfRule>
  </conditionalFormatting>
  <conditionalFormatting sqref="E155 E157">
    <cfRule type="aboveAverage" dxfId="294" priority="376"/>
  </conditionalFormatting>
  <conditionalFormatting sqref="E155 E157">
    <cfRule type="containsBlanks" dxfId="293" priority="375">
      <formula>LEN(TRIM(E155))=0</formula>
    </cfRule>
  </conditionalFormatting>
  <conditionalFormatting sqref="E159 E161">
    <cfRule type="aboveAverage" dxfId="292" priority="360"/>
  </conditionalFormatting>
  <conditionalFormatting sqref="E159 E161">
    <cfRule type="containsBlanks" dxfId="291" priority="359">
      <formula>LEN(TRIM(E159))=0</formula>
    </cfRule>
  </conditionalFormatting>
  <conditionalFormatting sqref="E163 E165">
    <cfRule type="aboveAverage" dxfId="290" priority="358"/>
  </conditionalFormatting>
  <conditionalFormatting sqref="E163 E165">
    <cfRule type="containsBlanks" dxfId="289" priority="357">
      <formula>LEN(TRIM(E163))=0</formula>
    </cfRule>
  </conditionalFormatting>
  <conditionalFormatting sqref="E167 E169">
    <cfRule type="aboveAverage" dxfId="288" priority="356"/>
  </conditionalFormatting>
  <conditionalFormatting sqref="E167 E169">
    <cfRule type="containsBlanks" dxfId="287" priority="355">
      <formula>LEN(TRIM(E167))=0</formula>
    </cfRule>
  </conditionalFormatting>
  <conditionalFormatting sqref="G138 G140">
    <cfRule type="aboveAverage" dxfId="286" priority="292"/>
  </conditionalFormatting>
  <conditionalFormatting sqref="G138 G140">
    <cfRule type="containsBlanks" dxfId="285" priority="291">
      <formula>LEN(TRIM(G138))=0</formula>
    </cfRule>
  </conditionalFormatting>
  <conditionalFormatting sqref="I131 I133">
    <cfRule type="aboveAverage" dxfId="284" priority="289"/>
  </conditionalFormatting>
  <conditionalFormatting sqref="I131 I133">
    <cfRule type="containsBlanks" dxfId="283" priority="288">
      <formula>LEN(TRIM(I131))=0</formula>
    </cfRule>
  </conditionalFormatting>
  <conditionalFormatting sqref="G142 G144">
    <cfRule type="aboveAverage" dxfId="282" priority="286"/>
  </conditionalFormatting>
  <conditionalFormatting sqref="G142 G144">
    <cfRule type="containsBlanks" dxfId="281" priority="285">
      <formula>LEN(TRIM(G142))=0</formula>
    </cfRule>
  </conditionalFormatting>
  <conditionalFormatting sqref="I146 I148">
    <cfRule type="aboveAverage" dxfId="280" priority="283"/>
  </conditionalFormatting>
  <conditionalFormatting sqref="I146 I148">
    <cfRule type="containsBlanks" dxfId="279" priority="282">
      <formula>LEN(TRIM(I146))=0</formula>
    </cfRule>
  </conditionalFormatting>
  <conditionalFormatting sqref="I170 I172">
    <cfRule type="aboveAverage" dxfId="278" priority="280"/>
  </conditionalFormatting>
  <conditionalFormatting sqref="I170 I172">
    <cfRule type="containsBlanks" dxfId="277" priority="279">
      <formula>LEN(TRIM(I170))=0</formula>
    </cfRule>
  </conditionalFormatting>
  <conditionalFormatting sqref="I170 I172">
    <cfRule type="aboveAverage" dxfId="276" priority="278"/>
  </conditionalFormatting>
  <conditionalFormatting sqref="I170 I172">
    <cfRule type="containsBlanks" dxfId="275" priority="277">
      <formula>LEN(TRIM(I170))=0</formula>
    </cfRule>
  </conditionalFormatting>
  <conditionalFormatting sqref="G177 G179">
    <cfRule type="aboveAverage" dxfId="274" priority="275"/>
  </conditionalFormatting>
  <conditionalFormatting sqref="G177 G179">
    <cfRule type="containsBlanks" dxfId="273" priority="274">
      <formula>LEN(TRIM(G177))=0</formula>
    </cfRule>
  </conditionalFormatting>
  <conditionalFormatting sqref="G177 G179">
    <cfRule type="aboveAverage" dxfId="272" priority="273"/>
  </conditionalFormatting>
  <conditionalFormatting sqref="G177 G179">
    <cfRule type="containsBlanks" dxfId="271" priority="272">
      <formula>LEN(TRIM(G177))=0</formula>
    </cfRule>
  </conditionalFormatting>
  <conditionalFormatting sqref="G181 G183">
    <cfRule type="aboveAverage" dxfId="270" priority="270"/>
  </conditionalFormatting>
  <conditionalFormatting sqref="G181 G183">
    <cfRule type="containsBlanks" dxfId="269" priority="269">
      <formula>LEN(TRIM(G181))=0</formula>
    </cfRule>
  </conditionalFormatting>
  <conditionalFormatting sqref="G181 G183">
    <cfRule type="aboveAverage" dxfId="268" priority="268"/>
  </conditionalFormatting>
  <conditionalFormatting sqref="G181 G183">
    <cfRule type="containsBlanks" dxfId="267" priority="267">
      <formula>LEN(TRIM(G181))=0</formula>
    </cfRule>
  </conditionalFormatting>
  <conditionalFormatting sqref="I185 I187">
    <cfRule type="aboveAverage" dxfId="266" priority="265"/>
  </conditionalFormatting>
  <conditionalFormatting sqref="I185 I187">
    <cfRule type="containsBlanks" dxfId="265" priority="264">
      <formula>LEN(TRIM(I185))=0</formula>
    </cfRule>
  </conditionalFormatting>
  <conditionalFormatting sqref="I185 I187">
    <cfRule type="aboveAverage" dxfId="264" priority="263"/>
  </conditionalFormatting>
  <conditionalFormatting sqref="I185 I187">
    <cfRule type="containsBlanks" dxfId="263" priority="262">
      <formula>LEN(TRIM(I185))=0</formula>
    </cfRule>
  </conditionalFormatting>
  <conditionalFormatting sqref="E103">
    <cfRule type="aboveAverage" dxfId="262" priority="255"/>
  </conditionalFormatting>
  <conditionalFormatting sqref="E103">
    <cfRule type="containsBlanks" dxfId="261" priority="254">
      <formula>LEN(TRIM(E103))=0</formula>
    </cfRule>
  </conditionalFormatting>
  <conditionalFormatting sqref="E115">
    <cfRule type="aboveAverage" dxfId="260" priority="253"/>
  </conditionalFormatting>
  <conditionalFormatting sqref="E115">
    <cfRule type="containsBlanks" dxfId="259" priority="252">
      <formula>LEN(TRIM(E115))=0</formula>
    </cfRule>
  </conditionalFormatting>
  <conditionalFormatting sqref="E111">
    <cfRule type="aboveAverage" dxfId="258" priority="250"/>
  </conditionalFormatting>
  <conditionalFormatting sqref="E111">
    <cfRule type="containsBlanks" dxfId="257" priority="249">
      <formula>LEN(TRIM(E111))=0</formula>
    </cfRule>
  </conditionalFormatting>
  <conditionalFormatting sqref="E123">
    <cfRule type="aboveAverage" dxfId="256" priority="248"/>
  </conditionalFormatting>
  <conditionalFormatting sqref="E123">
    <cfRule type="containsBlanks" dxfId="255" priority="247">
      <formula>LEN(TRIM(E123))=0</formula>
    </cfRule>
  </conditionalFormatting>
  <conditionalFormatting sqref="E119">
    <cfRule type="aboveAverage" dxfId="254" priority="245"/>
  </conditionalFormatting>
  <conditionalFormatting sqref="E119">
    <cfRule type="containsBlanks" dxfId="253" priority="244">
      <formula>LEN(TRIM(E119))=0</formula>
    </cfRule>
  </conditionalFormatting>
  <conditionalFormatting sqref="E131">
    <cfRule type="aboveAverage" dxfId="252" priority="243"/>
  </conditionalFormatting>
  <conditionalFormatting sqref="E131">
    <cfRule type="containsBlanks" dxfId="251" priority="242">
      <formula>LEN(TRIM(E131))=0</formula>
    </cfRule>
  </conditionalFormatting>
  <conditionalFormatting sqref="E127">
    <cfRule type="aboveAverage" dxfId="250" priority="240"/>
  </conditionalFormatting>
  <conditionalFormatting sqref="E127">
    <cfRule type="containsBlanks" dxfId="249" priority="239">
      <formula>LEN(TRIM(E127))=0</formula>
    </cfRule>
  </conditionalFormatting>
  <conditionalFormatting sqref="I143">
    <cfRule type="aboveAverage" dxfId="248" priority="238"/>
  </conditionalFormatting>
  <conditionalFormatting sqref="I143">
    <cfRule type="containsBlanks" dxfId="247" priority="237">
      <formula>LEN(TRIM(I143))=0</formula>
    </cfRule>
  </conditionalFormatting>
  <conditionalFormatting sqref="I139">
    <cfRule type="aboveAverage" dxfId="246" priority="235"/>
  </conditionalFormatting>
  <conditionalFormatting sqref="I139">
    <cfRule type="containsBlanks" dxfId="245" priority="234">
      <formula>LEN(TRIM(I139))=0</formula>
    </cfRule>
  </conditionalFormatting>
  <conditionalFormatting sqref="G160">
    <cfRule type="aboveAverage" dxfId="244" priority="233"/>
  </conditionalFormatting>
  <conditionalFormatting sqref="G160">
    <cfRule type="containsBlanks" dxfId="243" priority="232">
      <formula>LEN(TRIM(G160))=0</formula>
    </cfRule>
  </conditionalFormatting>
  <conditionalFormatting sqref="G156">
    <cfRule type="aboveAverage" dxfId="242" priority="230"/>
  </conditionalFormatting>
  <conditionalFormatting sqref="G156">
    <cfRule type="containsBlanks" dxfId="241" priority="229">
      <formula>LEN(TRIM(G156))=0</formula>
    </cfRule>
  </conditionalFormatting>
  <conditionalFormatting sqref="G168">
    <cfRule type="aboveAverage" dxfId="240" priority="228"/>
  </conditionalFormatting>
  <conditionalFormatting sqref="G168">
    <cfRule type="containsBlanks" dxfId="239" priority="227">
      <formula>LEN(TRIM(G168))=0</formula>
    </cfRule>
  </conditionalFormatting>
  <conditionalFormatting sqref="G164">
    <cfRule type="aboveAverage" dxfId="238" priority="225"/>
  </conditionalFormatting>
  <conditionalFormatting sqref="G164">
    <cfRule type="containsBlanks" dxfId="237" priority="224">
      <formula>LEN(TRIM(G164))=0</formula>
    </cfRule>
  </conditionalFormatting>
  <conditionalFormatting sqref="I182">
    <cfRule type="aboveAverage" dxfId="236" priority="223"/>
  </conditionalFormatting>
  <conditionalFormatting sqref="I182">
    <cfRule type="containsBlanks" dxfId="235" priority="222">
      <formula>LEN(TRIM(I182))=0</formula>
    </cfRule>
  </conditionalFormatting>
  <conditionalFormatting sqref="I178">
    <cfRule type="aboveAverage" dxfId="234" priority="220"/>
  </conditionalFormatting>
  <conditionalFormatting sqref="I178">
    <cfRule type="containsBlanks" dxfId="233" priority="219">
      <formula>LEN(TRIM(I178))=0</formula>
    </cfRule>
  </conditionalFormatting>
  <conditionalFormatting sqref="G105">
    <cfRule type="aboveAverage" dxfId="232" priority="202"/>
  </conditionalFormatting>
  <conditionalFormatting sqref="G105">
    <cfRule type="containsBlanks" dxfId="231" priority="201">
      <formula>LEN(TRIM(G105))=0</formula>
    </cfRule>
  </conditionalFormatting>
  <conditionalFormatting sqref="G129">
    <cfRule type="aboveAverage" dxfId="230" priority="200"/>
  </conditionalFormatting>
  <conditionalFormatting sqref="G129">
    <cfRule type="containsBlanks" dxfId="229" priority="199">
      <formula>LEN(TRIM(G129))=0</formula>
    </cfRule>
  </conditionalFormatting>
  <conditionalFormatting sqref="G121">
    <cfRule type="aboveAverage" dxfId="228" priority="197"/>
  </conditionalFormatting>
  <conditionalFormatting sqref="G121">
    <cfRule type="containsBlanks" dxfId="227" priority="196">
      <formula>LEN(TRIM(G121))=0</formula>
    </cfRule>
  </conditionalFormatting>
  <conditionalFormatting sqref="I166">
    <cfRule type="aboveAverage" dxfId="226" priority="195"/>
  </conditionalFormatting>
  <conditionalFormatting sqref="I166">
    <cfRule type="containsBlanks" dxfId="225" priority="194">
      <formula>LEN(TRIM(I166))=0</formula>
    </cfRule>
  </conditionalFormatting>
  <conditionalFormatting sqref="I158">
    <cfRule type="aboveAverage" dxfId="224" priority="192"/>
  </conditionalFormatting>
  <conditionalFormatting sqref="I158">
    <cfRule type="containsBlanks" dxfId="223" priority="191">
      <formula>LEN(TRIM(I158))=0</formula>
    </cfRule>
  </conditionalFormatting>
  <conditionalFormatting sqref="I109">
    <cfRule type="aboveAverage" dxfId="222" priority="184"/>
  </conditionalFormatting>
  <conditionalFormatting sqref="I109">
    <cfRule type="containsBlanks" dxfId="221" priority="183">
      <formula>LEN(TRIM(I109))=0</formula>
    </cfRule>
  </conditionalFormatting>
  <conditionalFormatting sqref="A194:A224">
    <cfRule type="cellIs" dxfId="220" priority="181" operator="equal">
      <formula>"-"</formula>
    </cfRule>
    <cfRule type="duplicateValues" dxfId="219" priority="182"/>
  </conditionalFormatting>
  <conditionalFormatting sqref="E199">
    <cfRule type="aboveAverage" dxfId="218" priority="180"/>
  </conditionalFormatting>
  <conditionalFormatting sqref="G205">
    <cfRule type="aboveAverage" dxfId="217" priority="179"/>
  </conditionalFormatting>
  <conditionalFormatting sqref="E199 G205">
    <cfRule type="containsBlanks" dxfId="216" priority="178">
      <formula>LEN(TRIM(E199))=0</formula>
    </cfRule>
  </conditionalFormatting>
  <conditionalFormatting sqref="I217">
    <cfRule type="aboveAverage" dxfId="215" priority="177"/>
  </conditionalFormatting>
  <conditionalFormatting sqref="I217">
    <cfRule type="containsBlanks" dxfId="214" priority="176">
      <formula>LEN(TRIM(I217))=0</formula>
    </cfRule>
  </conditionalFormatting>
  <conditionalFormatting sqref="C194 C196">
    <cfRule type="aboveAverage" dxfId="213" priority="175"/>
  </conditionalFormatting>
  <conditionalFormatting sqref="C194 C196">
    <cfRule type="containsBlanks" dxfId="212" priority="174">
      <formula>LEN(TRIM(C194))=0</formula>
    </cfRule>
  </conditionalFormatting>
  <conditionalFormatting sqref="C198 C200">
    <cfRule type="aboveAverage" dxfId="211" priority="173"/>
  </conditionalFormatting>
  <conditionalFormatting sqref="C198 C200">
    <cfRule type="containsBlanks" dxfId="210" priority="172">
      <formula>LEN(TRIM(C198))=0</formula>
    </cfRule>
  </conditionalFormatting>
  <conditionalFormatting sqref="C206 C208">
    <cfRule type="aboveAverage" dxfId="209" priority="169"/>
  </conditionalFormatting>
  <conditionalFormatting sqref="C206 C208">
    <cfRule type="containsBlanks" dxfId="208" priority="168">
      <formula>LEN(TRIM(C206))=0</formula>
    </cfRule>
  </conditionalFormatting>
  <conditionalFormatting sqref="C210 C212">
    <cfRule type="aboveAverage" dxfId="207" priority="167"/>
  </conditionalFormatting>
  <conditionalFormatting sqref="C210 C212">
    <cfRule type="containsBlanks" dxfId="206" priority="166">
      <formula>LEN(TRIM(C210))=0</formula>
    </cfRule>
  </conditionalFormatting>
  <conditionalFormatting sqref="C214 C216">
    <cfRule type="aboveAverage" dxfId="205" priority="165"/>
  </conditionalFormatting>
  <conditionalFormatting sqref="C214 C216">
    <cfRule type="containsBlanks" dxfId="204" priority="164">
      <formula>LEN(TRIM(C214))=0</formula>
    </cfRule>
  </conditionalFormatting>
  <conditionalFormatting sqref="C218 C220">
    <cfRule type="aboveAverage" dxfId="203" priority="163"/>
  </conditionalFormatting>
  <conditionalFormatting sqref="C218 C220">
    <cfRule type="containsBlanks" dxfId="202" priority="162">
      <formula>LEN(TRIM(C218))=0</formula>
    </cfRule>
  </conditionalFormatting>
  <conditionalFormatting sqref="C222 C224">
    <cfRule type="aboveAverage" dxfId="201" priority="161"/>
  </conditionalFormatting>
  <conditionalFormatting sqref="C222 C224">
    <cfRule type="containsBlanks" dxfId="200" priority="160">
      <formula>LEN(TRIM(C222))=0</formula>
    </cfRule>
  </conditionalFormatting>
  <conditionalFormatting sqref="E251 E253">
    <cfRule type="aboveAverage" dxfId="199" priority="158"/>
  </conditionalFormatting>
  <conditionalFormatting sqref="E255 E257">
    <cfRule type="aboveAverage" dxfId="198" priority="157"/>
  </conditionalFormatting>
  <conditionalFormatting sqref="E259 E261">
    <cfRule type="aboveAverage" dxfId="197" priority="156"/>
  </conditionalFormatting>
  <conditionalFormatting sqref="E251 E253 E255 E257 E259 E261">
    <cfRule type="containsBlanks" dxfId="196" priority="155">
      <formula>LEN(TRIM(E251))=0</formula>
    </cfRule>
  </conditionalFormatting>
  <conditionalFormatting sqref="E247 E249">
    <cfRule type="aboveAverage" dxfId="195" priority="154"/>
  </conditionalFormatting>
  <conditionalFormatting sqref="E247 E249">
    <cfRule type="containsBlanks" dxfId="194" priority="153">
      <formula>LEN(TRIM(E247))=0</formula>
    </cfRule>
  </conditionalFormatting>
  <conditionalFormatting sqref="E251 E253">
    <cfRule type="aboveAverage" dxfId="193" priority="152"/>
  </conditionalFormatting>
  <conditionalFormatting sqref="E251 E253">
    <cfRule type="containsBlanks" dxfId="192" priority="151">
      <formula>LEN(TRIM(E251))=0</formula>
    </cfRule>
  </conditionalFormatting>
  <conditionalFormatting sqref="E255 E257">
    <cfRule type="aboveAverage" dxfId="191" priority="150"/>
  </conditionalFormatting>
  <conditionalFormatting sqref="E255 E257">
    <cfRule type="containsBlanks" dxfId="190" priority="149">
      <formula>LEN(TRIM(E255))=0</formula>
    </cfRule>
  </conditionalFormatting>
  <conditionalFormatting sqref="E259 E261">
    <cfRule type="aboveAverage" dxfId="189" priority="148"/>
  </conditionalFormatting>
  <conditionalFormatting sqref="E259 E261">
    <cfRule type="containsBlanks" dxfId="188" priority="147">
      <formula>LEN(TRIM(E259))=0</formula>
    </cfRule>
  </conditionalFormatting>
  <conditionalFormatting sqref="G230 G232">
    <cfRule type="aboveAverage" dxfId="187" priority="145"/>
  </conditionalFormatting>
  <conditionalFormatting sqref="G230 G232">
    <cfRule type="containsBlanks" dxfId="186" priority="144">
      <formula>LEN(TRIM(G230))=0</formula>
    </cfRule>
  </conditionalFormatting>
  <conditionalFormatting sqref="I223 I225">
    <cfRule type="aboveAverage" dxfId="185" priority="142"/>
  </conditionalFormatting>
  <conditionalFormatting sqref="I223 I225">
    <cfRule type="containsBlanks" dxfId="184" priority="141">
      <formula>LEN(TRIM(I223))=0</formula>
    </cfRule>
  </conditionalFormatting>
  <conditionalFormatting sqref="G234 G236">
    <cfRule type="aboveAverage" dxfId="183" priority="139"/>
  </conditionalFormatting>
  <conditionalFormatting sqref="G234 G236">
    <cfRule type="containsBlanks" dxfId="182" priority="138">
      <formula>LEN(TRIM(G234))=0</formula>
    </cfRule>
  </conditionalFormatting>
  <conditionalFormatting sqref="I238 I240">
    <cfRule type="aboveAverage" dxfId="181" priority="136"/>
  </conditionalFormatting>
  <conditionalFormatting sqref="I238 I240">
    <cfRule type="containsBlanks" dxfId="180" priority="135">
      <formula>LEN(TRIM(I238))=0</formula>
    </cfRule>
  </conditionalFormatting>
  <conditionalFormatting sqref="I262 I264">
    <cfRule type="aboveAverage" dxfId="179" priority="133"/>
  </conditionalFormatting>
  <conditionalFormatting sqref="I262 I264">
    <cfRule type="containsBlanks" dxfId="178" priority="132">
      <formula>LEN(TRIM(I262))=0</formula>
    </cfRule>
  </conditionalFormatting>
  <conditionalFormatting sqref="I262 I264">
    <cfRule type="aboveAverage" dxfId="177" priority="131"/>
  </conditionalFormatting>
  <conditionalFormatting sqref="I262 I264">
    <cfRule type="containsBlanks" dxfId="176" priority="130">
      <formula>LEN(TRIM(I262))=0</formula>
    </cfRule>
  </conditionalFormatting>
  <conditionalFormatting sqref="G269 G271">
    <cfRule type="aboveAverage" dxfId="175" priority="128"/>
  </conditionalFormatting>
  <conditionalFormatting sqref="G269 G271">
    <cfRule type="containsBlanks" dxfId="174" priority="127">
      <formula>LEN(TRIM(G269))=0</formula>
    </cfRule>
  </conditionalFormatting>
  <conditionalFormatting sqref="G269 G271">
    <cfRule type="aboveAverage" dxfId="173" priority="126"/>
  </conditionalFormatting>
  <conditionalFormatting sqref="G269 G271">
    <cfRule type="containsBlanks" dxfId="172" priority="125">
      <formula>LEN(TRIM(G269))=0</formula>
    </cfRule>
  </conditionalFormatting>
  <conditionalFormatting sqref="G273 G275">
    <cfRule type="aboveAverage" dxfId="171" priority="123"/>
  </conditionalFormatting>
  <conditionalFormatting sqref="G273 G275">
    <cfRule type="containsBlanks" dxfId="170" priority="122">
      <formula>LEN(TRIM(G273))=0</formula>
    </cfRule>
  </conditionalFormatting>
  <conditionalFormatting sqref="G273 G275">
    <cfRule type="aboveAverage" dxfId="169" priority="121"/>
  </conditionalFormatting>
  <conditionalFormatting sqref="G273 G275">
    <cfRule type="containsBlanks" dxfId="168" priority="120">
      <formula>LEN(TRIM(G273))=0</formula>
    </cfRule>
  </conditionalFormatting>
  <conditionalFormatting sqref="I277 I279">
    <cfRule type="aboveAverage" dxfId="167" priority="118"/>
  </conditionalFormatting>
  <conditionalFormatting sqref="I277 I279">
    <cfRule type="containsBlanks" dxfId="166" priority="117">
      <formula>LEN(TRIM(I277))=0</formula>
    </cfRule>
  </conditionalFormatting>
  <conditionalFormatting sqref="I277 I279">
    <cfRule type="aboveAverage" dxfId="165" priority="116"/>
  </conditionalFormatting>
  <conditionalFormatting sqref="I277 I279">
    <cfRule type="containsBlanks" dxfId="164" priority="115">
      <formula>LEN(TRIM(I277))=0</formula>
    </cfRule>
  </conditionalFormatting>
  <conditionalFormatting sqref="E195">
    <cfRule type="aboveAverage" dxfId="163" priority="113"/>
  </conditionalFormatting>
  <conditionalFormatting sqref="E195">
    <cfRule type="containsBlanks" dxfId="162" priority="112">
      <formula>LEN(TRIM(E195))=0</formula>
    </cfRule>
  </conditionalFormatting>
  <conditionalFormatting sqref="E207">
    <cfRule type="aboveAverage" dxfId="161" priority="111"/>
  </conditionalFormatting>
  <conditionalFormatting sqref="E207">
    <cfRule type="containsBlanks" dxfId="160" priority="110">
      <formula>LEN(TRIM(E207))=0</formula>
    </cfRule>
  </conditionalFormatting>
  <conditionalFormatting sqref="E203">
    <cfRule type="aboveAverage" dxfId="159" priority="108"/>
  </conditionalFormatting>
  <conditionalFormatting sqref="E203">
    <cfRule type="containsBlanks" dxfId="158" priority="107">
      <formula>LEN(TRIM(E203))=0</formula>
    </cfRule>
  </conditionalFormatting>
  <conditionalFormatting sqref="E215">
    <cfRule type="aboveAverage" dxfId="157" priority="106"/>
  </conditionalFormatting>
  <conditionalFormatting sqref="E215">
    <cfRule type="containsBlanks" dxfId="156" priority="105">
      <formula>LEN(TRIM(E215))=0</formula>
    </cfRule>
  </conditionalFormatting>
  <conditionalFormatting sqref="E211">
    <cfRule type="aboveAverage" dxfId="155" priority="103"/>
  </conditionalFormatting>
  <conditionalFormatting sqref="E211">
    <cfRule type="containsBlanks" dxfId="154" priority="102">
      <formula>LEN(TRIM(E211))=0</formula>
    </cfRule>
  </conditionalFormatting>
  <conditionalFormatting sqref="E223">
    <cfRule type="aboveAverage" dxfId="153" priority="101"/>
  </conditionalFormatting>
  <conditionalFormatting sqref="E223">
    <cfRule type="containsBlanks" dxfId="152" priority="100">
      <formula>LEN(TRIM(E223))=0</formula>
    </cfRule>
  </conditionalFormatting>
  <conditionalFormatting sqref="E219">
    <cfRule type="aboveAverage" dxfId="151" priority="98"/>
  </conditionalFormatting>
  <conditionalFormatting sqref="E219">
    <cfRule type="containsBlanks" dxfId="150" priority="97">
      <formula>LEN(TRIM(E219))=0</formula>
    </cfRule>
  </conditionalFormatting>
  <conditionalFormatting sqref="I235">
    <cfRule type="aboveAverage" dxfId="149" priority="96"/>
  </conditionalFormatting>
  <conditionalFormatting sqref="I235">
    <cfRule type="containsBlanks" dxfId="148" priority="95">
      <formula>LEN(TRIM(I235))=0</formula>
    </cfRule>
  </conditionalFormatting>
  <conditionalFormatting sqref="I231">
    <cfRule type="aboveAverage" dxfId="147" priority="93"/>
  </conditionalFormatting>
  <conditionalFormatting sqref="I231">
    <cfRule type="containsBlanks" dxfId="146" priority="92">
      <formula>LEN(TRIM(I231))=0</formula>
    </cfRule>
  </conditionalFormatting>
  <conditionalFormatting sqref="G252">
    <cfRule type="aboveAverage" dxfId="145" priority="91"/>
  </conditionalFormatting>
  <conditionalFormatting sqref="G252">
    <cfRule type="containsBlanks" dxfId="144" priority="90">
      <formula>LEN(TRIM(G252))=0</formula>
    </cfRule>
  </conditionalFormatting>
  <conditionalFormatting sqref="G248">
    <cfRule type="aboveAverage" dxfId="143" priority="88"/>
  </conditionalFormatting>
  <conditionalFormatting sqref="G248">
    <cfRule type="containsBlanks" dxfId="142" priority="87">
      <formula>LEN(TRIM(G248))=0</formula>
    </cfRule>
  </conditionalFormatting>
  <conditionalFormatting sqref="G260">
    <cfRule type="aboveAverage" dxfId="141" priority="86"/>
  </conditionalFormatting>
  <conditionalFormatting sqref="G260">
    <cfRule type="containsBlanks" dxfId="140" priority="85">
      <formula>LEN(TRIM(G260))=0</formula>
    </cfRule>
  </conditionalFormatting>
  <conditionalFormatting sqref="G256">
    <cfRule type="aboveAverage" dxfId="139" priority="83"/>
  </conditionalFormatting>
  <conditionalFormatting sqref="G256">
    <cfRule type="containsBlanks" dxfId="138" priority="82">
      <formula>LEN(TRIM(G256))=0</formula>
    </cfRule>
  </conditionalFormatting>
  <conditionalFormatting sqref="I274">
    <cfRule type="aboveAverage" dxfId="137" priority="81"/>
  </conditionalFormatting>
  <conditionalFormatting sqref="I274">
    <cfRule type="containsBlanks" dxfId="136" priority="80">
      <formula>LEN(TRIM(I274))=0</formula>
    </cfRule>
  </conditionalFormatting>
  <conditionalFormatting sqref="I270">
    <cfRule type="aboveAverage" dxfId="135" priority="78"/>
  </conditionalFormatting>
  <conditionalFormatting sqref="I270">
    <cfRule type="containsBlanks" dxfId="134" priority="77">
      <formula>LEN(TRIM(I270))=0</formula>
    </cfRule>
  </conditionalFormatting>
  <conditionalFormatting sqref="G197">
    <cfRule type="aboveAverage" dxfId="133" priority="75"/>
  </conditionalFormatting>
  <conditionalFormatting sqref="G197">
    <cfRule type="containsBlanks" dxfId="132" priority="74">
      <formula>LEN(TRIM(G197))=0</formula>
    </cfRule>
  </conditionalFormatting>
  <conditionalFormatting sqref="G221">
    <cfRule type="aboveAverage" dxfId="131" priority="73"/>
  </conditionalFormatting>
  <conditionalFormatting sqref="G221">
    <cfRule type="containsBlanks" dxfId="130" priority="72">
      <formula>LEN(TRIM(G221))=0</formula>
    </cfRule>
  </conditionalFormatting>
  <conditionalFormatting sqref="G213">
    <cfRule type="aboveAverage" dxfId="129" priority="70"/>
  </conditionalFormatting>
  <conditionalFormatting sqref="G213">
    <cfRule type="containsBlanks" dxfId="128" priority="69">
      <formula>LEN(TRIM(G213))=0</formula>
    </cfRule>
  </conditionalFormatting>
  <conditionalFormatting sqref="I258">
    <cfRule type="aboveAverage" dxfId="127" priority="68"/>
  </conditionalFormatting>
  <conditionalFormatting sqref="I258">
    <cfRule type="containsBlanks" dxfId="126" priority="67">
      <formula>LEN(TRIM(I258))=0</formula>
    </cfRule>
  </conditionalFormatting>
  <conditionalFormatting sqref="I250">
    <cfRule type="aboveAverage" dxfId="125" priority="65"/>
  </conditionalFormatting>
  <conditionalFormatting sqref="I250">
    <cfRule type="containsBlanks" dxfId="124" priority="64">
      <formula>LEN(TRIM(I250))=0</formula>
    </cfRule>
  </conditionalFormatting>
  <conditionalFormatting sqref="I201">
    <cfRule type="aboveAverage" dxfId="123" priority="62"/>
  </conditionalFormatting>
  <conditionalFormatting sqref="I201">
    <cfRule type="containsBlanks" dxfId="122" priority="61">
      <formula>LEN(TRIM(I201))=0</formula>
    </cfRule>
  </conditionalFormatting>
  <conditionalFormatting sqref="C202 C204">
    <cfRule type="aboveAverage" dxfId="121" priority="60"/>
  </conditionalFormatting>
  <conditionalFormatting sqref="C202 C204">
    <cfRule type="containsBlanks" dxfId="120" priority="59">
      <formula>LEN(TRIM(C202))=0</formula>
    </cfRule>
  </conditionalFormatting>
  <conditionalFormatting sqref="B313 B321">
    <cfRule type="containsBlanks" dxfId="119" priority="57">
      <formula>LEN(TRIM(B313))=0</formula>
    </cfRule>
    <cfRule type="duplicateValues" dxfId="118" priority="58"/>
  </conditionalFormatting>
  <conditionalFormatting sqref="B301:B322">
    <cfRule type="containsBlanks" dxfId="117" priority="55">
      <formula>LEN(TRIM(B301))=0</formula>
    </cfRule>
    <cfRule type="duplicateValues" dxfId="116" priority="56"/>
  </conditionalFormatting>
  <conditionalFormatting sqref="B300:B322">
    <cfRule type="expression" dxfId="115" priority="50">
      <formula>A300=3</formula>
    </cfRule>
    <cfRule type="expression" dxfId="114" priority="51">
      <formula>A300=2</formula>
    </cfRule>
    <cfRule type="expression" dxfId="113" priority="52">
      <formula>A300=1</formula>
    </cfRule>
    <cfRule type="containsBlanks" dxfId="112" priority="53">
      <formula>LEN(TRIM(B300))=0</formula>
    </cfRule>
    <cfRule type="duplicateValues" dxfId="111" priority="54"/>
  </conditionalFormatting>
  <conditionalFormatting sqref="J14:J18">
    <cfRule type="expression" dxfId="110" priority="975">
      <formula>AND(L14=3,IF(COUNTIF(L$14:L$18,"=3")&gt;=2,TRUE))</formula>
    </cfRule>
    <cfRule type="expression" dxfId="109" priority="976">
      <formula>AND(L14=1,IF(COUNTIF(L$14:L$18,"=1")&gt;=2,TRUE))</formula>
    </cfRule>
    <cfRule type="expression" dxfId="108" priority="977">
      <formula>AND(L14=2,IF(COUNTIF(L$14:L$18,"=2")&gt;=2,TRUE))</formula>
    </cfRule>
  </conditionalFormatting>
  <conditionalFormatting sqref="J49:J53">
    <cfRule type="expression" dxfId="107" priority="978">
      <formula>AND(L49=3,IF(COUNTIF(L$49:L$53,"=3")&gt;=2,TRUE))</formula>
    </cfRule>
    <cfRule type="expression" dxfId="106" priority="979">
      <formula>AND(L49=1,IF(COUNTIF(L$49:L$53,"=1")&gt;=2,TRUE))</formula>
    </cfRule>
  </conditionalFormatting>
  <conditionalFormatting sqref="J56:J60">
    <cfRule type="expression" dxfId="105" priority="980">
      <formula>AND(L56=3,IF(COUNTIF(L$56:L$60,"=3")&gt;=2,TRUE))</formula>
    </cfRule>
    <cfRule type="expression" dxfId="104" priority="981">
      <formula>AND(L56=1,IF(COUNTIF(L$56:L$60,"=1")&gt;=2,TRUE))</formula>
    </cfRule>
    <cfRule type="expression" dxfId="103" priority="982">
      <formula>AND(L56=2,IF(COUNTIF(L$56:L$60,"=2")&gt;=2,TRUE))</formula>
    </cfRule>
  </conditionalFormatting>
  <conditionalFormatting sqref="J42:J46">
    <cfRule type="expression" dxfId="102" priority="983">
      <formula>AND(L42=3,IF(COUNTIF(L$42:L$46,"=3")&gt;=2,TRUE))</formula>
    </cfRule>
    <cfRule type="expression" dxfId="101" priority="984">
      <formula>AND(L42=1,IF(COUNTIF(L$42:L$46,"=1")&gt;=2,TRUE))</formula>
    </cfRule>
    <cfRule type="expression" dxfId="100" priority="985">
      <formula>AND(L42=2,IF(COUNTIF(L$42:L$46,"=2")&gt;=2,TRUE))</formula>
    </cfRule>
  </conditionalFormatting>
  <conditionalFormatting sqref="J35:J39">
    <cfRule type="expression" dxfId="99" priority="986">
      <formula>AND(L35=3,IF(COUNTIF(L$35:L$39,"=3")&gt;=2,TRUE))</formula>
    </cfRule>
    <cfRule type="expression" dxfId="98" priority="987">
      <formula>AND(L35=1,IF(COUNTIF(L$35:L$39,"=1")&gt;=2,TRUE))</formula>
    </cfRule>
    <cfRule type="expression" dxfId="97" priority="988">
      <formula>AND(L35=2,IF(COUNTIF(L$35:L$39,"=2")&gt;=2,TRUE))</formula>
    </cfRule>
  </conditionalFormatting>
  <conditionalFormatting sqref="J28:J32">
    <cfRule type="expression" dxfId="96" priority="989">
      <formula>AND(L28=3,IF(COUNTIF(L$28:L$32,"=3")&gt;=2,TRUE))</formula>
    </cfRule>
    <cfRule type="expression" dxfId="95" priority="990">
      <formula>AND(L28=1,IF(COUNTIF(L$28:L$32,"=1")&gt;=2,TRUE))</formula>
    </cfRule>
    <cfRule type="expression" dxfId="94" priority="991">
      <formula>AND(L28=2,IF(COUNTIF(L$28:L$32,"=2")&gt;=2,TRUE))</formula>
    </cfRule>
  </conditionalFormatting>
  <conditionalFormatting sqref="J21:J25">
    <cfRule type="expression" dxfId="93" priority="992">
      <formula>AND(L21=3,IF(COUNTIF(L$21:L$25,"=3")&gt;=2,TRUE))</formula>
    </cfRule>
    <cfRule type="expression" dxfId="92" priority="993">
      <formula>AND(L21=1,IF(COUNTIF(L$21:L$25,"=1")&gt;=2,TRUE))</formula>
    </cfRule>
    <cfRule type="expression" dxfId="91" priority="994">
      <formula>AND(L21=2,IF(COUNTIF(L$21:L$25,"=2")&gt;=2,TRUE))</formula>
    </cfRule>
  </conditionalFormatting>
  <conditionalFormatting sqref="J7:J11">
    <cfRule type="expression" dxfId="90" priority="995">
      <formula>AND(L7=3,IF(COUNTIF(L$7:L$11,"=3")&gt;=2,TRUE))</formula>
    </cfRule>
    <cfRule type="expression" dxfId="89" priority="996">
      <formula>AND(L7=1,IF(COUNTIF(L$7:L$11,"=1")&gt;=2,TRUE))</formula>
    </cfRule>
    <cfRule type="expression" dxfId="88" priority="997">
      <formula>AND(L7=2,IF(COUNTIF(L$7:L$11,"=2")&gt;=2,TRUE))</formula>
    </cfRule>
  </conditionalFormatting>
  <conditionalFormatting sqref="K7:K11">
    <cfRule type="expression" dxfId="87" priority="998">
      <formula>AND(L7=2,IF(COUNTIF(L$7:L$11,"=2")=1,TRUE))</formula>
    </cfRule>
    <cfRule type="expression" dxfId="86" priority="999">
      <formula>AND(IF(COUNTIF(L$7:L$11,"=1")=2,TRUE),IF(COUNTIF(L$7:L$11,"=2")=2,TRUE))</formula>
    </cfRule>
    <cfRule type="expression" dxfId="85" priority="1000">
      <formula>OR(L7=0,L7=4)</formula>
    </cfRule>
    <cfRule type="expression" dxfId="84" priority="1001">
      <formula>AND(L7=1,IF(COUNTIF(L$7:L$11,"=1")=1,TRUE))</formula>
    </cfRule>
    <cfRule type="expression" dxfId="83" priority="1002">
      <formula>AND(L7=3,IF(COUNTIF(L$7:L$11,"=3")=1,TRUE))</formula>
    </cfRule>
  </conditionalFormatting>
  <conditionalFormatting sqref="K14:K18">
    <cfRule type="expression" dxfId="82" priority="1003">
      <formula>AND(L14=2,IF(COUNTIF(L$14:L$18,"=2")=1,TRUE))</formula>
    </cfRule>
    <cfRule type="expression" dxfId="81" priority="1004">
      <formula>AND(IF(COUNTIF(L$14:L$18,"=1")=2,TRUE),IF(COUNTIF(L$14:L$18,"=2")=2,TRUE))</formula>
    </cfRule>
    <cfRule type="expression" dxfId="80" priority="1005">
      <formula>OR(L14=0,L14=4)</formula>
    </cfRule>
    <cfRule type="expression" dxfId="79" priority="1006">
      <formula>AND(L14=1,IF(COUNTIF(L$14:L$18,"=1")=1,TRUE))</formula>
    </cfRule>
    <cfRule type="expression" dxfId="78" priority="1007">
      <formula>AND(L14=3,IF(COUNTIF(L$14:L$18,"=3")=1,TRUE))</formula>
    </cfRule>
  </conditionalFormatting>
  <conditionalFormatting sqref="K21:K25">
    <cfRule type="expression" dxfId="77" priority="1008">
      <formula>AND(L7=21,IF(COUNTIF(L$21:L$25,"=2")=1,TRUE))</formula>
    </cfRule>
    <cfRule type="expression" dxfId="76" priority="1009">
      <formula>AND(IF(COUNTIF(L$21:L$25,"=1")=2,TRUE),IF(COUNTIF(L$21:L$25,"=2")=2,TRUE))</formula>
    </cfRule>
    <cfRule type="expression" dxfId="75" priority="1010">
      <formula>OR(L21=0,L21=4)</formula>
    </cfRule>
    <cfRule type="expression" dxfId="74" priority="1011">
      <formula>AND(L21=1,IF(COUNTIF(L$21:L$25,"=1")=1,TRUE))</formula>
    </cfRule>
    <cfRule type="expression" dxfId="73" priority="1012">
      <formula>AND(L21=3,IF(COUNTIF(L$21:L$25,"=3")=1,TRUE))</formula>
    </cfRule>
  </conditionalFormatting>
  <conditionalFormatting sqref="K35:K39">
    <cfRule type="expression" dxfId="72" priority="1013">
      <formula>AND(L35=2,IF(COUNTIF(L$35:L$39,"=2")=1,TRUE))</formula>
    </cfRule>
    <cfRule type="expression" dxfId="71" priority="1014">
      <formula>AND(IF(COUNTIF(L$35:L$39,"=1")=2,TRUE),IF(COUNTIF(L$35:L$39,"=2")=2,TRUE))</formula>
    </cfRule>
    <cfRule type="expression" dxfId="70" priority="1015">
      <formula>OR(L35=0,L35=4)</formula>
    </cfRule>
    <cfRule type="expression" dxfId="69" priority="1016">
      <formula>AND(L35=1,IF(COUNTIF(L$35:L$39,"=1")=1,TRUE))</formula>
    </cfRule>
    <cfRule type="expression" dxfId="68" priority="1017">
      <formula>AND(L35=3,IF(COUNTIF(L$35:L$39,"=3")=1,TRUE))</formula>
    </cfRule>
  </conditionalFormatting>
  <conditionalFormatting sqref="K28:K32">
    <cfRule type="expression" dxfId="67" priority="1018">
      <formula>AND(L28=2,IF(COUNTIF(L$28:L$32,"=2")=1,TRUE))</formula>
    </cfRule>
    <cfRule type="expression" dxfId="66" priority="1019">
      <formula>AND(IF(COUNTIF(L$28:L$32,"=1")=2,TRUE),IF(COUNTIF(L$28:L$32,"=2")=2,TRUE))</formula>
    </cfRule>
    <cfRule type="expression" dxfId="65" priority="1020">
      <formula>OR(L28=0,L28=4)</formula>
    </cfRule>
    <cfRule type="expression" dxfId="64" priority="1021">
      <formula>AND(L28=1,IF(COUNTIF(L$28:L$32,"=1")=1,TRUE))</formula>
    </cfRule>
    <cfRule type="expression" dxfId="63" priority="1022">
      <formula>AND(L28=3,IF(COUNTIF(L$28:L$32,"=3")=1,TRUE))</formula>
    </cfRule>
  </conditionalFormatting>
  <conditionalFormatting sqref="K42:K46">
    <cfRule type="expression" dxfId="62" priority="1023">
      <formula>AND(L42=2,IF(COUNTIF(L$42:L$46,"=2")=1,TRUE))</formula>
    </cfRule>
    <cfRule type="expression" dxfId="61" priority="1024">
      <formula>AND(IF(COUNTIF(L$42:L$46,"=1")=2,TRUE),IF(COUNTIF(L$42:L$46,"=2")=2,TRUE))</formula>
    </cfRule>
    <cfRule type="expression" dxfId="60" priority="1025">
      <formula>OR(L42=0,L42=4)</formula>
    </cfRule>
    <cfRule type="expression" dxfId="59" priority="1026">
      <formula>AND(L42=1,IF(COUNTIF(L$42:L$46,"=1")=1,TRUE))</formula>
    </cfRule>
    <cfRule type="expression" dxfId="58" priority="1027">
      <formula>AND(L42=3,IF(COUNTIF(L$42:L$46,"=3")=1,TRUE))</formula>
    </cfRule>
  </conditionalFormatting>
  <conditionalFormatting sqref="K49:K53">
    <cfRule type="expression" dxfId="57" priority="1028">
      <formula>AND(L49=2,IF(COUNTIF(L$49:L$53,"=2")=1,TRUE))</formula>
    </cfRule>
    <cfRule type="expression" dxfId="56" priority="1029">
      <formula>AND(IF(COUNTIF(L$49:L$53,"=1")=2,TRUE),IF(COUNTIF(L$49:L$53,"=2")=2,TRUE))</formula>
    </cfRule>
    <cfRule type="expression" dxfId="55" priority="1030">
      <formula>OR(L49=0,L49=4)</formula>
    </cfRule>
    <cfRule type="expression" dxfId="54" priority="1031">
      <formula>AND(L49=1,IF(COUNTIF(L$49:L$53,"=1")=1,TRUE))</formula>
    </cfRule>
    <cfRule type="expression" dxfId="53" priority="1032">
      <formula>AND(L49=3,IF(COUNTIF(L$49:L$53,"=3")=1,TRUE))</formula>
    </cfRule>
  </conditionalFormatting>
  <conditionalFormatting sqref="K56:K60">
    <cfRule type="expression" dxfId="52" priority="1033">
      <formula>AND(L56=2,IF(COUNTIF(L$56:L$60,"=2")=1,TRUE))</formula>
    </cfRule>
    <cfRule type="expression" dxfId="51" priority="1034">
      <formula>AND(IF(COUNTIF(L$56:L$60,"=1")=2,TRUE),IF(COUNTIF(L$56:L$60,"=2")=2,TRUE))</formula>
    </cfRule>
    <cfRule type="expression" dxfId="50" priority="1035">
      <formula>OR(L56=0,L56=4)</formula>
    </cfRule>
    <cfRule type="expression" dxfId="49" priority="1036">
      <formula>AND(L56=1,IF(COUNTIF(L$56:L$60,"=1")=1,TRUE))</formula>
    </cfRule>
    <cfRule type="expression" dxfId="48" priority="1037">
      <formula>AND(L56=3,IF(COUNTIF(L$56:L$60,"=3")=1,TRUE))</formula>
    </cfRule>
  </conditionalFormatting>
  <conditionalFormatting sqref="H7:H11">
    <cfRule type="expression" dxfId="47" priority="1038">
      <formula>AND(L7=1,IF(COUNTIF(L$7:L$11,"=1")&gt;=2,TRUE))</formula>
    </cfRule>
    <cfRule type="expression" dxfId="46" priority="1039">
      <formula>AND(L7=3,IF(COUNTIF(L$7:L$11,"=3")&gt;=2,TRUE))</formula>
    </cfRule>
    <cfRule type="expression" dxfId="45" priority="1040">
      <formula>AND(L7=2,IF(COUNTIF(L$7:L$11,"=2")&gt;=2,TRUE))</formula>
    </cfRule>
  </conditionalFormatting>
  <conditionalFormatting sqref="H14:H18">
    <cfRule type="expression" dxfId="44" priority="1041">
      <formula>AND(L14=1,IF(COUNTIF(L$14:L$18,"=1")&gt;=2,TRUE))</formula>
    </cfRule>
    <cfRule type="expression" dxfId="43" priority="1042">
      <formula>AND(L14=3,IF(COUNTIF(L$14:L$18,"=3")&gt;=2,TRUE))</formula>
    </cfRule>
    <cfRule type="expression" dxfId="42" priority="1043">
      <formula>AND(L14=2,IF(COUNTIF(L$14:L$18,"=2")&gt;=2,TRUE))</formula>
    </cfRule>
  </conditionalFormatting>
  <conditionalFormatting sqref="H21:H25">
    <cfRule type="expression" dxfId="41" priority="1044">
      <formula>AND(L21=1,IF(COUNTIF(L$21:L$25,"=1")&gt;=2,TRUE))</formula>
    </cfRule>
    <cfRule type="expression" dxfId="40" priority="1045">
      <formula>AND(L21=3,IF(COUNTIF(L$21:L$25,"=3")&gt;=2,TRUE))</formula>
    </cfRule>
    <cfRule type="expression" dxfId="39" priority="1046">
      <formula>AND(L21=2,IF(COUNTIF(L$21:L$25,"=2")&gt;=2,TRUE))</formula>
    </cfRule>
  </conditionalFormatting>
  <conditionalFormatting sqref="H28:H32">
    <cfRule type="expression" dxfId="38" priority="1047">
      <formula>AND(L28=1,IF(COUNTIF(L$28:L$32,"=1")&gt;=2,TRUE))</formula>
    </cfRule>
    <cfRule type="expression" dxfId="37" priority="1048">
      <formula>AND(L28=3,IF(COUNTIF(L$28:L$32,"=3")&gt;=2,TRUE))</formula>
    </cfRule>
    <cfRule type="expression" dxfId="36" priority="1049">
      <formula>AND(L28=2,IF(COUNTIF(L$28:L$32,"=2")&gt;=2,TRUE))</formula>
    </cfRule>
  </conditionalFormatting>
  <conditionalFormatting sqref="H35:H39">
    <cfRule type="expression" dxfId="35" priority="1050">
      <formula>AND(L35=1,IF(COUNTIF(L$35:L$39,"=1")&gt;=2,TRUE))</formula>
    </cfRule>
    <cfRule type="expression" dxfId="34" priority="1051">
      <formula>AND(L35=3,IF(COUNTIF(L$35:L$39,"=3")&gt;=2,TRUE))</formula>
    </cfRule>
    <cfRule type="expression" dxfId="33" priority="1052">
      <formula>AND(L35=2,IF(COUNTIF(L$35:L$39,"=2")&gt;=2,TRUE))</formula>
    </cfRule>
  </conditionalFormatting>
  <conditionalFormatting sqref="H42:H46">
    <cfRule type="expression" dxfId="32" priority="1053">
      <formula>AND(L42=1,IF(COUNTIF(L$42:L$46,"=1")&gt;=2,TRUE))</formula>
    </cfRule>
    <cfRule type="expression" dxfId="31" priority="1054">
      <formula>AND(L42=3,IF(COUNTIF(L$42:L$46,"=3")&gt;=2,TRUE))</formula>
    </cfRule>
    <cfRule type="expression" dxfId="30" priority="1055">
      <formula>AND(L42=2,IF(COUNTIF(L$42:L$46,"=2")&gt;=2,TRUE))</formula>
    </cfRule>
  </conditionalFormatting>
  <conditionalFormatting sqref="H49:H53">
    <cfRule type="expression" dxfId="29" priority="1056">
      <formula>AND(L49=1,IF(COUNTIF(L$49:L$53,"=1")&gt;=2,TRUE))</formula>
    </cfRule>
    <cfRule type="expression" dxfId="28" priority="1057">
      <formula>AND(L49=3,IF(COUNTIF(L$49:L$53,"=3")&gt;=2,TRUE))</formula>
    </cfRule>
    <cfRule type="expression" dxfId="27" priority="1058">
      <formula>AND(L49=2,IF(COUNTIF(L$49:L$53,"=2")&gt;=2,TRUE))</formula>
    </cfRule>
  </conditionalFormatting>
  <conditionalFormatting sqref="H56:H60">
    <cfRule type="expression" dxfId="26" priority="1059">
      <formula>AND(L56=1,IF(COUNTIF(L$56:L$60,"=1")&gt;=2,TRUE))</formula>
    </cfRule>
    <cfRule type="expression" dxfId="25" priority="1060">
      <formula>AND(L56=3,IF(COUNTIF(L$56:L$60,"=3")&gt;=2,TRUE))</formula>
    </cfRule>
    <cfRule type="expression" dxfId="24" priority="1061">
      <formula>AND(L56=2,IF(COUNTIF(L$56:L$60,"=2")&gt;=2,TRUE))</formula>
    </cfRule>
  </conditionalFormatting>
  <pageMargins left="0.78740157480314965" right="0.39370078740157483" top="0.78740157480314965" bottom="0.27559055118110237" header="0.59055118110236227" footer="0"/>
  <pageSetup paperSize="9" fitToHeight="0" orientation="portrait" horizontalDpi="1200" verticalDpi="1200" r:id="rId1"/>
  <headerFooter>
    <oddHeader>&amp;R&amp;9Page &amp;P of &amp;N</oddHeader>
  </headerFooter>
  <rowBreaks count="4" manualBreakCount="4">
    <brk id="98" max="13" man="1"/>
    <brk id="151" max="13" man="1"/>
    <brk id="190" max="13" man="1"/>
    <brk id="243" max="1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43"/>
  <sheetViews>
    <sheetView showGridLines="0" showRowColHeaders="0" workbookViewId="0">
      <pane ySplit="2" topLeftCell="A3" activePane="bottomLeft" state="frozen"/>
      <selection pane="bottomLeft" activeCell="B1" sqref="B1"/>
    </sheetView>
  </sheetViews>
  <sheetFormatPr defaultRowHeight="12.75" x14ac:dyDescent="0.2"/>
  <cols>
    <col min="1" max="1" width="88.85546875" customWidth="1"/>
  </cols>
  <sheetData>
    <row r="1" spans="1:1" x14ac:dyDescent="0.2">
      <c r="A1" s="751" t="s">
        <v>324</v>
      </c>
    </row>
    <row r="2" spans="1:1" x14ac:dyDescent="0.2">
      <c r="A2" s="752" t="s">
        <v>325</v>
      </c>
    </row>
    <row r="3" spans="1:1" x14ac:dyDescent="0.2">
      <c r="A3" s="752"/>
    </row>
    <row r="4" spans="1:1" x14ac:dyDescent="0.2">
      <c r="A4" s="752" t="s">
        <v>326</v>
      </c>
    </row>
    <row r="5" spans="1:1" x14ac:dyDescent="0.2">
      <c r="A5" s="752" t="s">
        <v>327</v>
      </c>
    </row>
    <row r="6" spans="1:1" x14ac:dyDescent="0.2">
      <c r="A6" s="752" t="s">
        <v>328</v>
      </c>
    </row>
    <row r="7" spans="1:1" x14ac:dyDescent="0.2">
      <c r="A7" s="752" t="s">
        <v>329</v>
      </c>
    </row>
    <row r="8" spans="1:1" x14ac:dyDescent="0.2">
      <c r="A8" s="752"/>
    </row>
    <row r="9" spans="1:1" x14ac:dyDescent="0.2">
      <c r="A9" s="752" t="s">
        <v>330</v>
      </c>
    </row>
    <row r="10" spans="1:1" x14ac:dyDescent="0.2">
      <c r="A10" s="752" t="s">
        <v>331</v>
      </c>
    </row>
    <row r="11" spans="1:1" x14ac:dyDescent="0.2">
      <c r="A11" s="752"/>
    </row>
    <row r="12" spans="1:1" x14ac:dyDescent="0.2">
      <c r="A12" s="752" t="s">
        <v>332</v>
      </c>
    </row>
    <row r="13" spans="1:1" x14ac:dyDescent="0.2">
      <c r="A13" s="752" t="s">
        <v>333</v>
      </c>
    </row>
    <row r="14" spans="1:1" x14ac:dyDescent="0.2">
      <c r="A14" s="752" t="s">
        <v>334</v>
      </c>
    </row>
    <row r="15" spans="1:1" x14ac:dyDescent="0.2">
      <c r="A15" s="752"/>
    </row>
    <row r="16" spans="1:1" x14ac:dyDescent="0.2">
      <c r="A16" s="752" t="s">
        <v>335</v>
      </c>
    </row>
    <row r="17" spans="1:1" ht="25.5" x14ac:dyDescent="0.2">
      <c r="A17" s="752" t="s">
        <v>336</v>
      </c>
    </row>
    <row r="18" spans="1:1" x14ac:dyDescent="0.2">
      <c r="A18" s="752" t="s">
        <v>337</v>
      </c>
    </row>
    <row r="19" spans="1:1" x14ac:dyDescent="0.2">
      <c r="A19" s="752" t="s">
        <v>338</v>
      </c>
    </row>
    <row r="20" spans="1:1" x14ac:dyDescent="0.2">
      <c r="A20" s="752"/>
    </row>
    <row r="21" spans="1:1" x14ac:dyDescent="0.2">
      <c r="A21" s="752" t="s">
        <v>339</v>
      </c>
    </row>
    <row r="22" spans="1:1" ht="25.5" x14ac:dyDescent="0.2">
      <c r="A22" s="752" t="s">
        <v>340</v>
      </c>
    </row>
    <row r="23" spans="1:1" x14ac:dyDescent="0.2">
      <c r="A23" s="752" t="s">
        <v>341</v>
      </c>
    </row>
    <row r="24" spans="1:1" x14ac:dyDescent="0.2">
      <c r="A24" s="752" t="s">
        <v>342</v>
      </c>
    </row>
    <row r="25" spans="1:1" x14ac:dyDescent="0.2">
      <c r="A25" s="752" t="s">
        <v>343</v>
      </c>
    </row>
    <row r="26" spans="1:1" x14ac:dyDescent="0.2">
      <c r="A26" s="752" t="s">
        <v>344</v>
      </c>
    </row>
    <row r="27" spans="1:1" x14ac:dyDescent="0.2">
      <c r="A27" s="752" t="s">
        <v>345</v>
      </c>
    </row>
    <row r="28" spans="1:1" x14ac:dyDescent="0.2">
      <c r="A28" s="752"/>
    </row>
    <row r="29" spans="1:1" x14ac:dyDescent="0.2">
      <c r="A29" s="752" t="s">
        <v>346</v>
      </c>
    </row>
    <row r="30" spans="1:1" ht="38.25" x14ac:dyDescent="0.2">
      <c r="A30" s="752" t="s">
        <v>347</v>
      </c>
    </row>
    <row r="31" spans="1:1" x14ac:dyDescent="0.2">
      <c r="A31" s="752" t="s">
        <v>348</v>
      </c>
    </row>
    <row r="32" spans="1:1" x14ac:dyDescent="0.2">
      <c r="A32" s="752"/>
    </row>
    <row r="33" spans="1:1" x14ac:dyDescent="0.2">
      <c r="A33" s="752" t="s">
        <v>349</v>
      </c>
    </row>
    <row r="34" spans="1:1" ht="51" x14ac:dyDescent="0.2">
      <c r="A34" s="752" t="s">
        <v>350</v>
      </c>
    </row>
    <row r="35" spans="1:1" x14ac:dyDescent="0.2">
      <c r="A35" s="752"/>
    </row>
    <row r="36" spans="1:1" x14ac:dyDescent="0.2">
      <c r="A36" s="752" t="s">
        <v>351</v>
      </c>
    </row>
    <row r="37" spans="1:1" ht="38.25" x14ac:dyDescent="0.2">
      <c r="A37" s="752" t="s">
        <v>352</v>
      </c>
    </row>
    <row r="38" spans="1:1" x14ac:dyDescent="0.2">
      <c r="A38" s="752"/>
    </row>
    <row r="39" spans="1:1" x14ac:dyDescent="0.2">
      <c r="A39" s="752" t="s">
        <v>353</v>
      </c>
    </row>
    <row r="40" spans="1:1" ht="25.5" x14ac:dyDescent="0.2">
      <c r="A40" s="752" t="s">
        <v>354</v>
      </c>
    </row>
    <row r="41" spans="1:1" x14ac:dyDescent="0.2">
      <c r="A41" s="752"/>
    </row>
    <row r="42" spans="1:1" x14ac:dyDescent="0.2">
      <c r="A42" s="752" t="s">
        <v>355</v>
      </c>
    </row>
    <row r="43" spans="1:1" x14ac:dyDescent="0.2">
      <c r="A43" s="752" t="s">
        <v>356</v>
      </c>
    </row>
  </sheetData>
  <pageMargins left="0.78740157480314965" right="0.39370078740157483" top="0.78740157480314965" bottom="0.27559055118110237" header="0.59055118110236227" footer="0"/>
  <pageSetup paperSize="9" fitToHeight="0" orientation="portrait" verticalDpi="0" r:id="rId1"/>
  <headerFooter>
    <oddHeader>&amp;R&amp;9Page &amp;P of &amp;N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H1" sqref="H1"/>
    </sheetView>
  </sheetViews>
  <sheetFormatPr defaultRowHeight="12.75" x14ac:dyDescent="0.2"/>
  <cols>
    <col min="1" max="16384" width="9.140625" style="1"/>
  </cols>
  <sheetData>
    <row r="1" spans="1:2" x14ac:dyDescent="0.2">
      <c r="A1" s="1">
        <v>0</v>
      </c>
      <c r="B1" s="2">
        <v>0</v>
      </c>
    </row>
    <row r="2" spans="1:2" x14ac:dyDescent="0.2">
      <c r="A2" s="1">
        <v>1</v>
      </c>
      <c r="B2" s="2" t="s">
        <v>0</v>
      </c>
    </row>
    <row r="3" spans="1:2" x14ac:dyDescent="0.2">
      <c r="A3" s="1">
        <v>2</v>
      </c>
      <c r="B3" s="2" t="s">
        <v>1</v>
      </c>
    </row>
    <row r="4" spans="1:2" x14ac:dyDescent="0.2">
      <c r="A4" s="1">
        <v>3</v>
      </c>
      <c r="B4" s="2" t="s">
        <v>2</v>
      </c>
    </row>
    <row r="5" spans="1:2" x14ac:dyDescent="0.2">
      <c r="A5" s="1">
        <v>4</v>
      </c>
      <c r="B5" s="2" t="s">
        <v>3</v>
      </c>
    </row>
    <row r="6" spans="1:2" x14ac:dyDescent="0.2">
      <c r="A6" s="1">
        <v>5</v>
      </c>
      <c r="B6" s="2" t="s">
        <v>4</v>
      </c>
    </row>
    <row r="7" spans="1:2" x14ac:dyDescent="0.2">
      <c r="A7" s="1">
        <v>6</v>
      </c>
      <c r="B7" s="2" t="s">
        <v>5</v>
      </c>
    </row>
    <row r="8" spans="1:2" x14ac:dyDescent="0.2">
      <c r="A8" s="1">
        <v>7</v>
      </c>
      <c r="B8" s="2" t="s">
        <v>6</v>
      </c>
    </row>
    <row r="9" spans="1:2" x14ac:dyDescent="0.2">
      <c r="A9" s="1">
        <v>8</v>
      </c>
      <c r="B9" s="2" t="s">
        <v>2</v>
      </c>
    </row>
    <row r="10" spans="1:2" x14ac:dyDescent="0.2">
      <c r="A10" s="1">
        <v>9</v>
      </c>
      <c r="B10" s="2" t="s">
        <v>3</v>
      </c>
    </row>
    <row r="11" spans="1:2" x14ac:dyDescent="0.2">
      <c r="A11" s="1">
        <v>10</v>
      </c>
      <c r="B11" s="2" t="s">
        <v>4</v>
      </c>
    </row>
    <row r="12" spans="1:2" x14ac:dyDescent="0.2">
      <c r="A12" s="1">
        <v>11</v>
      </c>
      <c r="B12" s="2" t="s">
        <v>5</v>
      </c>
    </row>
    <row r="13" spans="1:2" x14ac:dyDescent="0.2">
      <c r="A13" s="1">
        <v>12</v>
      </c>
      <c r="B13" s="2" t="s">
        <v>6</v>
      </c>
    </row>
    <row r="14" spans="1:2" x14ac:dyDescent="0.2">
      <c r="A14" s="1">
        <v>13</v>
      </c>
      <c r="B14" s="2" t="s">
        <v>7</v>
      </c>
    </row>
    <row r="15" spans="1:2" x14ac:dyDescent="0.2">
      <c r="A15" s="1">
        <v>14</v>
      </c>
      <c r="B15" s="2" t="s">
        <v>8</v>
      </c>
    </row>
    <row r="16" spans="1:2" x14ac:dyDescent="0.2">
      <c r="A16" s="1">
        <v>15</v>
      </c>
      <c r="B16" s="2" t="s">
        <v>9</v>
      </c>
    </row>
    <row r="17" spans="1:2" x14ac:dyDescent="0.2">
      <c r="A17" s="1">
        <v>16</v>
      </c>
      <c r="B17" s="2" t="s">
        <v>10</v>
      </c>
    </row>
    <row r="18" spans="1:2" x14ac:dyDescent="0.2">
      <c r="A18" s="1">
        <v>17</v>
      </c>
      <c r="B18" s="2" t="s">
        <v>11</v>
      </c>
    </row>
    <row r="19" spans="1:2" x14ac:dyDescent="0.2">
      <c r="A19" s="1">
        <v>18</v>
      </c>
      <c r="B19" s="2" t="s">
        <v>12</v>
      </c>
    </row>
    <row r="20" spans="1:2" x14ac:dyDescent="0.2">
      <c r="A20" s="1">
        <v>19</v>
      </c>
      <c r="B20" s="2" t="s">
        <v>13</v>
      </c>
    </row>
    <row r="21" spans="1:2" x14ac:dyDescent="0.2">
      <c r="A21" s="1">
        <v>20</v>
      </c>
      <c r="B21" s="2" t="s">
        <v>14</v>
      </c>
    </row>
    <row r="22" spans="1:2" x14ac:dyDescent="0.2">
      <c r="A22" s="1">
        <v>21</v>
      </c>
      <c r="B22" s="2" t="s">
        <v>15</v>
      </c>
    </row>
    <row r="23" spans="1:2" x14ac:dyDescent="0.2">
      <c r="A23" s="1">
        <v>22</v>
      </c>
      <c r="B23" s="2" t="s">
        <v>16</v>
      </c>
    </row>
    <row r="24" spans="1:2" x14ac:dyDescent="0.2">
      <c r="A24" s="1">
        <v>23</v>
      </c>
      <c r="B24" s="2" t="s">
        <v>17</v>
      </c>
    </row>
    <row r="25" spans="1:2" x14ac:dyDescent="0.2">
      <c r="A25" s="1">
        <v>24</v>
      </c>
      <c r="B25" s="2" t="s">
        <v>18</v>
      </c>
    </row>
    <row r="26" spans="1:2" x14ac:dyDescent="0.2">
      <c r="A26" s="1">
        <v>25</v>
      </c>
      <c r="B26" s="2" t="s">
        <v>19</v>
      </c>
    </row>
    <row r="27" spans="1:2" x14ac:dyDescent="0.2">
      <c r="A27" s="1">
        <v>26</v>
      </c>
      <c r="B27" s="2" t="s">
        <v>20</v>
      </c>
    </row>
    <row r="28" spans="1:2" x14ac:dyDescent="0.2">
      <c r="A28" s="1">
        <v>27</v>
      </c>
      <c r="B28" s="2" t="s">
        <v>21</v>
      </c>
    </row>
    <row r="29" spans="1:2" x14ac:dyDescent="0.2">
      <c r="A29" s="1">
        <v>28</v>
      </c>
      <c r="B29" s="2" t="s">
        <v>22</v>
      </c>
    </row>
    <row r="30" spans="1:2" x14ac:dyDescent="0.2">
      <c r="A30" s="1">
        <v>29</v>
      </c>
      <c r="B30" s="2" t="s">
        <v>23</v>
      </c>
    </row>
    <row r="31" spans="1:2" x14ac:dyDescent="0.2">
      <c r="A31" s="1">
        <v>30</v>
      </c>
      <c r="B31" s="2" t="s">
        <v>24</v>
      </c>
    </row>
    <row r="32" spans="1:2" x14ac:dyDescent="0.2">
      <c r="A32" s="1">
        <v>31</v>
      </c>
      <c r="B32" s="2" t="s">
        <v>25</v>
      </c>
    </row>
    <row r="33" spans="1:2" x14ac:dyDescent="0.2">
      <c r="B33" s="1" t="s">
        <v>26</v>
      </c>
    </row>
    <row r="34" spans="1:2" x14ac:dyDescent="0.2">
      <c r="A34" s="1" t="s">
        <v>27</v>
      </c>
    </row>
    <row r="36" spans="1:2" x14ac:dyDescent="0.2">
      <c r="A36" s="1" t="s">
        <v>28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H1" sqref="H1"/>
    </sheetView>
  </sheetViews>
  <sheetFormatPr defaultRowHeight="12.75" x14ac:dyDescent="0.2"/>
  <sheetData>
    <row r="1" spans="1:9" x14ac:dyDescent="0.2">
      <c r="A1" s="5">
        <v>40</v>
      </c>
      <c r="E1" t="s">
        <v>29</v>
      </c>
    </row>
    <row r="2" spans="1:9" x14ac:dyDescent="0.2">
      <c r="A2" s="5">
        <v>34</v>
      </c>
    </row>
    <row r="3" spans="1:9" x14ac:dyDescent="0.2">
      <c r="A3" s="5">
        <v>30</v>
      </c>
      <c r="E3" s="4" t="s">
        <v>30</v>
      </c>
      <c r="F3" s="4"/>
      <c r="G3" s="4"/>
      <c r="H3" s="4"/>
      <c r="I3" s="4"/>
    </row>
    <row r="4" spans="1:9" x14ac:dyDescent="0.2">
      <c r="A4" s="5">
        <v>26</v>
      </c>
    </row>
    <row r="5" spans="1:9" x14ac:dyDescent="0.2">
      <c r="A5" s="5">
        <v>24</v>
      </c>
    </row>
    <row r="6" spans="1:9" x14ac:dyDescent="0.2">
      <c r="A6" s="5">
        <v>22</v>
      </c>
    </row>
    <row r="7" spans="1:9" x14ac:dyDescent="0.2">
      <c r="A7" s="5">
        <v>20</v>
      </c>
    </row>
    <row r="8" spans="1:9" x14ac:dyDescent="0.2">
      <c r="A8" s="5">
        <v>18</v>
      </c>
    </row>
    <row r="9" spans="1:9" x14ac:dyDescent="0.2">
      <c r="A9" s="5">
        <v>16</v>
      </c>
    </row>
    <row r="10" spans="1:9" x14ac:dyDescent="0.2">
      <c r="A10" s="5">
        <v>14</v>
      </c>
    </row>
    <row r="11" spans="1:9" x14ac:dyDescent="0.2">
      <c r="A11" s="5">
        <v>12</v>
      </c>
    </row>
    <row r="12" spans="1:9" x14ac:dyDescent="0.2">
      <c r="A12" s="5">
        <v>10</v>
      </c>
    </row>
    <row r="13" spans="1:9" x14ac:dyDescent="0.2">
      <c r="A13" s="5">
        <v>8</v>
      </c>
    </row>
    <row r="14" spans="1:9" x14ac:dyDescent="0.2">
      <c r="A14" s="5">
        <v>6</v>
      </c>
    </row>
    <row r="15" spans="1:9" x14ac:dyDescent="0.2">
      <c r="A15" s="5">
        <v>4</v>
      </c>
    </row>
    <row r="16" spans="1:9" x14ac:dyDescent="0.2">
      <c r="A16" s="5">
        <v>2</v>
      </c>
    </row>
    <row r="17" spans="1:2" x14ac:dyDescent="0.2">
      <c r="A17" s="5">
        <v>1</v>
      </c>
    </row>
    <row r="18" spans="1:2" x14ac:dyDescent="0.2">
      <c r="A18" s="6">
        <v>0</v>
      </c>
      <c r="B18" t="s">
        <v>31</v>
      </c>
    </row>
    <row r="19" spans="1:2" x14ac:dyDescent="0.2">
      <c r="A19" s="6" t="s">
        <v>32</v>
      </c>
      <c r="B19" t="s">
        <v>33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H1" sqref="H1"/>
    </sheetView>
  </sheetViews>
  <sheetFormatPr defaultRowHeight="12.75" x14ac:dyDescent="0.2"/>
  <sheetData>
    <row r="1" spans="1:9" x14ac:dyDescent="0.2">
      <c r="A1" s="5">
        <v>17</v>
      </c>
      <c r="E1" t="s">
        <v>34</v>
      </c>
    </row>
    <row r="2" spans="1:9" x14ac:dyDescent="0.2">
      <c r="A2" s="5">
        <v>16</v>
      </c>
    </row>
    <row r="3" spans="1:9" x14ac:dyDescent="0.2">
      <c r="A3" s="5">
        <v>15</v>
      </c>
      <c r="E3" s="4" t="s">
        <v>30</v>
      </c>
      <c r="F3" s="4"/>
      <c r="G3" s="4"/>
      <c r="H3" s="4"/>
      <c r="I3" s="4"/>
    </row>
    <row r="4" spans="1:9" x14ac:dyDescent="0.2">
      <c r="A4" s="5">
        <v>14</v>
      </c>
    </row>
    <row r="5" spans="1:9" x14ac:dyDescent="0.2">
      <c r="A5" s="5">
        <v>13</v>
      </c>
    </row>
    <row r="6" spans="1:9" x14ac:dyDescent="0.2">
      <c r="A6" s="5">
        <v>12</v>
      </c>
      <c r="E6" t="s">
        <v>35</v>
      </c>
    </row>
    <row r="7" spans="1:9" x14ac:dyDescent="0.2">
      <c r="A7" s="5">
        <v>11</v>
      </c>
    </row>
    <row r="8" spans="1:9" x14ac:dyDescent="0.2">
      <c r="A8" s="5">
        <v>10</v>
      </c>
    </row>
    <row r="9" spans="1:9" x14ac:dyDescent="0.2">
      <c r="A9" s="5">
        <v>9</v>
      </c>
    </row>
    <row r="10" spans="1:9" x14ac:dyDescent="0.2">
      <c r="A10" s="5">
        <v>8</v>
      </c>
    </row>
    <row r="11" spans="1:9" x14ac:dyDescent="0.2">
      <c r="A11" s="5">
        <v>7</v>
      </c>
    </row>
    <row r="12" spans="1:9" x14ac:dyDescent="0.2">
      <c r="A12" s="5">
        <v>6</v>
      </c>
    </row>
    <row r="13" spans="1:9" x14ac:dyDescent="0.2">
      <c r="A13" s="5">
        <v>5</v>
      </c>
    </row>
    <row r="14" spans="1:9" x14ac:dyDescent="0.2">
      <c r="A14" s="5">
        <v>4</v>
      </c>
    </row>
    <row r="15" spans="1:9" x14ac:dyDescent="0.2">
      <c r="A15" s="5">
        <v>3</v>
      </c>
    </row>
    <row r="16" spans="1:9" x14ac:dyDescent="0.2">
      <c r="A16" s="5">
        <v>2</v>
      </c>
    </row>
    <row r="17" spans="1:2" x14ac:dyDescent="0.2">
      <c r="A17" s="5">
        <v>1</v>
      </c>
    </row>
    <row r="18" spans="1:2" x14ac:dyDescent="0.2">
      <c r="A18" s="5">
        <v>0</v>
      </c>
      <c r="B18" t="s">
        <v>31</v>
      </c>
    </row>
    <row r="19" spans="1:2" x14ac:dyDescent="0.2">
      <c r="A19" s="3" t="s">
        <v>32</v>
      </c>
      <c r="B19" t="s">
        <v>33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00"/>
    <pageSetUpPr fitToPage="1"/>
  </sheetPr>
  <dimension ref="A1:BL71"/>
  <sheetViews>
    <sheetView showGridLines="0" showRowColHeaders="0" workbookViewId="0">
      <pane ySplit="6" topLeftCell="A7" activePane="bottomLeft" state="frozen"/>
      <selection pane="bottomLeft" activeCell="AC1" sqref="AC1"/>
    </sheetView>
  </sheetViews>
  <sheetFormatPr defaultRowHeight="12.75" x14ac:dyDescent="0.2"/>
  <cols>
    <col min="1" max="1" width="3.85546875" style="1" customWidth="1"/>
    <col min="2" max="2" width="7.42578125" style="1" hidden="1" customWidth="1"/>
    <col min="3" max="3" width="5" style="1" hidden="1" customWidth="1"/>
    <col min="4" max="4" width="9.140625" style="1" hidden="1" customWidth="1"/>
    <col min="5" max="5" width="3" style="1" hidden="1" customWidth="1"/>
    <col min="6" max="6" width="6.5703125" style="1" hidden="1" customWidth="1"/>
    <col min="7" max="7" width="3" style="1" bestFit="1" customWidth="1"/>
    <col min="8" max="8" width="6.7109375" style="1" hidden="1" customWidth="1"/>
    <col min="9" max="9" width="2.5703125" style="1" customWidth="1"/>
    <col min="10" max="10" width="8.28515625" style="1" hidden="1" customWidth="1"/>
    <col min="11" max="11" width="3.7109375" style="1" customWidth="1"/>
    <col min="12" max="12" width="22.7109375" style="1" customWidth="1"/>
    <col min="13" max="17" width="3" style="1" hidden="1" customWidth="1"/>
    <col min="18" max="18" width="7.5703125" style="1" bestFit="1" customWidth="1"/>
    <col min="19" max="19" width="23" style="1" hidden="1" customWidth="1"/>
    <col min="20" max="20" width="28.28515625" style="1" hidden="1" customWidth="1"/>
    <col min="21" max="21" width="9" style="1" hidden="1" customWidth="1"/>
    <col min="22" max="22" width="7.5703125" style="1" hidden="1" customWidth="1"/>
    <col min="23" max="23" width="32" style="1" hidden="1" customWidth="1"/>
    <col min="24" max="24" width="11.28515625" style="1" hidden="1" customWidth="1"/>
    <col min="25" max="25" width="5" style="1" hidden="1" customWidth="1"/>
    <col min="26" max="28" width="3.28515625" style="1" bestFit="1" customWidth="1"/>
    <col min="29" max="29" width="4" style="1" bestFit="1" customWidth="1"/>
    <col min="30" max="30" width="3.28515625" style="1" bestFit="1" customWidth="1"/>
    <col min="31" max="31" width="4.7109375" style="1" customWidth="1"/>
    <col min="32" max="32" width="4" style="1" bestFit="1" customWidth="1"/>
    <col min="33" max="34" width="4.7109375" style="1" customWidth="1"/>
    <col min="35" max="35" width="4.28515625" style="1" bestFit="1" customWidth="1"/>
    <col min="36" max="36" width="4.7109375" style="1" customWidth="1"/>
    <col min="37" max="40" width="4.28515625" style="1" bestFit="1" customWidth="1"/>
    <col min="41" max="41" width="3" style="1" hidden="1" customWidth="1"/>
    <col min="42" max="42" width="8" style="1" bestFit="1" customWidth="1"/>
    <col min="43" max="43" width="5.42578125" style="1" bestFit="1" customWidth="1"/>
    <col min="44" max="46" width="3.28515625" style="1" bestFit="1" customWidth="1"/>
    <col min="47" max="47" width="0.28515625" style="1" customWidth="1"/>
    <col min="48" max="57" width="8" style="1" hidden="1" customWidth="1"/>
    <col min="58" max="58" width="7" style="1" hidden="1" customWidth="1"/>
    <col min="59" max="63" width="8" style="1" hidden="1" customWidth="1"/>
    <col min="64" max="16384" width="9.140625" style="1"/>
  </cols>
  <sheetData>
    <row r="1" spans="1:64" x14ac:dyDescent="0.2">
      <c r="A1" s="629"/>
      <c r="B1" s="627"/>
      <c r="C1" s="630"/>
      <c r="D1" s="630"/>
      <c r="E1" s="630"/>
      <c r="F1" s="630"/>
      <c r="G1" s="631"/>
      <c r="H1" s="630"/>
      <c r="I1" s="632" t="s">
        <v>231</v>
      </c>
      <c r="J1" s="630"/>
      <c r="K1" s="631"/>
      <c r="L1" s="629"/>
      <c r="M1" s="633"/>
      <c r="N1" s="633"/>
      <c r="O1" s="633"/>
      <c r="P1" s="634"/>
      <c r="Q1" s="634"/>
      <c r="R1" s="635"/>
      <c r="S1" s="633"/>
      <c r="T1" s="633"/>
      <c r="U1" s="633"/>
      <c r="V1" s="633"/>
      <c r="W1" s="633"/>
      <c r="X1" s="633"/>
      <c r="Y1" s="633"/>
      <c r="Z1" s="635"/>
      <c r="AA1" s="635"/>
      <c r="AB1" s="635"/>
      <c r="AC1" s="635"/>
      <c r="AD1" s="635"/>
      <c r="AE1" s="635"/>
      <c r="AF1" s="635" t="s">
        <v>32</v>
      </c>
      <c r="AG1" s="635"/>
      <c r="AH1" s="631"/>
      <c r="AI1" s="629"/>
      <c r="AJ1" s="629"/>
      <c r="AK1" s="629"/>
      <c r="AL1" s="629"/>
      <c r="AM1" s="631"/>
      <c r="AN1" s="629"/>
      <c r="AO1" s="636"/>
      <c r="AP1" s="637" t="s">
        <v>232</v>
      </c>
      <c r="AR1" s="626" t="s">
        <v>228</v>
      </c>
      <c r="AS1" s="626"/>
      <c r="AT1" s="638"/>
      <c r="AU1" s="629"/>
      <c r="AV1" s="622" t="s">
        <v>233</v>
      </c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</row>
    <row r="2" spans="1:64" x14ac:dyDescent="0.2">
      <c r="A2" s="629"/>
      <c r="B2" s="629"/>
      <c r="C2" s="631"/>
      <c r="D2" s="631"/>
      <c r="E2" s="631"/>
      <c r="F2" s="631"/>
      <c r="G2" s="631"/>
      <c r="H2" s="631"/>
      <c r="I2" s="639" t="s">
        <v>234</v>
      </c>
      <c r="J2" s="631"/>
      <c r="K2" s="631"/>
      <c r="L2" s="629"/>
      <c r="M2" s="635"/>
      <c r="N2" s="635"/>
      <c r="O2" s="635"/>
      <c r="P2" s="640"/>
      <c r="Q2" s="640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41"/>
      <c r="AH2" s="641"/>
      <c r="AI2" s="641"/>
      <c r="AJ2" s="635"/>
      <c r="AK2" s="635"/>
      <c r="AL2" s="635"/>
      <c r="AM2" s="635"/>
      <c r="AN2" s="635"/>
      <c r="AO2" s="635"/>
      <c r="AP2" s="635"/>
      <c r="AR2" s="627" t="s">
        <v>229</v>
      </c>
      <c r="AS2" s="627"/>
      <c r="AT2" s="629"/>
      <c r="AU2" s="629"/>
      <c r="AV2" s="629"/>
      <c r="AW2" s="629"/>
      <c r="AX2" s="629"/>
      <c r="AY2" s="629"/>
      <c r="AZ2" s="629"/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</row>
    <row r="3" spans="1:64" x14ac:dyDescent="0.2">
      <c r="A3" s="629"/>
      <c r="B3" s="629"/>
      <c r="C3" s="631"/>
      <c r="D3" s="631"/>
      <c r="E3" s="631"/>
      <c r="F3" s="631"/>
      <c r="G3" s="631"/>
      <c r="H3" s="631"/>
      <c r="I3" s="639" t="s">
        <v>235</v>
      </c>
      <c r="J3" s="631"/>
      <c r="K3" s="631"/>
      <c r="L3" s="629"/>
      <c r="M3" s="635"/>
      <c r="N3" s="635"/>
      <c r="O3" s="635"/>
      <c r="P3" s="640"/>
      <c r="Q3" s="640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  <c r="AM3" s="635"/>
      <c r="AN3" s="635"/>
      <c r="AO3" s="635"/>
      <c r="AP3" s="635"/>
      <c r="AR3" s="628" t="s">
        <v>230</v>
      </c>
      <c r="AS3" s="628"/>
      <c r="AT3" s="629"/>
      <c r="AU3" s="629"/>
      <c r="AV3" s="642">
        <v>4</v>
      </c>
      <c r="AW3" s="643" t="s">
        <v>236</v>
      </c>
      <c r="AX3" s="644"/>
      <c r="AY3" s="644"/>
      <c r="AZ3" s="644"/>
      <c r="BA3" s="629"/>
      <c r="BB3" s="629"/>
      <c r="BC3" s="629"/>
      <c r="BD3" s="629"/>
      <c r="BE3" s="629"/>
      <c r="BF3" s="629"/>
      <c r="BG3" s="629"/>
      <c r="BH3" s="629"/>
      <c r="BI3" s="629"/>
      <c r="BJ3" s="629"/>
      <c r="BK3" s="629"/>
    </row>
    <row r="4" spans="1:64" ht="29.25" x14ac:dyDescent="0.2">
      <c r="A4" s="645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6" t="s">
        <v>237</v>
      </c>
      <c r="T4" s="646"/>
      <c r="U4" s="647" t="s">
        <v>238</v>
      </c>
      <c r="V4" s="646" t="s">
        <v>239</v>
      </c>
      <c r="W4" s="646" t="s">
        <v>240</v>
      </c>
      <c r="X4" s="646"/>
      <c r="Y4" s="648" t="s">
        <v>241</v>
      </c>
      <c r="Z4" s="649" t="str">
        <f>MID(Kalend!$A5,4,5)</f>
        <v>20.10</v>
      </c>
      <c r="AA4" s="649" t="str">
        <f>MID(Kalend!$A6,4,5)</f>
        <v>28.10</v>
      </c>
      <c r="AB4" s="649" t="str">
        <f>MID(Kalend!$A8,4,5)</f>
        <v>04.11</v>
      </c>
      <c r="AC4" s="649" t="str">
        <f>MID(Kalend!$A10,4,5)</f>
        <v>10.11</v>
      </c>
      <c r="AD4" s="649" t="str">
        <f>MID(Kalend!$A12,4,5)</f>
        <v>24.11</v>
      </c>
      <c r="AE4" s="649" t="str">
        <f>MID(Kalend!$A15,4,5)</f>
        <v>02.12</v>
      </c>
      <c r="AF4" s="649" t="str">
        <f>MID(Kalend!$A16,4,5)</f>
        <v>08.12</v>
      </c>
      <c r="AG4" s="649" t="str">
        <f>MID(Kalend!$A22,4,5)</f>
        <v>29.12</v>
      </c>
      <c r="AH4" s="649" t="str">
        <f>MID(Kalend!$A25,4,5)</f>
        <v>05.01</v>
      </c>
      <c r="AI4" s="649" t="str">
        <f>MID(Kalend!$A28,4,5)</f>
        <v>19.01</v>
      </c>
      <c r="AJ4" s="649" t="str">
        <f>MID(Kalend!$A30,4,5)</f>
        <v>26.01</v>
      </c>
      <c r="AK4" s="649" t="str">
        <f>MID(Kalend!$A35,4,5)</f>
        <v>16.02</v>
      </c>
      <c r="AL4" s="649" t="str">
        <f>MID(Kalend!$A43,4,5)</f>
        <v>02.03</v>
      </c>
      <c r="AM4" s="649" t="str">
        <f>MID(Kalend!$A48,4,5)</f>
        <v>17.03</v>
      </c>
      <c r="AN4" s="650" t="str">
        <f>MID(Kalend!$A54,4,5)</f>
        <v>07.04</v>
      </c>
      <c r="AO4" s="651"/>
      <c r="AP4" s="652" t="s">
        <v>242</v>
      </c>
      <c r="AQ4" s="653" t="str">
        <f>MID(Kalend!$A55,4,5)</f>
        <v>14.04</v>
      </c>
      <c r="AR4" s="1256" t="s">
        <v>243</v>
      </c>
      <c r="AS4" s="1257" t="s">
        <v>618</v>
      </c>
      <c r="AT4" s="1259" t="s">
        <v>244</v>
      </c>
      <c r="AU4" s="629"/>
      <c r="AV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</row>
    <row r="5" spans="1:64" x14ac:dyDescent="0.2">
      <c r="A5" s="747" t="s">
        <v>242</v>
      </c>
      <c r="B5" s="748"/>
      <c r="C5" s="748"/>
      <c r="D5" s="748"/>
      <c r="E5" s="749" t="s">
        <v>242</v>
      </c>
      <c r="F5" s="748"/>
      <c r="G5" s="749" t="s">
        <v>242</v>
      </c>
      <c r="H5" s="748"/>
      <c r="I5" s="749"/>
      <c r="J5" s="748"/>
      <c r="K5" s="750" t="s">
        <v>215</v>
      </c>
      <c r="L5" s="655" t="s">
        <v>242</v>
      </c>
      <c r="M5" s="656" t="s">
        <v>242</v>
      </c>
      <c r="N5" s="656" t="s">
        <v>242</v>
      </c>
      <c r="O5" s="656" t="s">
        <v>242</v>
      </c>
      <c r="P5" s="656" t="s">
        <v>242</v>
      </c>
      <c r="Q5" s="656" t="s">
        <v>242</v>
      </c>
      <c r="R5" s="654" t="s">
        <v>217</v>
      </c>
      <c r="S5" s="657" t="s">
        <v>245</v>
      </c>
      <c r="T5" s="658"/>
      <c r="U5" s="659" t="s">
        <v>246</v>
      </c>
      <c r="V5" s="660"/>
      <c r="W5" s="660"/>
      <c r="X5" s="660"/>
      <c r="Y5" s="661" t="s">
        <v>247</v>
      </c>
      <c r="Z5" s="662" t="s">
        <v>248</v>
      </c>
      <c r="AA5" s="662" t="s">
        <v>248</v>
      </c>
      <c r="AB5" s="662" t="s">
        <v>248</v>
      </c>
      <c r="AC5" s="662" t="s">
        <v>248</v>
      </c>
      <c r="AD5" s="662" t="s">
        <v>248</v>
      </c>
      <c r="AE5" s="662" t="s">
        <v>248</v>
      </c>
      <c r="AF5" s="662" t="s">
        <v>248</v>
      </c>
      <c r="AG5" s="662" t="s">
        <v>248</v>
      </c>
      <c r="AH5" s="662" t="s">
        <v>248</v>
      </c>
      <c r="AI5" s="662" t="s">
        <v>248</v>
      </c>
      <c r="AJ5" s="662" t="s">
        <v>248</v>
      </c>
      <c r="AK5" s="662" t="s">
        <v>248</v>
      </c>
      <c r="AL5" s="662" t="s">
        <v>248</v>
      </c>
      <c r="AM5" s="662" t="s">
        <v>248</v>
      </c>
      <c r="AN5" s="662" t="s">
        <v>248</v>
      </c>
      <c r="AO5" s="663"/>
      <c r="AP5" s="664" t="s">
        <v>249</v>
      </c>
      <c r="AQ5" s="665" t="s">
        <v>250</v>
      </c>
      <c r="AR5" s="1256"/>
      <c r="AS5" s="1258"/>
      <c r="AT5" s="1259"/>
      <c r="AU5" s="629"/>
      <c r="AV5" s="629"/>
      <c r="AW5" s="629"/>
      <c r="AX5" s="629"/>
      <c r="AY5" s="629"/>
      <c r="AZ5" s="629"/>
      <c r="BA5" s="629"/>
      <c r="BB5" s="629"/>
      <c r="BC5" s="629"/>
      <c r="BD5" s="629"/>
      <c r="BE5" s="629"/>
      <c r="BF5" s="629"/>
      <c r="BG5" s="629"/>
      <c r="BH5" s="629"/>
      <c r="BI5" s="629"/>
      <c r="BJ5" s="629"/>
      <c r="BK5" s="629"/>
      <c r="BL5" s="629"/>
    </row>
    <row r="6" spans="1:64" x14ac:dyDescent="0.2">
      <c r="A6" s="666" t="s">
        <v>251</v>
      </c>
      <c r="B6" s="667" t="s">
        <v>251</v>
      </c>
      <c r="C6" s="668" t="s">
        <v>252</v>
      </c>
      <c r="D6" s="667" t="s">
        <v>253</v>
      </c>
      <c r="E6" s="669" t="s">
        <v>12</v>
      </c>
      <c r="F6" s="667" t="s">
        <v>254</v>
      </c>
      <c r="G6" s="670" t="s">
        <v>13</v>
      </c>
      <c r="H6" s="667" t="s">
        <v>255</v>
      </c>
      <c r="I6" s="671" t="s">
        <v>9</v>
      </c>
      <c r="J6" s="667" t="s">
        <v>256</v>
      </c>
      <c r="K6" s="672" t="s">
        <v>257</v>
      </c>
      <c r="L6" s="673" t="s">
        <v>216</v>
      </c>
      <c r="M6" s="674" t="s">
        <v>13</v>
      </c>
      <c r="N6" s="675" t="s">
        <v>12</v>
      </c>
      <c r="O6" s="676" t="s">
        <v>9</v>
      </c>
      <c r="P6" s="677" t="s">
        <v>10</v>
      </c>
      <c r="Q6" s="678" t="s">
        <v>21</v>
      </c>
      <c r="R6" s="679" t="s">
        <v>10</v>
      </c>
      <c r="S6" s="680" t="s">
        <v>258</v>
      </c>
      <c r="T6" s="680" t="s">
        <v>259</v>
      </c>
      <c r="U6" s="680" t="s">
        <v>260</v>
      </c>
      <c r="V6" s="681" t="s">
        <v>261</v>
      </c>
      <c r="W6" s="680" t="s">
        <v>262</v>
      </c>
      <c r="X6" s="680" t="s">
        <v>263</v>
      </c>
      <c r="Y6" s="680" t="s">
        <v>264</v>
      </c>
      <c r="Z6" s="663" t="str">
        <f>HYPERLINK("#V1!K1","V1")</f>
        <v>V1</v>
      </c>
      <c r="AA6" s="663" t="str">
        <f>HYPERLINK("#V2!H1","V2")</f>
        <v>V2</v>
      </c>
      <c r="AB6" s="663" t="str">
        <f>HYPERLINK("#V3!K1","V3")</f>
        <v>V3</v>
      </c>
      <c r="AC6" s="682" t="str">
        <f>HYPERLINK("#V4!n1","V4")</f>
        <v>V4</v>
      </c>
      <c r="AD6" s="663" t="str">
        <f>HYPERLINK("#V5!L1","V5")</f>
        <v>V5</v>
      </c>
      <c r="AE6" s="663" t="str">
        <f>HYPERLINK("#V6!J1","V6")</f>
        <v>V6</v>
      </c>
      <c r="AF6" s="663" t="str">
        <f>HYPERLINK("#V7!K1","V7")</f>
        <v>V7</v>
      </c>
      <c r="AG6" s="663" t="str">
        <f>HYPERLINK("#V8!J1","V8")</f>
        <v>V8</v>
      </c>
      <c r="AH6" s="663" t="str">
        <f>HYPERLINK("#V9!L1","V9")</f>
        <v>V9</v>
      </c>
      <c r="AI6" s="663" t="str">
        <f>HYPERLINK("#V10!I1","V10")</f>
        <v>V10</v>
      </c>
      <c r="AJ6" s="663" t="str">
        <f>HYPERLINK("#V11!I1","V11")</f>
        <v>V11</v>
      </c>
      <c r="AK6" s="663" t="str">
        <f>HYPERLINK("#V12!I1","V12")</f>
        <v>V12</v>
      </c>
      <c r="AL6" s="682" t="str">
        <f>HYPERLINK("#V13!K1","V13")</f>
        <v>V13</v>
      </c>
      <c r="AM6" s="682" t="str">
        <f>HYPERLINK("#V14!I1","V14")</f>
        <v>V14</v>
      </c>
      <c r="AN6" s="682" t="str">
        <f>HYPERLINK("#V15!I1","V15")</f>
        <v>V15</v>
      </c>
      <c r="AO6" s="683"/>
      <c r="AP6" s="684" t="s">
        <v>265</v>
      </c>
      <c r="AQ6" s="685" t="str">
        <f>HYPERLINK("#'V-Fin'!J1","V-Fin")</f>
        <v>V-Fin</v>
      </c>
      <c r="AR6" s="1256"/>
      <c r="AS6" s="1258"/>
      <c r="AT6" s="1259"/>
      <c r="AU6" s="629"/>
      <c r="AV6" s="629"/>
      <c r="AW6" s="629"/>
      <c r="AX6" s="629"/>
      <c r="AY6" s="629"/>
      <c r="AZ6" s="629"/>
      <c r="BA6" s="629"/>
      <c r="BB6" s="629"/>
      <c r="BC6" s="629"/>
      <c r="BD6" s="629"/>
      <c r="BE6" s="629"/>
      <c r="BF6" s="629"/>
      <c r="BG6" s="629"/>
      <c r="BH6" s="629"/>
      <c r="BI6" s="629"/>
      <c r="BJ6" s="629"/>
      <c r="BK6" s="629"/>
      <c r="BL6" s="629"/>
    </row>
    <row r="7" spans="1:64" x14ac:dyDescent="0.2">
      <c r="A7" s="686" t="str">
        <f>IF(R7&gt;0,IF(Q7="v",RANK(B7,B$7:B$66,1)-COUNTBLANK(Q$7:Q$66),""),"")</f>
        <v/>
      </c>
      <c r="B7" s="687">
        <f t="shared" ref="B7:B66" si="0">IF((Q7="v"),U7,U7-1000)</f>
        <v>-999</v>
      </c>
      <c r="C7" s="688" t="str">
        <f>IF(R7&gt;0,IF(P7="k",RANK(D7,D$7:D$66,1)-COUNTBLANK(P$7:P$66),""),"")</f>
        <v/>
      </c>
      <c r="D7" s="687">
        <f t="shared" ref="D7:D66" si="1">IF((P7="k"),U7,U7-1000)</f>
        <v>-999</v>
      </c>
      <c r="E7" s="689">
        <f>IF(R7&gt;0,IF(N7="m",RANK(F7,F$7:F$66,1)-COUNTBLANK(N$7:N$66),""),"")</f>
        <v>1</v>
      </c>
      <c r="F7" s="687">
        <f t="shared" ref="F7:F66" si="2">IF((N7="m"),U7,U7-1000)</f>
        <v>1</v>
      </c>
      <c r="G7" s="690" t="str">
        <f>IF(R7&gt;0,IF(M7="n",RANK(H7,H$7:H$66,1)-COUNTBLANK(M$7:M$66),""),"")</f>
        <v/>
      </c>
      <c r="H7" s="687">
        <f t="shared" ref="H7:H66" si="3">IF((M7="n"),U7,U7-1000)</f>
        <v>-999</v>
      </c>
      <c r="I7" s="691" t="str">
        <f>IF(R7&gt;0,IF(O7="j",RANK(J7,J$7:J$66,1)-COUNTBLANK(O$7:O$66),""),"")</f>
        <v/>
      </c>
      <c r="J7" s="692">
        <f t="shared" ref="J7:J66" si="4">IF((O7="j"),U7,U7-1000)</f>
        <v>-999</v>
      </c>
      <c r="K7" s="654">
        <f>IF(R7&gt;0,RANK(U7,U$7:U$66,1),"")</f>
        <v>1</v>
      </c>
      <c r="L7" s="693" t="s">
        <v>266</v>
      </c>
      <c r="M7" s="694"/>
      <c r="N7" s="695" t="str">
        <f t="shared" ref="N7:N12" si="5">IF(M7="","m","")</f>
        <v>m</v>
      </c>
      <c r="O7" s="696"/>
      <c r="P7" s="697"/>
      <c r="Q7" s="698"/>
      <c r="R7" s="699">
        <f>(IF(COUNT(Z7,AA7,AB7,AC7,AD7,AE7,AF7,AG7,AH7,AI7,AJ7,AK7,AL7,AM7,AN7)&lt;11,SUM(Z7,AA7,AB7,AC7,AD7,AE7,AF7,AG7,AH7,AI7,AJ7,AK7,AL7,AM7,AN7),SUM(LARGE((Z7,AA7,AB7,AC7,AD7,AE7,AF7,AG7,AH7,AI7,AJ7,AK7,AL7,AM7,AN7),{1;2;3;4;5;6;7;8;9;10;11}))))</f>
        <v>159</v>
      </c>
      <c r="S7" s="700" t="str">
        <f>INDEX(ETAPP!B$1:B$32,MATCH(COUNTIF(Z7:AN7,PVO!A$1),ETAPP!A$1:A$32,0))&amp;INDEX(ETAPP!B$1:B$32,MATCH(COUNTIF(Z7:AN7,PVO!A$2),ETAPP!A$1:A$32,0))&amp;INDEX(ETAPP!B$1:B$32,MATCH(COUNTIF(Z7:AN7,PVO!A$3),ETAPP!A$1:A$32,0))&amp;INDEX(ETAPP!B$1:B$32,MATCH(COUNTIF(Z7:AN7,PVO!A$4),ETAPP!A$1:A$32,0))&amp;INDEX(ETAPP!B$1:B$32,MATCH(COUNTIF(Z7:AN7,PVO!A$5),ETAPP!A$1:A$32,0))&amp;INDEX(ETAPP!B$1:B$32,MATCH(COUNTIF(Z7:AN7,PVO!A$6),ETAPP!A$1:A$32,0))&amp;INDEX(ETAPP!B$1:B$32,MATCH(COUNTIF(Z7:AN7,PVO!A$7),ETAPP!A$1:A$32,0))&amp;INDEX(ETAPP!B$1:B$32,MATCH(COUNTIF(Z7:AN7,PVO!A$8),ETAPP!A$1:A$32,0))&amp;INDEX(ETAPP!B$1:B$32,MATCH(COUNTIF(Z7:AN7,PVO!A$9),ETAPP!A$1:A$32,0))&amp;INDEX(ETAPP!B$1:B$32,MATCH(COUNTIF(Z7:AN7,PVO!A$10),ETAPP!A$1:A$32,0))&amp;INDEX(ETAPP!B$1:B$32,MATCH(COUNTIF(Z7:AN7,PVO!A$11),ETAPP!A$1:A$32,0))&amp;INDEX(ETAPP!B$1:B$32,MATCH(COUNTIF(Z7:AN7,PVO!A$12),ETAPP!A$1:A$32,0))&amp;INDEX(ETAPP!B$1:B$32,MATCH(COUNTIF(Z7:AN7,PVO!A$13),ETAPP!A$1:A$32,0))&amp;INDEX(ETAPP!B$1:B$32,MATCH(COUNTIF(Z7:AN7,PVO!A$14),ETAPP!A$1:A$32,0))&amp;INDEX(ETAPP!B$1:B$32,MATCH(COUNTIF(Z7:AN7,PVO!A$15),ETAPP!A$1:A$32,0))&amp;INDEX(ETAPP!B$1:B$32,MATCH(COUNTIF(Z7:AN7,PVO!A$16),ETAPP!A$1:A$32,0))&amp;INDEX(ETAPP!B$1:B$32,MATCH(COUNTIF(Z7:AN7,PVO!A$17),ETAPP!A$1:A$32,0))&amp;INDEX(ETAPP!B$1:B$32,MATCH(COUNTIF(Z7:AN7,PVO!A$18),ETAPP!A$1:A$32,0))&amp;INDEX(ETAPP!B$1:B$32,MATCH(COUNTIF(Z7:AN7,PVO!A$19),ETAPP!A$1:A$32,0))</f>
        <v>00EFA0A000000A0A000</v>
      </c>
      <c r="T7" s="700" t="str">
        <f t="shared" ref="T7:T66" si="6">TEXT(R7,"000,0")&amp;"-"&amp;S7</f>
        <v>159,0-00EFA0A000000A0A000</v>
      </c>
      <c r="U7" s="700">
        <f>COUNTIF(T$7:T$66,"&gt;="&amp;T7)</f>
        <v>1</v>
      </c>
      <c r="V7" s="700">
        <f>COUNTIF(L$7:L$66,"&gt;="&amp;L7)</f>
        <v>43</v>
      </c>
      <c r="W7" s="700" t="str">
        <f t="shared" ref="W7:W66" si="7">TEXT(R7,"000,0")&amp;"-"&amp;S7&amp;"-"&amp;TEXT(V7,"000")</f>
        <v>159,0-00EFA0A000000A0A000-043</v>
      </c>
      <c r="X7" s="700">
        <f>COUNTIF(W$7:W$66,"&gt;="&amp;W7)</f>
        <v>1</v>
      </c>
      <c r="Y7" s="701">
        <f>RANK(X7,X$7:X$66,0)</f>
        <v>60</v>
      </c>
      <c r="Z7" s="702">
        <f>IFERROR(INDEX('V1'!C$300:C$400,MATCH("*"&amp;L7&amp;"*",'V1'!B$300:B$400,0)),"  ")</f>
        <v>15</v>
      </c>
      <c r="AA7" s="702">
        <f>IFERROR(INDEX('V2'!C$300:C$400,MATCH("*"&amp;L7&amp;"*",'V2'!B$300:B$400,0)),"  ")</f>
        <v>2</v>
      </c>
      <c r="AB7" s="702">
        <f>IFERROR(INDEX('V3'!C$300:C$400,MATCH("*"&amp;L7&amp;"*",'V3'!B$300:B$400,0)),"  ")</f>
        <v>11</v>
      </c>
      <c r="AC7" s="702">
        <f>IFERROR(INDEX('V4'!C$300:C$400,MATCH("*"&amp;L7&amp;"*",'V4'!B$300:B$400,0)),"  ")</f>
        <v>14</v>
      </c>
      <c r="AD7" s="702">
        <f>IFERROR(INDEX('V5'!C$300:C$400,MATCH("*"&amp;L7&amp;"*",'V5'!B$300:B$400,0)),"  ")</f>
        <v>15</v>
      </c>
      <c r="AE7" s="702">
        <f>IFERROR(INDEX('V6'!C$300:C$400,MATCH("*"&amp;L7&amp;"*",'V6'!B$300:B$400,0)),"  ")</f>
        <v>14</v>
      </c>
      <c r="AF7" s="702">
        <f>IFERROR(INDEX('V7'!C$300:C$400,MATCH("*"&amp;L7&amp;"*",'V7'!B$300:B$400,0)),"  ")</f>
        <v>14</v>
      </c>
      <c r="AG7" s="702">
        <f>IFERROR(INDEX('V8'!C$300:C$400,MATCH("*"&amp;L7&amp;"*",'V8'!B$300:B$400,0)),"  ")</f>
        <v>14</v>
      </c>
      <c r="AH7" s="702">
        <f>IFERROR(INDEX('V9'!C$300:C$400,MATCH("*"&amp;L7&amp;"*",'V9'!B$300:B$400,0)),"  ")</f>
        <v>15</v>
      </c>
      <c r="AI7" s="702">
        <f>IFERROR(INDEX('V10'!C$300:C$400,MATCH("*"&amp;L7&amp;"*",'V10'!B$300:B$400,0)),"  ")</f>
        <v>15</v>
      </c>
      <c r="AJ7" s="702">
        <f>IFERROR(INDEX('V11'!C$300:C$400,MATCH("*"&amp;L7&amp;"*",'V11'!B$300:B$400,0)),"  ")</f>
        <v>13</v>
      </c>
      <c r="AK7" s="702">
        <f>IFERROR(INDEX('V12'!C$300:C$400,MATCH("*"&amp;L7&amp;"*",'V12'!B$300:B$400,0)),"  ")</f>
        <v>14</v>
      </c>
      <c r="AL7" s="702">
        <f>IFERROR(INDEX('V13'!C$300:C$400,MATCH("*"&amp;L7&amp;"*",'V13'!B$300:B$400,0)),"  ")</f>
        <v>14</v>
      </c>
      <c r="AM7" s="702">
        <f>IFERROR(INDEX('V14'!C$300:C$400,MATCH("*"&amp;L7&amp;"*",'V14'!B$300:B$400,0)),"  ")</f>
        <v>15</v>
      </c>
      <c r="AN7" s="702">
        <f>IFERROR(INDEX('V15'!C$300:C$400,MATCH("*"&amp;L7&amp;"*",'V15'!B$300:B$400,0)),"  ")</f>
        <v>4</v>
      </c>
      <c r="AO7" s="703">
        <f>IF(AR7&gt;1,K7,"")</f>
        <v>1</v>
      </c>
      <c r="AP7" s="704" t="str">
        <f>IFERROR("edasi "&amp;RANK(AO7,AO$7:AO$66,1),K7)</f>
        <v>edasi 1</v>
      </c>
      <c r="AQ7" s="705">
        <f>IFERROR(INDEX('V-fin'!A$300:A$401,MATCH("*"&amp;L7&amp;"*",'V-fin'!B$300:B$401,0)),"  ")</f>
        <v>3</v>
      </c>
      <c r="AR7" s="706">
        <f t="shared" ref="AR7:AR66" si="8">COUNTIF(Z7:AN7,"&gt;=0")</f>
        <v>15</v>
      </c>
      <c r="AS7" s="707">
        <f>IFERROR(IF(Z7+1&gt;LARGE(Z$7:Z$66,1)-2,1),0)+IFERROR(IF(AA7+1&gt;LARGE(AA$7:AA$66,1)-2,1),0)+IFERROR(IF(AB7+1&gt;LARGE(AB$7:AB$66,1)-2,1),0)+IFERROR(IF(AC7+1&gt;LARGE(AC$7:AC$66,1)-2,1),0)+IFERROR(IF(AD7+1&gt;LARGE(AD$7:AD$66,1)-2,1),0)+IFERROR(IF(AE7+1&gt;LARGE(AE$7:AE$66,1)-2,1),0)+IFERROR(IF(AF7+1&gt;LARGE(AF$7:AF$66,1)-2,1),0)+IFERROR(IF(AG7+1&gt;LARGE(AG$7:AG$66,1)-2,1),0)+IFERROR(IF(AH7+1&gt;LARGE(AH$7:AH$66,1)-2,1),0)+IFERROR(IF(AI7+1&gt;LARGE(AI$7:AI$66,1)-2,1),0)+IFERROR(IF(AJ7+1&gt;LARGE(AJ$7:AJ$66,1)-2,1),0)+IFERROR(IF(AK7+1&gt;LARGE(AK$7:AK$66,1)-2,1),0)+IFERROR(IF(AL7+1&gt;LARGE(AL$7:AL$66,1)-2,1),0)+IFERROR(IF(AM7+1&gt;LARGE(AM$7:AM$66,1)-2,1),0)+IFERROR(IF(AN7+1&gt;LARGE(AN$7:AN$66,1)-2,1),0)</f>
        <v>12</v>
      </c>
      <c r="AT7" s="707">
        <f>IF(Z7=0,0,IF(Z7=IFERROR(LARGE(Z$7:Z$66,1),0),1,0))+IF(AA7=0,0,IF(AA7=IFERROR(LARGE(AA$7:AA$66,1),0),1,0))+IF(AB7=0,0,IF(AB7=IFERROR(LARGE(AB$7:AB$66,1),0),1,0))+IF(AC7=0,0,IF(AC7=IFERROR(LARGE(AC$7:AC$66,1),0),1,0))+IF(AD7=0,0,IF(AD7=IFERROR(LARGE(AD$7:AD$66,1),0),1,0))+IF(AE7=0,0,IF(AE7=IFERROR(LARGE(AE$7:AE$66,1),0),1,0))+IF(AF7=0,0,IF(AF7=IFERROR(LARGE(AF$7:AF$66,1),0),1,0))+IF(AG7=0,0,IF(AG7=IFERROR(LARGE(AG$7:AG$66,1),0),1,0))+IF(AH7=0,0,IF(AH7=IFERROR(LARGE(AH$7:AH$66,1),0),1,0))+IF(AI7=0,0,IF(AI7=IFERROR(LARGE(AI$7:AI$66,1),0),1,0))+IF(AJ7=0,0,IF(AJ7=IFERROR(LARGE(AJ$7:AJ$66,1),0),1,0))+IF(AK7=0,0,IF(AK7=IFERROR(LARGE(AK$7:AK$66,1),0),1,0))+IF(AL7=0,0,IF(AL7=IFERROR(LARGE(AL$7:AL$66,1),0),1,0))+IF(AM7=0,0,IF(AM7=IFERROR(LARGE(AM$7:AM$66,1),0),1,0))+IF(AN7=0,0,IF(AN7=IFERROR(LARGE(AN$7:AN$66,1),0),1,0))</f>
        <v>5</v>
      </c>
      <c r="AU7" s="629"/>
      <c r="AV7" s="708">
        <f>SMALL(AW7:BK7,AV$3)</f>
        <v>13.001099999999999</v>
      </c>
      <c r="AW7" s="709">
        <f t="shared" ref="AW7:BK23" si="9">IF(Z7="  ",0+MID(Z$6,FIND("V",Z$6)+1,256)/10000,Z7+MID(Z$6,FIND("V",Z$6)+1,256)/10000)</f>
        <v>15.0001</v>
      </c>
      <c r="AX7" s="709">
        <f t="shared" si="9"/>
        <v>2.0002</v>
      </c>
      <c r="AY7" s="709">
        <f t="shared" si="9"/>
        <v>11.000299999999999</v>
      </c>
      <c r="AZ7" s="709">
        <f t="shared" si="9"/>
        <v>14.000400000000001</v>
      </c>
      <c r="BA7" s="709">
        <f t="shared" si="9"/>
        <v>15.000500000000001</v>
      </c>
      <c r="BB7" s="709">
        <f t="shared" si="9"/>
        <v>14.0006</v>
      </c>
      <c r="BC7" s="709">
        <f t="shared" si="9"/>
        <v>14.0007</v>
      </c>
      <c r="BD7" s="709">
        <f t="shared" si="9"/>
        <v>14.0008</v>
      </c>
      <c r="BE7" s="709">
        <f t="shared" si="9"/>
        <v>15.0009</v>
      </c>
      <c r="BF7" s="709">
        <f t="shared" si="9"/>
        <v>15.000999999999999</v>
      </c>
      <c r="BG7" s="709">
        <f t="shared" si="9"/>
        <v>13.001099999999999</v>
      </c>
      <c r="BH7" s="709">
        <f t="shared" si="9"/>
        <v>14.001200000000001</v>
      </c>
      <c r="BI7" s="709">
        <f t="shared" si="9"/>
        <v>14.001300000000001</v>
      </c>
      <c r="BJ7" s="709">
        <f t="shared" si="9"/>
        <v>15.0014</v>
      </c>
      <c r="BK7" s="709">
        <f t="shared" si="9"/>
        <v>4.0015000000000001</v>
      </c>
      <c r="BL7" s="710"/>
    </row>
    <row r="8" spans="1:64" x14ac:dyDescent="0.2">
      <c r="A8" s="686" t="str">
        <f>IF(R8&gt;0,IF(Q8="v",RANK(B8,B$7:B$66,1)-COUNTBLANK(Q$7:Q$66),""),"")</f>
        <v/>
      </c>
      <c r="B8" s="687">
        <f t="shared" si="0"/>
        <v>-998</v>
      </c>
      <c r="C8" s="688" t="str">
        <f>IF(R8&gt;0,IF(P8="k",RANK(D8,D$7:D$66,1)-COUNTBLANK(P$7:P$66),""),"")</f>
        <v/>
      </c>
      <c r="D8" s="687">
        <f t="shared" si="1"/>
        <v>-998</v>
      </c>
      <c r="E8" s="689">
        <f>IF(R8&gt;0,IF(N8="m",RANK(F8,F$7:F$66,1)-COUNTBLANK(N$7:N$66),""),"")</f>
        <v>2</v>
      </c>
      <c r="F8" s="687">
        <f t="shared" si="2"/>
        <v>2</v>
      </c>
      <c r="G8" s="690" t="str">
        <f>IF(R8&gt;0,IF(M8="n",RANK(H8,H$7:H$66,1)-COUNTBLANK(M$7:M$66),""),"")</f>
        <v/>
      </c>
      <c r="H8" s="687">
        <f t="shared" si="3"/>
        <v>-998</v>
      </c>
      <c r="I8" s="691" t="str">
        <f>IF(R8&gt;0,IF(O8="j",RANK(J8,J$7:J$66,1)-COUNTBLANK(O$7:O$66),""),"")</f>
        <v/>
      </c>
      <c r="J8" s="692">
        <f t="shared" si="4"/>
        <v>-998</v>
      </c>
      <c r="K8" s="654">
        <f>IF(R8&gt;0,RANK(U8,U$7:U$66,1),"")</f>
        <v>2</v>
      </c>
      <c r="L8" s="711" t="s">
        <v>267</v>
      </c>
      <c r="M8" s="694"/>
      <c r="N8" s="695" t="str">
        <f t="shared" si="5"/>
        <v>m</v>
      </c>
      <c r="O8" s="696"/>
      <c r="P8" s="697"/>
      <c r="Q8" s="698"/>
      <c r="R8" s="699">
        <f>(IF(COUNT(Z8,AA8,AB8,AC8,AD8,AE8,AF8,AG8,AH8,AI8,AJ8,AK8,AL8,AM8,AN8)&lt;11,SUM(Z8,AA8,AB8,AC8,AD8,AE8,AF8,AG8,AH8,AI8,AJ8,AK8,AL8,AM8,AN8),SUM(LARGE((Z8,AA8,AB8,AC8,AD8,AE8,AF8,AG8,AH8,AI8,AJ8,AK8,AL8,AM8,AN8),{1;2;3;4;5;6;7;8;9;10;11}))))</f>
        <v>158</v>
      </c>
      <c r="S8" s="700" t="str">
        <f>INDEX(ETAPP!B$1:B$32,MATCH(COUNTIF(Z8:AN8,PVO!A$1),ETAPP!A$1:A$32,0))&amp;INDEX(ETAPP!B$1:B$32,MATCH(COUNTIF(Z8:AN8,PVO!A$2),ETAPP!A$1:A$32,0))&amp;INDEX(ETAPP!B$1:B$32,MATCH(COUNTIF(Z8:AN8,PVO!A$3),ETAPP!A$1:A$32,0))&amp;INDEX(ETAPP!B$1:B$32,MATCH(COUNTIF(Z8:AN8,PVO!A$4),ETAPP!A$1:A$32,0))&amp;INDEX(ETAPP!B$1:B$32,MATCH(COUNTIF(Z8:AN8,PVO!A$5),ETAPP!A$1:A$32,0))&amp;INDEX(ETAPP!B$1:B$32,MATCH(COUNTIF(Z8:AN8,PVO!A$6),ETAPP!A$1:A$32,0))&amp;INDEX(ETAPP!B$1:B$32,MATCH(COUNTIF(Z8:AN8,PVO!A$7),ETAPP!A$1:A$32,0))&amp;INDEX(ETAPP!B$1:B$32,MATCH(COUNTIF(Z8:AN8,PVO!A$8),ETAPP!A$1:A$32,0))&amp;INDEX(ETAPP!B$1:B$32,MATCH(COUNTIF(Z8:AN8,PVO!A$9),ETAPP!A$1:A$32,0))&amp;INDEX(ETAPP!B$1:B$32,MATCH(COUNTIF(Z8:AN8,PVO!A$10),ETAPP!A$1:A$32,0))&amp;INDEX(ETAPP!B$1:B$32,MATCH(COUNTIF(Z8:AN8,PVO!A$11),ETAPP!A$1:A$32,0))&amp;INDEX(ETAPP!B$1:B$32,MATCH(COUNTIF(Z8:AN8,PVO!A$12),ETAPP!A$1:A$32,0))&amp;INDEX(ETAPP!B$1:B$32,MATCH(COUNTIF(Z8:AN8,PVO!A$13),ETAPP!A$1:A$32,0))&amp;INDEX(ETAPP!B$1:B$32,MATCH(COUNTIF(Z8:AN8,PVO!A$14),ETAPP!A$1:A$32,0))&amp;INDEX(ETAPP!B$1:B$32,MATCH(COUNTIF(Z8:AN8,PVO!A$15),ETAPP!A$1:A$32,0))&amp;INDEX(ETAPP!B$1:B$32,MATCH(COUNTIF(Z8:AN8,PVO!A$16),ETAPP!A$1:A$32,0))&amp;INDEX(ETAPP!B$1:B$32,MATCH(COUNTIF(Z8:AN8,PVO!A$17),ETAPP!A$1:A$32,0))&amp;INDEX(ETAPP!B$1:B$32,MATCH(COUNTIF(Z8:AN8,PVO!A$18),ETAPP!A$1:A$32,0))&amp;INDEX(ETAPP!B$1:B$32,MATCH(COUNTIF(Z8:AN8,PVO!A$19),ETAPP!A$1:A$32,0))</f>
        <v>00EEA0A00000A00000B</v>
      </c>
      <c r="T8" s="700" t="str">
        <f t="shared" si="6"/>
        <v>158,0-00EEA0A00000A00000B</v>
      </c>
      <c r="U8" s="700">
        <f>COUNTIF(T$7:T$66,"&gt;="&amp;T8)</f>
        <v>2</v>
      </c>
      <c r="V8" s="700">
        <f>COUNTIF(L$7:L$66,"&gt;="&amp;L8)</f>
        <v>22</v>
      </c>
      <c r="W8" s="700" t="str">
        <f t="shared" si="7"/>
        <v>158,0-00EEA0A00000A00000B-022</v>
      </c>
      <c r="X8" s="700">
        <f>COUNTIF(W$7:W$66,"&gt;="&amp;W8)</f>
        <v>2</v>
      </c>
      <c r="Y8" s="701">
        <f>RANK(X8,X$7:X$66,0)</f>
        <v>59</v>
      </c>
      <c r="Z8" s="702">
        <f>IFERROR(INDEX('V1'!C$300:C$400,MATCH("*"&amp;L8&amp;"*",'V1'!B$300:B$400,0)),"  ")</f>
        <v>15</v>
      </c>
      <c r="AA8" s="702" t="str">
        <f>IFERROR(INDEX('V2'!C$300:C$400,MATCH("*"&amp;L8&amp;"*",'V2'!B$300:B$400,0)),"  ")</f>
        <v xml:space="preserve">  </v>
      </c>
      <c r="AB8" s="702">
        <f>IFERROR(INDEX('V3'!C$300:C$400,MATCH("*"&amp;L8&amp;"*",'V3'!B$300:B$400,0)),"  ")</f>
        <v>11</v>
      </c>
      <c r="AC8" s="702">
        <f>IFERROR(INDEX('V4'!C$300:C$400,MATCH("*"&amp;L8&amp;"*",'V4'!B$300:B$400,0)),"  ")</f>
        <v>14</v>
      </c>
      <c r="AD8" s="702">
        <f>IFERROR(INDEX('V5'!C$300:C$400,MATCH("*"&amp;L8&amp;"*",'V5'!B$300:B$400,0)),"  ")</f>
        <v>15</v>
      </c>
      <c r="AE8" s="702">
        <f>IFERROR(INDEX('V6'!C$300:C$400,MATCH("*"&amp;L8&amp;"*",'V6'!B$300:B$400,0)),"  ")</f>
        <v>14</v>
      </c>
      <c r="AF8" s="702" t="str">
        <f>IFERROR(INDEX('V7'!C$300:C$400,MATCH("*"&amp;L8&amp;"*",'V7'!B$300:B$400,0)),"  ")</f>
        <v xml:space="preserve">  </v>
      </c>
      <c r="AG8" s="702">
        <f>IFERROR(INDEX('V8'!C$300:C$400,MATCH("*"&amp;L8&amp;"*",'V8'!B$300:B$400,0)),"  ")</f>
        <v>14</v>
      </c>
      <c r="AH8" s="702">
        <f>IFERROR(INDEX('V9'!C$300:C$400,MATCH("*"&amp;L8&amp;"*",'V9'!B$300:B$400,0)),"  ")</f>
        <v>15</v>
      </c>
      <c r="AI8" s="702">
        <f>IFERROR(INDEX('V10'!C$300:C$400,MATCH("*"&amp;L8&amp;"*",'V10'!B$300:B$400,0)),"  ")</f>
        <v>15</v>
      </c>
      <c r="AJ8" s="702">
        <f>IFERROR(INDEX('V11'!C$300:C$400,MATCH("*"&amp;L8&amp;"*",'V11'!B$300:B$400,0)),"  ")</f>
        <v>13</v>
      </c>
      <c r="AK8" s="702">
        <f>IFERROR(INDEX('V12'!C$300:C$400,MATCH("*"&amp;L8&amp;"*",'V12'!B$300:B$400,0)),"  ")</f>
        <v>14</v>
      </c>
      <c r="AL8" s="702">
        <f>IFERROR(INDEX('V13'!C$300:C$400,MATCH("*"&amp;L8&amp;"*",'V13'!B$300:B$400,0)),"  ")</f>
        <v>14</v>
      </c>
      <c r="AM8" s="702">
        <f>IFERROR(INDEX('V14'!C$300:C$400,MATCH("*"&amp;L8&amp;"*",'V14'!B$300:B$400,0)),"  ")</f>
        <v>15</v>
      </c>
      <c r="AN8" s="702">
        <f>IFERROR(INDEX('V15'!C$300:C$400,MATCH("*"&amp;L8&amp;"*",'V15'!B$300:B$400,0)),"  ")</f>
        <v>5</v>
      </c>
      <c r="AO8" s="703">
        <f t="shared" ref="AO8:AO66" si="10">IF(AR8&gt;1,K8,"")</f>
        <v>2</v>
      </c>
      <c r="AP8" s="704" t="str">
        <f>IFERROR("edasi "&amp;RANK(AO8,AO$7:AO$66,1),K8)</f>
        <v>edasi 2</v>
      </c>
      <c r="AQ8" s="705">
        <f>IFERROR(INDEX('V-fin'!A$300:A$401,MATCH("*"&amp;L8&amp;"*",'V-fin'!B$300:B$401,0)),"  ")</f>
        <v>1</v>
      </c>
      <c r="AR8" s="706">
        <f t="shared" si="8"/>
        <v>13</v>
      </c>
      <c r="AS8" s="707">
        <f>IFERROR(IF(Z8+1&gt;LARGE(Z$7:Z$66,1)-2,1),0)+IFERROR(IF(AA8+1&gt;LARGE(AA$7:AA$66,1)-2,1),0)+IFERROR(IF(AB8+1&gt;LARGE(AB$7:AB$66,1)-2,1),0)+IFERROR(IF(AC8+1&gt;LARGE(AC$7:AC$66,1)-2,1),0)+IFERROR(IF(AD8+1&gt;LARGE(AD$7:AD$66,1)-2,1),0)+IFERROR(IF(AE8+1&gt;LARGE(AE$7:AE$66,1)-2,1),0)+IFERROR(IF(AF8+1&gt;LARGE(AF$7:AF$66,1)-2,1),0)+IFERROR(IF(AG8+1&gt;LARGE(AG$7:AG$66,1)-2,1),0)+IFERROR(IF(AH8+1&gt;LARGE(AH$7:AH$66,1)-2,1),0)+IFERROR(IF(AI8+1&gt;LARGE(AI$7:AI$66,1)-2,1),0)+IFERROR(IF(AJ8+1&gt;LARGE(AJ$7:AJ$66,1)-2,1),0)+IFERROR(IF(AK8+1&gt;LARGE(AK$7:AK$66,1)-2,1),0)+IFERROR(IF(AL8+1&gt;LARGE(AL$7:AL$66,1)-2,1),0)+IFERROR(IF(AM8+1&gt;LARGE(AM$7:AM$66,1)-2,1),0)+IFERROR(IF(AN8+1&gt;LARGE(AN$7:AN$66,1)-2,1),0)</f>
        <v>11</v>
      </c>
      <c r="AT8" s="707">
        <f>IF(Z8=0,0,IF(Z8=IFERROR(LARGE(Z$7:Z$66,1),0),1,0))+IF(AA8=0,0,IF(AA8=IFERROR(LARGE(AA$7:AA$66,1),0),1,0))+IF(AB8=0,0,IF(AB8=IFERROR(LARGE(AB$7:AB$66,1),0),1,0))+IF(AC8=0,0,IF(AC8=IFERROR(LARGE(AC$7:AC$66,1),0),1,0))+IF(AD8=0,0,IF(AD8=IFERROR(LARGE(AD$7:AD$66,1),0),1,0))+IF(AE8=0,0,IF(AE8=IFERROR(LARGE(AE$7:AE$66,1),0),1,0))+IF(AF8=0,0,IF(AF8=IFERROR(LARGE(AF$7:AF$66,1),0),1,0))+IF(AG8=0,0,IF(AG8=IFERROR(LARGE(AG$7:AG$66,1),0),1,0))+IF(AH8=0,0,IF(AH8=IFERROR(LARGE(AH$7:AH$66,1),0),1,0))+IF(AI8=0,0,IF(AI8=IFERROR(LARGE(AI$7:AI$66,1),0),1,0))+IF(AJ8=0,0,IF(AJ8=IFERROR(LARGE(AJ$7:AJ$66,1),0),1,0))+IF(AK8=0,0,IF(AK8=IFERROR(LARGE(AK$7:AK$66,1),0),1,0))+IF(AL8=0,0,IF(AL8=IFERROR(LARGE(AL$7:AL$66,1),0),1,0))+IF(AM8=0,0,IF(AM8=IFERROR(LARGE(AM$7:AM$66,1),0),1,0))+IF(AN8=0,0,IF(AN8=IFERROR(LARGE(AN$7:AN$66,1),0),1,0))</f>
        <v>5</v>
      </c>
      <c r="AU8" s="712"/>
      <c r="AV8" s="708">
        <f t="shared" ref="AV8:AV66" si="11">SMALL(AW8:BK8,AV$3)</f>
        <v>11.000299999999999</v>
      </c>
      <c r="AW8" s="709">
        <f t="shared" si="9"/>
        <v>15.0001</v>
      </c>
      <c r="AX8" s="709">
        <f t="shared" si="9"/>
        <v>2.0000000000000001E-4</v>
      </c>
      <c r="AY8" s="709">
        <f t="shared" si="9"/>
        <v>11.000299999999999</v>
      </c>
      <c r="AZ8" s="709">
        <f t="shared" si="9"/>
        <v>14.000400000000001</v>
      </c>
      <c r="BA8" s="709">
        <f t="shared" si="9"/>
        <v>15.000500000000001</v>
      </c>
      <c r="BB8" s="709">
        <f t="shared" si="9"/>
        <v>14.0006</v>
      </c>
      <c r="BC8" s="709">
        <f t="shared" si="9"/>
        <v>6.9999999999999999E-4</v>
      </c>
      <c r="BD8" s="709">
        <f t="shared" si="9"/>
        <v>14.0008</v>
      </c>
      <c r="BE8" s="709">
        <f t="shared" si="9"/>
        <v>15.0009</v>
      </c>
      <c r="BF8" s="709">
        <f t="shared" si="9"/>
        <v>15.000999999999999</v>
      </c>
      <c r="BG8" s="709">
        <f t="shared" si="9"/>
        <v>13.001099999999999</v>
      </c>
      <c r="BH8" s="709">
        <f t="shared" si="9"/>
        <v>14.001200000000001</v>
      </c>
      <c r="BI8" s="709">
        <f t="shared" si="9"/>
        <v>14.001300000000001</v>
      </c>
      <c r="BJ8" s="709">
        <f t="shared" si="9"/>
        <v>15.0014</v>
      </c>
      <c r="BK8" s="709">
        <f t="shared" si="9"/>
        <v>5.0015000000000001</v>
      </c>
      <c r="BL8" s="629"/>
    </row>
    <row r="9" spans="1:64" x14ac:dyDescent="0.2">
      <c r="A9" s="686">
        <f>IF(R9&gt;0,IF(Q9="v",RANK(B9,B$7:B$66,1)-COUNTBLANK(Q$7:Q$66),""),"")</f>
        <v>1</v>
      </c>
      <c r="B9" s="687">
        <f t="shared" si="0"/>
        <v>3</v>
      </c>
      <c r="C9" s="688">
        <f>IF(R9&gt;0,IF(P9="k",RANK(D9,D$7:D$66,1)-COUNTBLANK(P$7:P$66),""),"")</f>
        <v>1</v>
      </c>
      <c r="D9" s="687">
        <f t="shared" si="1"/>
        <v>3</v>
      </c>
      <c r="E9" s="689">
        <f>IF(R9&gt;0,IF(N9="m",RANK(F9,F$7:F$66,1)-COUNTBLANK(N$7:N$66),""),"")</f>
        <v>3</v>
      </c>
      <c r="F9" s="687">
        <f t="shared" si="2"/>
        <v>3</v>
      </c>
      <c r="G9" s="690" t="str">
        <f>IF(R9&gt;0,IF(M9="n",RANK(H9,H$7:H$66,1)-COUNTBLANK(M$7:M$66),""),"")</f>
        <v/>
      </c>
      <c r="H9" s="687">
        <f t="shared" si="3"/>
        <v>-997</v>
      </c>
      <c r="I9" s="691" t="str">
        <f>IF(R9&gt;0,IF(O9="j",RANK(J9,J$7:J$66,1)-COUNTBLANK(O$7:O$66),""),"")</f>
        <v/>
      </c>
      <c r="J9" s="692">
        <f t="shared" si="4"/>
        <v>-997</v>
      </c>
      <c r="K9" s="654">
        <f>IF(R9&gt;0,RANK(U9,U$7:U$66,1),"")</f>
        <v>3</v>
      </c>
      <c r="L9" s="711" t="s">
        <v>223</v>
      </c>
      <c r="M9" s="694"/>
      <c r="N9" s="695" t="str">
        <f t="shared" si="5"/>
        <v>m</v>
      </c>
      <c r="O9" s="696"/>
      <c r="P9" s="697" t="s">
        <v>268</v>
      </c>
      <c r="Q9" s="698" t="s">
        <v>269</v>
      </c>
      <c r="R9" s="699">
        <f>(IF(COUNT(Z9,AA9,AB9,AC9,AD9,AE9,AF9,AG9,AH9,AI9,AJ9,AK9,AL9,AM9,AN9)&lt;11,SUM(Z9,AA9,AB9,AC9,AD9,AE9,AF9,AG9,AH9,AI9,AJ9,AK9,AL9,AM9,AN9),SUM(LARGE((Z9,AA9,AB9,AC9,AD9,AE9,AF9,AG9,AH9,AI9,AJ9,AK9,AL9,AM9,AN9),{1;2;3;4;5;6;7;8;9;10;11}))))</f>
        <v>131</v>
      </c>
      <c r="S9" s="700" t="str">
        <f>INDEX(ETAPP!B$1:B$32,MATCH(COUNTIF(Z9:AN9,PVO!A$1),ETAPP!A$1:A$32,0))&amp;INDEX(ETAPP!B$1:B$32,MATCH(COUNTIF(Z9:AN9,PVO!A$2),ETAPP!A$1:A$32,0))&amp;INDEX(ETAPP!B$1:B$32,MATCH(COUNTIF(Z9:AN9,PVO!A$3),ETAPP!A$1:A$32,0))&amp;INDEX(ETAPP!B$1:B$32,MATCH(COUNTIF(Z9:AN9,PVO!A$4),ETAPP!A$1:A$32,0))&amp;INDEX(ETAPP!B$1:B$32,MATCH(COUNTIF(Z9:AN9,PVO!A$5),ETAPP!A$1:A$32,0))&amp;INDEX(ETAPP!B$1:B$32,MATCH(COUNTIF(Z9:AN9,PVO!A$6),ETAPP!A$1:A$32,0))&amp;INDEX(ETAPP!B$1:B$32,MATCH(COUNTIF(Z9:AN9,PVO!A$7),ETAPP!A$1:A$32,0))&amp;INDEX(ETAPP!B$1:B$32,MATCH(COUNTIF(Z9:AN9,PVO!A$8),ETAPP!A$1:A$32,0))&amp;INDEX(ETAPP!B$1:B$32,MATCH(COUNTIF(Z9:AN9,PVO!A$9),ETAPP!A$1:A$32,0))&amp;INDEX(ETAPP!B$1:B$32,MATCH(COUNTIF(Z9:AN9,PVO!A$10),ETAPP!A$1:A$32,0))&amp;INDEX(ETAPP!B$1:B$32,MATCH(COUNTIF(Z9:AN9,PVO!A$11),ETAPP!A$1:A$32,0))&amp;INDEX(ETAPP!B$1:B$32,MATCH(COUNTIF(Z9:AN9,PVO!A$12),ETAPP!A$1:A$32,0))&amp;INDEX(ETAPP!B$1:B$32,MATCH(COUNTIF(Z9:AN9,PVO!A$13),ETAPP!A$1:A$32,0))&amp;INDEX(ETAPP!B$1:B$32,MATCH(COUNTIF(Z9:AN9,PVO!A$14),ETAPP!A$1:A$32,0))&amp;INDEX(ETAPP!B$1:B$32,MATCH(COUNTIF(Z9:AN9,PVO!A$15),ETAPP!A$1:A$32,0))&amp;INDEX(ETAPP!B$1:B$32,MATCH(COUNTIF(Z9:AN9,PVO!A$16),ETAPP!A$1:A$32,0))&amp;INDEX(ETAPP!B$1:B$32,MATCH(COUNTIF(Z9:AN9,PVO!A$17),ETAPP!A$1:A$32,0))&amp;INDEX(ETAPP!B$1:B$32,MATCH(COUNTIF(Z9:AN9,PVO!A$18),ETAPP!A$1:A$32,0))&amp;INDEX(ETAPP!B$1:B$32,MATCH(COUNTIF(Z9:AN9,PVO!A$19),ETAPP!A$1:A$32,0))</f>
        <v>00BBB0B0B0A0A0A000B</v>
      </c>
      <c r="T9" s="700" t="str">
        <f t="shared" si="6"/>
        <v>131,0-00BBB0B0B0A0A0A000B</v>
      </c>
      <c r="U9" s="700">
        <f>COUNTIF(T$7:T$66,"&gt;="&amp;T9)</f>
        <v>3</v>
      </c>
      <c r="V9" s="700">
        <f>COUNTIF(L$7:L$66,"&gt;="&amp;L9)</f>
        <v>37</v>
      </c>
      <c r="W9" s="700" t="str">
        <f t="shared" si="7"/>
        <v>131,0-00BBB0B0B0A0A0A000B-037</v>
      </c>
      <c r="X9" s="700">
        <f>COUNTIF(W$7:W$66,"&gt;="&amp;W9)</f>
        <v>3</v>
      </c>
      <c r="Y9" s="701">
        <f>RANK(X9,X$7:X$66,0)</f>
        <v>58</v>
      </c>
      <c r="Z9" s="702">
        <f>IFERROR(INDEX('V1'!C$300:C$400,MATCH("*"&amp;L9&amp;"*",'V1'!B$300:B$400,0)),"  ")</f>
        <v>14</v>
      </c>
      <c r="AA9" s="702">
        <f>IFERROR(INDEX('V2'!C$300:C$400,MATCH("*"&amp;L9&amp;"*",'V2'!B$300:B$400,0)),"  ")</f>
        <v>7</v>
      </c>
      <c r="AB9" s="702" t="str">
        <f>IFERROR(INDEX('V3'!C$300:C$400,MATCH("*"&amp;L9&amp;"*",'V3'!B$300:B$400,0)),"  ")</f>
        <v xml:space="preserve">  </v>
      </c>
      <c r="AC9" s="702">
        <f>IFERROR(INDEX('V4'!C$300:C$400,MATCH("*"&amp;L9&amp;"*",'V4'!B$300:B$400,0)),"  ")</f>
        <v>15</v>
      </c>
      <c r="AD9" s="702">
        <f>IFERROR(INDEX('V5'!C$300:C$400,MATCH("*"&amp;L9&amp;"*",'V5'!B$300:B$400,0)),"  ")</f>
        <v>11</v>
      </c>
      <c r="AE9" s="702">
        <f>IFERROR(INDEX('V6'!C$300:C$400,MATCH("*"&amp;L9&amp;"*",'V6'!B$300:B$400,0)),"  ")</f>
        <v>13</v>
      </c>
      <c r="AF9" s="702">
        <f>IFERROR(INDEX('V7'!C$300:C$400,MATCH("*"&amp;L9&amp;"*",'V7'!B$300:B$400,0)),"  ")</f>
        <v>11</v>
      </c>
      <c r="AG9" s="702" t="str">
        <f>IFERROR(INDEX('V8'!C$300:C$400,MATCH("*"&amp;L9&amp;"*",'V8'!B$300:B$400,0)),"  ")</f>
        <v xml:space="preserve">  </v>
      </c>
      <c r="AH9" s="702">
        <f>IFERROR(INDEX('V9'!C$300:C$400,MATCH("*"&amp;L9&amp;"*",'V9'!B$300:B$400,0)),"  ")</f>
        <v>14</v>
      </c>
      <c r="AI9" s="702">
        <f>IFERROR(INDEX('V10'!C$300:C$400,MATCH("*"&amp;L9&amp;"*",'V10'!B$300:B$400,0)),"  ")</f>
        <v>3</v>
      </c>
      <c r="AJ9" s="702">
        <f>IFERROR(INDEX('V11'!C$300:C$400,MATCH("*"&amp;L9&amp;"*",'V11'!B$300:B$400,0)),"  ")</f>
        <v>9</v>
      </c>
      <c r="AK9" s="702">
        <f>IFERROR(INDEX('V12'!C$300:C$400,MATCH("*"&amp;L9&amp;"*",'V12'!B$300:B$400,0)),"  ")</f>
        <v>13</v>
      </c>
      <c r="AL9" s="702">
        <f>IFERROR(INDEX('V13'!C$300:C$400,MATCH("*"&amp;L9&amp;"*",'V13'!B$300:B$400,0)),"  ")</f>
        <v>15</v>
      </c>
      <c r="AM9" s="702">
        <f>IFERROR(INDEX('V14'!C$300:C$400,MATCH("*"&amp;L9&amp;"*",'V14'!B$300:B$400,0)),"  ")</f>
        <v>9</v>
      </c>
      <c r="AN9" s="702">
        <f>IFERROR(INDEX('V15'!C$300:C$400,MATCH("*"&amp;L9&amp;"*",'V15'!B$300:B$400,0)),"  ")</f>
        <v>5</v>
      </c>
      <c r="AO9" s="703">
        <f t="shared" si="10"/>
        <v>3</v>
      </c>
      <c r="AP9" s="704" t="str">
        <f>IFERROR("edasi "&amp;RANK(AO9,AO$7:AO$66,1),K9)</f>
        <v>edasi 3</v>
      </c>
      <c r="AQ9" s="705">
        <f>IFERROR(INDEX('V-fin'!A$300:A$401,MATCH("*"&amp;L9&amp;"*",'V-fin'!B$300:B$401,0)),"  ")</f>
        <v>2</v>
      </c>
      <c r="AR9" s="706">
        <f t="shared" si="8"/>
        <v>13</v>
      </c>
      <c r="AS9" s="707">
        <f>IFERROR(IF(Z9+1&gt;LARGE(Z$7:Z$66,1)-2,1),0)+IFERROR(IF(AA9+1&gt;LARGE(AA$7:AA$66,1)-2,1),0)+IFERROR(IF(AB9+1&gt;LARGE(AB$7:AB$66,1)-2,1),0)+IFERROR(IF(AC9+1&gt;LARGE(AC$7:AC$66,1)-2,1),0)+IFERROR(IF(AD9+1&gt;LARGE(AD$7:AD$66,1)-2,1),0)+IFERROR(IF(AE9+1&gt;LARGE(AE$7:AE$66,1)-2,1),0)+IFERROR(IF(AF9+1&gt;LARGE(AF$7:AF$66,1)-2,1),0)+IFERROR(IF(AG9+1&gt;LARGE(AG$7:AG$66,1)-2,1),0)+IFERROR(IF(AH9+1&gt;LARGE(AH$7:AH$66,1)-2,1),0)+IFERROR(IF(AI9+1&gt;LARGE(AI$7:AI$66,1)-2,1),0)+IFERROR(IF(AJ9+1&gt;LARGE(AJ$7:AJ$66,1)-2,1),0)+IFERROR(IF(AK9+1&gt;LARGE(AK$7:AK$66,1)-2,1),0)+IFERROR(IF(AL9+1&gt;LARGE(AL$7:AL$66,1)-2,1),0)+IFERROR(IF(AM9+1&gt;LARGE(AM$7:AM$66,1)-2,1),0)+IFERROR(IF(AN9+1&gt;LARGE(AN$7:AN$66,1)-2,1),0)</f>
        <v>6</v>
      </c>
      <c r="AT9" s="707">
        <f>IF(Z9=0,0,IF(Z9=IFERROR(LARGE(Z$7:Z$66,1),0),1,0))+IF(AA9=0,0,IF(AA9=IFERROR(LARGE(AA$7:AA$66,1),0),1,0))+IF(AB9=0,0,IF(AB9=IFERROR(LARGE(AB$7:AB$66,1),0),1,0))+IF(AC9=0,0,IF(AC9=IFERROR(LARGE(AC$7:AC$66,1),0),1,0))+IF(AD9=0,0,IF(AD9=IFERROR(LARGE(AD$7:AD$66,1),0),1,0))+IF(AE9=0,0,IF(AE9=IFERROR(LARGE(AE$7:AE$66,1),0),1,0))+IF(AF9=0,0,IF(AF9=IFERROR(LARGE(AF$7:AF$66,1),0),1,0))+IF(AG9=0,0,IF(AG9=IFERROR(LARGE(AG$7:AG$66,1),0),1,0))+IF(AH9=0,0,IF(AH9=IFERROR(LARGE(AH$7:AH$66,1),0),1,0))+IF(AI9=0,0,IF(AI9=IFERROR(LARGE(AI$7:AI$66,1),0),1,0))+IF(AJ9=0,0,IF(AJ9=IFERROR(LARGE(AJ$7:AJ$66,1),0),1,0))+IF(AK9=0,0,IF(AK9=IFERROR(LARGE(AK$7:AK$66,1),0),1,0))+IF(AL9=0,0,IF(AL9=IFERROR(LARGE(AL$7:AL$66,1),0),1,0))+IF(AM9=0,0,IF(AM9=IFERROR(LARGE(AM$7:AM$66,1),0),1,0))+IF(AN9=0,0,IF(AN9=IFERROR(LARGE(AN$7:AN$66,1),0),1,0))</f>
        <v>2</v>
      </c>
      <c r="AU9" s="629"/>
      <c r="AV9" s="708">
        <f t="shared" si="11"/>
        <v>5.0015000000000001</v>
      </c>
      <c r="AW9" s="709">
        <f t="shared" si="9"/>
        <v>14.0001</v>
      </c>
      <c r="AX9" s="709">
        <f t="shared" si="9"/>
        <v>7.0002000000000004</v>
      </c>
      <c r="AY9" s="709">
        <f t="shared" si="9"/>
        <v>2.9999999999999997E-4</v>
      </c>
      <c r="AZ9" s="709">
        <f t="shared" si="9"/>
        <v>15.000400000000001</v>
      </c>
      <c r="BA9" s="709">
        <f t="shared" si="9"/>
        <v>11.000500000000001</v>
      </c>
      <c r="BB9" s="709">
        <f t="shared" si="9"/>
        <v>13.0006</v>
      </c>
      <c r="BC9" s="709">
        <f t="shared" si="9"/>
        <v>11.0007</v>
      </c>
      <c r="BD9" s="709">
        <f t="shared" si="9"/>
        <v>8.0000000000000004E-4</v>
      </c>
      <c r="BE9" s="709">
        <f t="shared" si="9"/>
        <v>14.0009</v>
      </c>
      <c r="BF9" s="709">
        <f t="shared" si="9"/>
        <v>3.0009999999999999</v>
      </c>
      <c r="BG9" s="709">
        <f t="shared" si="9"/>
        <v>9.0010999999999992</v>
      </c>
      <c r="BH9" s="709">
        <f t="shared" si="9"/>
        <v>13.001200000000001</v>
      </c>
      <c r="BI9" s="709">
        <f t="shared" si="9"/>
        <v>15.001300000000001</v>
      </c>
      <c r="BJ9" s="709">
        <f t="shared" si="9"/>
        <v>9.0014000000000003</v>
      </c>
      <c r="BK9" s="709">
        <f t="shared" si="9"/>
        <v>5.0015000000000001</v>
      </c>
      <c r="BL9" s="629"/>
    </row>
    <row r="10" spans="1:64" x14ac:dyDescent="0.2">
      <c r="A10" s="686" t="str">
        <f>IF(R10&gt;0,IF(Q10="v",RANK(B10,B$7:B$66,1)-COUNTBLANK(Q$7:Q$66),""),"")</f>
        <v/>
      </c>
      <c r="B10" s="687">
        <f t="shared" si="0"/>
        <v>-996</v>
      </c>
      <c r="C10" s="688">
        <f>IF(R10&gt;0,IF(P10="k",RANK(D10,D$7:D$66,1)-COUNTBLANK(P$7:P$66),""),"")</f>
        <v>2</v>
      </c>
      <c r="D10" s="687">
        <f t="shared" si="1"/>
        <v>4</v>
      </c>
      <c r="E10" s="689">
        <f>IF(R10&gt;0,IF(N10="m",RANK(F10,F$7:F$66,1)-COUNTBLANK(N$7:N$66),""),"")</f>
        <v>4</v>
      </c>
      <c r="F10" s="687">
        <f t="shared" si="2"/>
        <v>4</v>
      </c>
      <c r="G10" s="690" t="str">
        <f>IF(R10&gt;0,IF(M10="n",RANK(H10,H$7:H$66,1)-COUNTBLANK(M$7:M$66),""),"")</f>
        <v/>
      </c>
      <c r="H10" s="687">
        <f t="shared" si="3"/>
        <v>-996</v>
      </c>
      <c r="I10" s="691" t="str">
        <f>IF(R10&gt;0,IF(O10="j",RANK(J10,J$7:J$66,1)-COUNTBLANK(O$7:O$66),""),"")</f>
        <v/>
      </c>
      <c r="J10" s="692">
        <f t="shared" si="4"/>
        <v>-996</v>
      </c>
      <c r="K10" s="654">
        <f>IF(R10&gt;0,RANK(U10,U$7:U$66,1),"")</f>
        <v>4</v>
      </c>
      <c r="L10" s="713" t="s">
        <v>270</v>
      </c>
      <c r="M10" s="694"/>
      <c r="N10" s="695" t="str">
        <f t="shared" si="5"/>
        <v>m</v>
      </c>
      <c r="O10" s="696"/>
      <c r="P10" s="697" t="s">
        <v>268</v>
      </c>
      <c r="Q10" s="698"/>
      <c r="R10" s="699">
        <f>(IF(COUNT(Z10,AA10,AB10,AC10,AD10,AE10,AF10,AG10,AH10,AI10,AJ10,AK10,AL10,AM10,AN10)&lt;11,SUM(Z10,AA10,AB10,AC10,AD10,AE10,AF10,AG10,AH10,AI10,AJ10,AK10,AL10,AM10,AN10),SUM(LARGE((Z10,AA10,AB10,AC10,AD10,AE10,AF10,AG10,AH10,AI10,AJ10,AK10,AL10,AM10,AN10),{1;2;3;4;5;6;7;8;9;10;11}))))</f>
        <v>125</v>
      </c>
      <c r="S10" s="700" t="str">
        <f>INDEX(ETAPP!B$1:B$32,MATCH(COUNTIF(Z10:AN10,PVO!A$1),ETAPP!A$1:A$32,0))&amp;INDEX(ETAPP!B$1:B$32,MATCH(COUNTIF(Z10:AN10,PVO!A$2),ETAPP!A$1:A$32,0))&amp;INDEX(ETAPP!B$1:B$32,MATCH(COUNTIF(Z10:AN10,PVO!A$3),ETAPP!A$1:A$32,0))&amp;INDEX(ETAPP!B$1:B$32,MATCH(COUNTIF(Z10:AN10,PVO!A$4),ETAPP!A$1:A$32,0))&amp;INDEX(ETAPP!B$1:B$32,MATCH(COUNTIF(Z10:AN10,PVO!A$5),ETAPP!A$1:A$32,0))&amp;INDEX(ETAPP!B$1:B$32,MATCH(COUNTIF(Z10:AN10,PVO!A$6),ETAPP!A$1:A$32,0))&amp;INDEX(ETAPP!B$1:B$32,MATCH(COUNTIF(Z10:AN10,PVO!A$7),ETAPP!A$1:A$32,0))&amp;INDEX(ETAPP!B$1:B$32,MATCH(COUNTIF(Z10:AN10,PVO!A$8),ETAPP!A$1:A$32,0))&amp;INDEX(ETAPP!B$1:B$32,MATCH(COUNTIF(Z10:AN10,PVO!A$9),ETAPP!A$1:A$32,0))&amp;INDEX(ETAPP!B$1:B$32,MATCH(COUNTIF(Z10:AN10,PVO!A$10),ETAPP!A$1:A$32,0))&amp;INDEX(ETAPP!B$1:B$32,MATCH(COUNTIF(Z10:AN10,PVO!A$11),ETAPP!A$1:A$32,0))&amp;INDEX(ETAPP!B$1:B$32,MATCH(COUNTIF(Z10:AN10,PVO!A$12),ETAPP!A$1:A$32,0))&amp;INDEX(ETAPP!B$1:B$32,MATCH(COUNTIF(Z10:AN10,PVO!A$13),ETAPP!A$1:A$32,0))&amp;INDEX(ETAPP!B$1:B$32,MATCH(COUNTIF(Z10:AN10,PVO!A$14),ETAPP!A$1:A$32,0))&amp;INDEX(ETAPP!B$1:B$32,MATCH(COUNTIF(Z10:AN10,PVO!A$15),ETAPP!A$1:A$32,0))&amp;INDEX(ETAPP!B$1:B$32,MATCH(COUNTIF(Z10:AN10,PVO!A$16),ETAPP!A$1:A$32,0))&amp;INDEX(ETAPP!B$1:B$32,MATCH(COUNTIF(Z10:AN10,PVO!A$17),ETAPP!A$1:A$32,0))&amp;INDEX(ETAPP!B$1:B$32,MATCH(COUNTIF(Z10:AN10,PVO!A$18),ETAPP!A$1:A$32,0))&amp;INDEX(ETAPP!B$1:B$32,MATCH(COUNTIF(Z10:AN10,PVO!A$19),ETAPP!A$1:A$32,0))</f>
        <v>00A0ABCA0A0A000B00A</v>
      </c>
      <c r="T10" s="700" t="str">
        <f t="shared" si="6"/>
        <v>125,0-00A0ABCA0A0A000B00A</v>
      </c>
      <c r="U10" s="700">
        <f>COUNTIF(T$7:T$66,"&gt;="&amp;T10)</f>
        <v>4</v>
      </c>
      <c r="V10" s="700">
        <f>COUNTIF(L$7:L$66,"&gt;="&amp;L10)</f>
        <v>27</v>
      </c>
      <c r="W10" s="700" t="str">
        <f t="shared" si="7"/>
        <v>125,0-00A0ABCA0A0A000B00A-027</v>
      </c>
      <c r="X10" s="700">
        <f>COUNTIF(W$7:W$66,"&gt;="&amp;W10)</f>
        <v>4</v>
      </c>
      <c r="Y10" s="701">
        <f>RANK(X10,X$7:X$66,0)</f>
        <v>57</v>
      </c>
      <c r="Z10" s="702">
        <f>IFERROR(INDEX('V1'!C$300:C$400,MATCH("*"&amp;L10&amp;"*",'V1'!B$300:B$400,0)),"  ")</f>
        <v>11</v>
      </c>
      <c r="AA10" s="702">
        <f>IFERROR(INDEX('V2'!C$300:C$400,MATCH("*"&amp;L10&amp;"*",'V2'!B$300:B$400,0)),"  ")</f>
        <v>12</v>
      </c>
      <c r="AB10" s="702">
        <f>IFERROR(INDEX('V3'!C$300:C$400,MATCH("*"&amp;L10&amp;"*",'V3'!B$300:B$400,0)),"  ")</f>
        <v>15</v>
      </c>
      <c r="AC10" s="702">
        <f>IFERROR(INDEX('V4'!C$300:C$400,MATCH("*"&amp;L10&amp;"*",'V4'!B$300:B$400,0)),"  ")</f>
        <v>12</v>
      </c>
      <c r="AD10" s="702">
        <f>IFERROR(INDEX('V5'!C$300:C$400,MATCH("*"&amp;L10&amp;"*",'V5'!B$300:B$400,0)),"  ")</f>
        <v>10</v>
      </c>
      <c r="AE10" s="702">
        <f>IFERROR(INDEX('V6'!C$300:C$400,MATCH("*"&amp;L10&amp;"*",'V6'!B$300:B$400,0)),"  ")</f>
        <v>11.5</v>
      </c>
      <c r="AF10" s="702">
        <f>IFERROR(INDEX('V7'!C$300:C$400,MATCH("*"&amp;L10&amp;"*",'V7'!B$300:B$400,0)),"  ")</f>
        <v>8</v>
      </c>
      <c r="AG10" s="702">
        <f>IFERROR(INDEX('V8'!C$300:C$400,MATCH("*"&amp;L10&amp;"*",'V8'!B$300:B$400,0)),"  ")</f>
        <v>10.5</v>
      </c>
      <c r="AH10" s="702">
        <f>IFERROR(INDEX('V9'!C$300:C$400,MATCH("*"&amp;L10&amp;"*",'V9'!B$300:B$400,0)),"  ")</f>
        <v>13</v>
      </c>
      <c r="AI10" s="702">
        <f>IFERROR(INDEX('V10'!C$300:C$400,MATCH("*"&amp;L10&amp;"*",'V10'!B$300:B$400,0)),"  ")</f>
        <v>6</v>
      </c>
      <c r="AJ10" s="702" t="str">
        <f>IFERROR(INDEX('V11'!C$300:C$400,MATCH("*"&amp;L10&amp;"*",'V11'!B$300:B$400,0)),"  ")</f>
        <v xml:space="preserve">  </v>
      </c>
      <c r="AK10" s="702">
        <f>IFERROR(INDEX('V12'!C$300:C$400,MATCH("*"&amp;L10&amp;"*",'V12'!B$300:B$400,0)),"  ")</f>
        <v>2</v>
      </c>
      <c r="AL10" s="702">
        <f>IFERROR(INDEX('V13'!C$300:C$400,MATCH("*"&amp;L10&amp;"*",'V13'!B$300:B$400,0)),"  ")</f>
        <v>11</v>
      </c>
      <c r="AM10" s="702">
        <f>IFERROR(INDEX('V14'!C$300:C$400,MATCH("*"&amp;L10&amp;"*",'V14'!B$300:B$400,0)),"  ")</f>
        <v>2</v>
      </c>
      <c r="AN10" s="702">
        <f>IFERROR(INDEX('V15'!C$300:C$400,MATCH("*"&amp;L10&amp;"*",'V15'!B$300:B$400,0)),"  ")</f>
        <v>11</v>
      </c>
      <c r="AO10" s="703">
        <f t="shared" si="10"/>
        <v>4</v>
      </c>
      <c r="AP10" s="704" t="str">
        <f>IFERROR("edasi "&amp;RANK(AO10,AO$7:AO$66,1),K10)</f>
        <v>edasi 4</v>
      </c>
      <c r="AQ10" s="705">
        <f>IFERROR(INDEX('V-fin'!A$300:A$401,MATCH("*"&amp;L10&amp;"*",'V-fin'!B$300:B$401,0)),"  ")</f>
        <v>7</v>
      </c>
      <c r="AR10" s="706">
        <f t="shared" si="8"/>
        <v>14</v>
      </c>
      <c r="AS10" s="707">
        <f>IFERROR(IF(Z10+1&gt;LARGE(Z$7:Z$66,1)-2,1),0)+IFERROR(IF(AA10+1&gt;LARGE(AA$7:AA$66,1)-2,1),0)+IFERROR(IF(AB10+1&gt;LARGE(AB$7:AB$66,1)-2,1),0)+IFERROR(IF(AC10+1&gt;LARGE(AC$7:AC$66,1)-2,1),0)+IFERROR(IF(AD10+1&gt;LARGE(AD$7:AD$66,1)-2,1),0)+IFERROR(IF(AE10+1&gt;LARGE(AE$7:AE$66,1)-2,1),0)+IFERROR(IF(AF10+1&gt;LARGE(AF$7:AF$66,1)-2,1),0)+IFERROR(IF(AG10+1&gt;LARGE(AG$7:AG$66,1)-2,1),0)+IFERROR(IF(AH10+1&gt;LARGE(AH$7:AH$66,1)-2,1),0)+IFERROR(IF(AI10+1&gt;LARGE(AI$7:AI$66,1)-2,1),0)+IFERROR(IF(AJ10+1&gt;LARGE(AJ$7:AJ$66,1)-2,1),0)+IFERROR(IF(AK10+1&gt;LARGE(AK$7:AK$66,1)-2,1),0)+IFERROR(IF(AL10+1&gt;LARGE(AL$7:AL$66,1)-2,1),0)+IFERROR(IF(AM10+1&gt;LARGE(AM$7:AM$66,1)-2,1),0)+IFERROR(IF(AN10+1&gt;LARGE(AN$7:AN$66,1)-2,1),0)</f>
        <v>2</v>
      </c>
      <c r="AT10" s="707">
        <f>IF(Z10=0,0,IF(Z10=IFERROR(LARGE(Z$7:Z$66,1),0),1,0))+IF(AA10=0,0,IF(AA10=IFERROR(LARGE(AA$7:AA$66,1),0),1,0))+IF(AB10=0,0,IF(AB10=IFERROR(LARGE(AB$7:AB$66,1),0),1,0))+IF(AC10=0,0,IF(AC10=IFERROR(LARGE(AC$7:AC$66,1),0),1,0))+IF(AD10=0,0,IF(AD10=IFERROR(LARGE(AD$7:AD$66,1),0),1,0))+IF(AE10=0,0,IF(AE10=IFERROR(LARGE(AE$7:AE$66,1),0),1,0))+IF(AF10=0,0,IF(AF10=IFERROR(LARGE(AF$7:AF$66,1),0),1,0))+IF(AG10=0,0,IF(AG10=IFERROR(LARGE(AG$7:AG$66,1),0),1,0))+IF(AH10=0,0,IF(AH10=IFERROR(LARGE(AH$7:AH$66,1),0),1,0))+IF(AI10=0,0,IF(AI10=IFERROR(LARGE(AI$7:AI$66,1),0),1,0))+IF(AJ10=0,0,IF(AJ10=IFERROR(LARGE(AJ$7:AJ$66,1),0),1,0))+IF(AK10=0,0,IF(AK10=IFERROR(LARGE(AK$7:AK$66,1),0),1,0))+IF(AL10=0,0,IF(AL10=IFERROR(LARGE(AL$7:AL$66,1),0),1,0))+IF(AM10=0,0,IF(AM10=IFERROR(LARGE(AM$7:AM$66,1),0),1,0))+IF(AN10=0,0,IF(AN10=IFERROR(LARGE(AN$7:AN$66,1),0),1,0))</f>
        <v>1</v>
      </c>
      <c r="AU10" s="629"/>
      <c r="AV10" s="708">
        <f t="shared" si="11"/>
        <v>6.0010000000000003</v>
      </c>
      <c r="AW10" s="709">
        <f t="shared" si="9"/>
        <v>11.0001</v>
      </c>
      <c r="AX10" s="709">
        <f t="shared" si="9"/>
        <v>12.0002</v>
      </c>
      <c r="AY10" s="709">
        <f t="shared" si="9"/>
        <v>15.000299999999999</v>
      </c>
      <c r="AZ10" s="709">
        <f t="shared" si="9"/>
        <v>12.000400000000001</v>
      </c>
      <c r="BA10" s="709">
        <f t="shared" si="9"/>
        <v>10.000500000000001</v>
      </c>
      <c r="BB10" s="709">
        <f t="shared" si="9"/>
        <v>11.5006</v>
      </c>
      <c r="BC10" s="709">
        <f t="shared" si="9"/>
        <v>8.0007000000000001</v>
      </c>
      <c r="BD10" s="709">
        <f t="shared" si="9"/>
        <v>10.5008</v>
      </c>
      <c r="BE10" s="709">
        <f t="shared" si="9"/>
        <v>13.0009</v>
      </c>
      <c r="BF10" s="709">
        <f t="shared" si="9"/>
        <v>6.0010000000000003</v>
      </c>
      <c r="BG10" s="709">
        <f t="shared" si="9"/>
        <v>1.1000000000000001E-3</v>
      </c>
      <c r="BH10" s="709">
        <f t="shared" si="9"/>
        <v>2.0011999999999999</v>
      </c>
      <c r="BI10" s="709">
        <f t="shared" si="9"/>
        <v>11.001300000000001</v>
      </c>
      <c r="BJ10" s="709">
        <f t="shared" si="9"/>
        <v>2.0013999999999998</v>
      </c>
      <c r="BK10" s="709">
        <f t="shared" si="9"/>
        <v>11.0015</v>
      </c>
      <c r="BL10" s="629"/>
    </row>
    <row r="11" spans="1:64" x14ac:dyDescent="0.2">
      <c r="A11" s="686">
        <f>IF(R11&gt;0,IF(Q11="v",RANK(B11,B$7:B$66,1)-COUNTBLANK(Q$7:Q$66),""),"")</f>
        <v>2</v>
      </c>
      <c r="B11" s="687">
        <f t="shared" si="0"/>
        <v>5</v>
      </c>
      <c r="C11" s="688" t="str">
        <f>IF(R11&gt;0,IF(P11="k",RANK(D11,D$7:D$66,1)-COUNTBLANK(P$7:P$66),""),"")</f>
        <v/>
      </c>
      <c r="D11" s="687">
        <f t="shared" si="1"/>
        <v>-995</v>
      </c>
      <c r="E11" s="689">
        <f>IF(R11&gt;0,IF(N11="m",RANK(F11,F$7:F$66,1)-COUNTBLANK(N$7:N$66),""),"")</f>
        <v>5</v>
      </c>
      <c r="F11" s="687">
        <f t="shared" si="2"/>
        <v>5</v>
      </c>
      <c r="G11" s="690" t="str">
        <f>IF(R11&gt;0,IF(M11="n",RANK(H11,H$7:H$66,1)-COUNTBLANK(M$7:M$66),""),"")</f>
        <v/>
      </c>
      <c r="H11" s="687">
        <f t="shared" si="3"/>
        <v>-995</v>
      </c>
      <c r="I11" s="691" t="str">
        <f>IF(R11&gt;0,IF(O11="j",RANK(J11,J$7:J$66,1)-COUNTBLANK(O$7:O$66),""),"")</f>
        <v/>
      </c>
      <c r="J11" s="692">
        <f t="shared" si="4"/>
        <v>-995</v>
      </c>
      <c r="K11" s="654">
        <f>IF(R11&gt;0,RANK(U11,U$7:U$66,1),"")</f>
        <v>5</v>
      </c>
      <c r="L11" s="693" t="s">
        <v>271</v>
      </c>
      <c r="M11" s="694"/>
      <c r="N11" s="695" t="str">
        <f t="shared" si="5"/>
        <v>m</v>
      </c>
      <c r="O11" s="696"/>
      <c r="P11" s="697"/>
      <c r="Q11" s="698" t="s">
        <v>269</v>
      </c>
      <c r="R11" s="699">
        <f>(IF(COUNT(Z11,AA11,AB11,AC11,AD11,AE11,AF11,AG11,AH11,AI11,AJ11,AK11,AL11,AM11,AN11)&lt;11,SUM(Z11,AA11,AB11,AC11,AD11,AE11,AF11,AG11,AH11,AI11,AJ11,AK11,AL11,AM11,AN11),SUM(LARGE((Z11,AA11,AB11,AC11,AD11,AE11,AF11,AG11,AH11,AI11,AJ11,AK11,AL11,AM11,AN11),{1;2;3;4;5;6;7;8;9;10;11}))))</f>
        <v>123.5</v>
      </c>
      <c r="S11" s="700" t="str">
        <f>INDEX(ETAPP!B$1:B$32,MATCH(COUNTIF(Z11:AN11,PVO!A$1),ETAPP!A$1:A$32,0))&amp;INDEX(ETAPP!B$1:B$32,MATCH(COUNTIF(Z11:AN11,PVO!A$2),ETAPP!A$1:A$32,0))&amp;INDEX(ETAPP!B$1:B$32,MATCH(COUNTIF(Z11:AN11,PVO!A$3),ETAPP!A$1:A$32,0))&amp;INDEX(ETAPP!B$1:B$32,MATCH(COUNTIF(Z11:AN11,PVO!A$4),ETAPP!A$1:A$32,0))&amp;INDEX(ETAPP!B$1:B$32,MATCH(COUNTIF(Z11:AN11,PVO!A$5),ETAPP!A$1:A$32,0))&amp;INDEX(ETAPP!B$1:B$32,MATCH(COUNTIF(Z11:AN11,PVO!A$6),ETAPP!A$1:A$32,0))&amp;INDEX(ETAPP!B$1:B$32,MATCH(COUNTIF(Z11:AN11,PVO!A$7),ETAPP!A$1:A$32,0))&amp;INDEX(ETAPP!B$1:B$32,MATCH(COUNTIF(Z11:AN11,PVO!A$8),ETAPP!A$1:A$32,0))&amp;INDEX(ETAPP!B$1:B$32,MATCH(COUNTIF(Z11:AN11,PVO!A$9),ETAPP!A$1:A$32,0))&amp;INDEX(ETAPP!B$1:B$32,MATCH(COUNTIF(Z11:AN11,PVO!A$10),ETAPP!A$1:A$32,0))&amp;INDEX(ETAPP!B$1:B$32,MATCH(COUNTIF(Z11:AN11,PVO!A$11),ETAPP!A$1:A$32,0))&amp;INDEX(ETAPP!B$1:B$32,MATCH(COUNTIF(Z11:AN11,PVO!A$12),ETAPP!A$1:A$32,0))&amp;INDEX(ETAPP!B$1:B$32,MATCH(COUNTIF(Z11:AN11,PVO!A$13),ETAPP!A$1:A$32,0))&amp;INDEX(ETAPP!B$1:B$32,MATCH(COUNTIF(Z11:AN11,PVO!A$14),ETAPP!A$1:A$32,0))&amp;INDEX(ETAPP!B$1:B$32,MATCH(COUNTIF(Z11:AN11,PVO!A$15),ETAPP!A$1:A$32,0))&amp;INDEX(ETAPP!B$1:B$32,MATCH(COUNTIF(Z11:AN11,PVO!A$16),ETAPP!A$1:A$32,0))&amp;INDEX(ETAPP!B$1:B$32,MATCH(COUNTIF(Z11:AN11,PVO!A$17),ETAPP!A$1:A$32,0))&amp;INDEX(ETAPP!B$1:B$32,MATCH(COUNTIF(Z11:AN11,PVO!A$18),ETAPP!A$1:A$32,0))&amp;INDEX(ETAPP!B$1:B$32,MATCH(COUNTIF(Z11:AN11,PVO!A$19),ETAPP!A$1:A$32,0))</f>
        <v>000BABA0A0AA000A00A</v>
      </c>
      <c r="T11" s="700" t="str">
        <f t="shared" si="6"/>
        <v>123,5-000BABA0A0AA000A00A</v>
      </c>
      <c r="U11" s="700">
        <f>COUNTIF(T$7:T$66,"&gt;="&amp;T11)</f>
        <v>5</v>
      </c>
      <c r="V11" s="700">
        <f>COUNTIF(L$7:L$66,"&gt;="&amp;L11)</f>
        <v>40</v>
      </c>
      <c r="W11" s="700" t="str">
        <f t="shared" si="7"/>
        <v>123,5-000BABA0A0AA000A00A-040</v>
      </c>
      <c r="X11" s="700">
        <f>COUNTIF(W$7:W$66,"&gt;="&amp;W11)</f>
        <v>5</v>
      </c>
      <c r="Y11" s="701">
        <f>RANK(X11,X$7:X$66,0)</f>
        <v>56</v>
      </c>
      <c r="Z11" s="702" t="str">
        <f>IFERROR(INDEX('V1'!C$300:C$400,MATCH("*"&amp;L11&amp;"*",'V1'!B$300:B$400,0)),"  ")</f>
        <v xml:space="preserve">  </v>
      </c>
      <c r="AA11" s="702">
        <f>IFERROR(INDEX('V2'!C$300:C$400,MATCH("*"&amp;L11&amp;"*",'V2'!B$300:B$400,0)),"  ")</f>
        <v>6</v>
      </c>
      <c r="AB11" s="702">
        <f>IFERROR(INDEX('V3'!C$300:C$400,MATCH("*"&amp;L11&amp;"*",'V3'!B$300:B$400,0)),"  ")</f>
        <v>14</v>
      </c>
      <c r="AC11" s="702">
        <f>IFERROR(INDEX('V4'!C$300:C$400,MATCH("*"&amp;L11&amp;"*",'V4'!B$300:B$400,0)),"  ")</f>
        <v>6.5</v>
      </c>
      <c r="AD11" s="702">
        <f>IFERROR(INDEX('V5'!C$300:C$400,MATCH("*"&amp;L11&amp;"*",'V5'!B$300:B$400,0)),"  ")</f>
        <v>11</v>
      </c>
      <c r="AE11" s="702">
        <f>IFERROR(INDEX('V6'!C$300:C$400,MATCH("*"&amp;L11&amp;"*",'V6'!B$300:B$400,0)),"  ")</f>
        <v>13</v>
      </c>
      <c r="AF11" s="702">
        <f>IFERROR(INDEX('V7'!C$300:C$400,MATCH("*"&amp;L11&amp;"*",'V7'!B$300:B$400,0)),"  ")</f>
        <v>9.5</v>
      </c>
      <c r="AG11" s="702">
        <f>IFERROR(INDEX('V8'!C$300:C$400,MATCH("*"&amp;L11&amp;"*",'V8'!B$300:B$400,0)),"  ")</f>
        <v>10.5</v>
      </c>
      <c r="AH11" s="702">
        <f>IFERROR(INDEX('V9'!C$300:C$400,MATCH("*"&amp;L11&amp;"*",'V9'!B$300:B$400,0)),"  ")</f>
        <v>11.5</v>
      </c>
      <c r="AI11" s="702">
        <f>IFERROR(INDEX('V10'!C$300:C$400,MATCH("*"&amp;L11&amp;"*",'V10'!B$300:B$400,0)),"  ")</f>
        <v>12</v>
      </c>
      <c r="AJ11" s="702">
        <f>IFERROR(INDEX('V11'!C$300:C$400,MATCH("*"&amp;L11&amp;"*",'V11'!B$300:B$400,0)),"  ")</f>
        <v>7</v>
      </c>
      <c r="AK11" s="702">
        <f>IFERROR(INDEX('V12'!C$300:C$400,MATCH("*"&amp;L11&amp;"*",'V12'!B$300:B$400,0)),"  ")</f>
        <v>9</v>
      </c>
      <c r="AL11" s="702">
        <f>IFERROR(INDEX('V13'!C$300:C$400,MATCH("*"&amp;L11&amp;"*",'V13'!B$300:B$400,0)),"  ")</f>
        <v>12</v>
      </c>
      <c r="AM11" s="702">
        <f>IFERROR(INDEX('V14'!C$300:C$400,MATCH("*"&amp;L11&amp;"*",'V14'!B$300:B$400,0)),"  ")</f>
        <v>2</v>
      </c>
      <c r="AN11" s="702">
        <f>IFERROR(INDEX('V15'!C$300:C$400,MATCH("*"&amp;L11&amp;"*",'V15'!B$300:B$400,0)),"  ")</f>
        <v>14</v>
      </c>
      <c r="AO11" s="703">
        <f t="shared" si="10"/>
        <v>5</v>
      </c>
      <c r="AP11" s="704" t="str">
        <f>IFERROR("edasi "&amp;RANK(AO11,AO$7:AO$66,1),K11)</f>
        <v>edasi 5</v>
      </c>
      <c r="AQ11" s="705">
        <f>IFERROR(INDEX('V-fin'!A$300:A$401,MATCH("*"&amp;L11&amp;"*",'V-fin'!B$300:B$401,0)),"  ")</f>
        <v>8</v>
      </c>
      <c r="AR11" s="706">
        <f t="shared" si="8"/>
        <v>14</v>
      </c>
      <c r="AS11" s="707">
        <f>IFERROR(IF(Z11+1&gt;LARGE(Z$7:Z$66,1)-2,1),0)+IFERROR(IF(AA11+1&gt;LARGE(AA$7:AA$66,1)-2,1),0)+IFERROR(IF(AB11+1&gt;LARGE(AB$7:AB$66,1)-2,1),0)+IFERROR(IF(AC11+1&gt;LARGE(AC$7:AC$66,1)-2,1),0)+IFERROR(IF(AD11+1&gt;LARGE(AD$7:AD$66,1)-2,1),0)+IFERROR(IF(AE11+1&gt;LARGE(AE$7:AE$66,1)-2,1),0)+IFERROR(IF(AF11+1&gt;LARGE(AF$7:AF$66,1)-2,1),0)+IFERROR(IF(AG11+1&gt;LARGE(AG$7:AG$66,1)-2,1),0)+IFERROR(IF(AH11+1&gt;LARGE(AH$7:AH$66,1)-2,1),0)+IFERROR(IF(AI11+1&gt;LARGE(AI$7:AI$66,1)-2,1),0)+IFERROR(IF(AJ11+1&gt;LARGE(AJ$7:AJ$66,1)-2,1),0)+IFERROR(IF(AK11+1&gt;LARGE(AK$7:AK$66,1)-2,1),0)+IFERROR(IF(AL11+1&gt;LARGE(AL$7:AL$66,1)-2,1),0)+IFERROR(IF(AM11+1&gt;LARGE(AM$7:AM$66,1)-2,1),0)+IFERROR(IF(AN11+1&gt;LARGE(AN$7:AN$66,1)-2,1),0)</f>
        <v>3</v>
      </c>
      <c r="AT11" s="707">
        <f>IF(Z11=0,0,IF(Z11=IFERROR(LARGE(Z$7:Z$66,1),0),1,0))+IF(AA11=0,0,IF(AA11=IFERROR(LARGE(AA$7:AA$66,1),0),1,0))+IF(AB11=0,0,IF(AB11=IFERROR(LARGE(AB$7:AB$66,1),0),1,0))+IF(AC11=0,0,IF(AC11=IFERROR(LARGE(AC$7:AC$66,1),0),1,0))+IF(AD11=0,0,IF(AD11=IFERROR(LARGE(AD$7:AD$66,1),0),1,0))+IF(AE11=0,0,IF(AE11=IFERROR(LARGE(AE$7:AE$66,1),0),1,0))+IF(AF11=0,0,IF(AF11=IFERROR(LARGE(AF$7:AF$66,1),0),1,0))+IF(AG11=0,0,IF(AG11=IFERROR(LARGE(AG$7:AG$66,1),0),1,0))+IF(AH11=0,0,IF(AH11=IFERROR(LARGE(AH$7:AH$66,1),0),1,0))+IF(AI11=0,0,IF(AI11=IFERROR(LARGE(AI$7:AI$66,1),0),1,0))+IF(AJ11=0,0,IF(AJ11=IFERROR(LARGE(AJ$7:AJ$66,1),0),1,0))+IF(AK11=0,0,IF(AK11=IFERROR(LARGE(AK$7:AK$66,1),0),1,0))+IF(AL11=0,0,IF(AL11=IFERROR(LARGE(AL$7:AL$66,1),0),1,0))+IF(AM11=0,0,IF(AM11=IFERROR(LARGE(AM$7:AM$66,1),0),1,0))+IF(AN11=0,0,IF(AN11=IFERROR(LARGE(AN$7:AN$66,1),0),1,0))</f>
        <v>0</v>
      </c>
      <c r="AU11" s="629"/>
      <c r="AV11" s="708">
        <f t="shared" si="11"/>
        <v>6.5004</v>
      </c>
      <c r="AW11" s="709">
        <f t="shared" si="9"/>
        <v>1E-4</v>
      </c>
      <c r="AX11" s="709">
        <f t="shared" si="9"/>
        <v>6.0002000000000004</v>
      </c>
      <c r="AY11" s="709">
        <f t="shared" si="9"/>
        <v>14.000299999999999</v>
      </c>
      <c r="AZ11" s="709">
        <f t="shared" si="9"/>
        <v>6.5004</v>
      </c>
      <c r="BA11" s="709">
        <f t="shared" si="9"/>
        <v>11.000500000000001</v>
      </c>
      <c r="BB11" s="709">
        <f t="shared" si="9"/>
        <v>13.0006</v>
      </c>
      <c r="BC11" s="709">
        <f t="shared" si="9"/>
        <v>9.5007000000000001</v>
      </c>
      <c r="BD11" s="709">
        <f t="shared" si="9"/>
        <v>10.5008</v>
      </c>
      <c r="BE11" s="709">
        <f t="shared" si="9"/>
        <v>11.5009</v>
      </c>
      <c r="BF11" s="709">
        <f t="shared" si="9"/>
        <v>12.000999999999999</v>
      </c>
      <c r="BG11" s="709">
        <f t="shared" si="9"/>
        <v>7.0011000000000001</v>
      </c>
      <c r="BH11" s="709">
        <f t="shared" si="9"/>
        <v>9.0012000000000008</v>
      </c>
      <c r="BI11" s="709">
        <f t="shared" si="9"/>
        <v>12.001300000000001</v>
      </c>
      <c r="BJ11" s="709">
        <f t="shared" si="9"/>
        <v>2.0013999999999998</v>
      </c>
      <c r="BK11" s="709">
        <f t="shared" si="9"/>
        <v>14.0015</v>
      </c>
      <c r="BL11" s="629"/>
    </row>
    <row r="12" spans="1:64" x14ac:dyDescent="0.2">
      <c r="A12" s="686">
        <f>IF(R12&gt;0,IF(Q12="v",RANK(B12,B$7:B$66,1)-COUNTBLANK(Q$7:Q$66),""),"")</f>
        <v>3</v>
      </c>
      <c r="B12" s="687">
        <f t="shared" si="0"/>
        <v>6</v>
      </c>
      <c r="C12" s="688" t="str">
        <f>IF(R12&gt;0,IF(P12="k",RANK(D12,D$7:D$66,1)-COUNTBLANK(P$7:P$66),""),"")</f>
        <v/>
      </c>
      <c r="D12" s="687">
        <f t="shared" si="1"/>
        <v>-994</v>
      </c>
      <c r="E12" s="689">
        <f>IF(R12&gt;0,IF(N12="m",RANK(F12,F$7:F$66,1)-COUNTBLANK(N$7:N$66),""),"")</f>
        <v>6</v>
      </c>
      <c r="F12" s="687">
        <f t="shared" si="2"/>
        <v>6</v>
      </c>
      <c r="G12" s="690" t="str">
        <f>IF(R12&gt;0,IF(M12="n",RANK(H12,H$7:H$66,1)-COUNTBLANK(M$7:M$66),""),"")</f>
        <v/>
      </c>
      <c r="H12" s="687">
        <f t="shared" si="3"/>
        <v>-994</v>
      </c>
      <c r="I12" s="691" t="str">
        <f>IF(R12&gt;0,IF(O12="j",RANK(J12,J$7:J$66,1)-COUNTBLANK(O$7:O$66),""),"")</f>
        <v/>
      </c>
      <c r="J12" s="692">
        <f t="shared" si="4"/>
        <v>-994</v>
      </c>
      <c r="K12" s="654">
        <f>IF(R12&gt;0,RANK(U12,U$7:U$66,1),"")</f>
        <v>6</v>
      </c>
      <c r="L12" s="711" t="s">
        <v>272</v>
      </c>
      <c r="M12" s="694"/>
      <c r="N12" s="695" t="str">
        <f t="shared" si="5"/>
        <v>m</v>
      </c>
      <c r="O12" s="696"/>
      <c r="P12" s="697"/>
      <c r="Q12" s="698" t="s">
        <v>269</v>
      </c>
      <c r="R12" s="699">
        <f>(IF(COUNT(Z12,AA12,AB12,AC12,AD12,AE12,AF12,AG12,AH12,AI12,AJ12,AK12,AL12,AM12,AN12)&lt;11,SUM(Z12,AA12,AB12,AC12,AD12,AE12,AF12,AG12,AH12,AI12,AJ12,AK12,AL12,AM12,AN12),SUM(LARGE((Z12,AA12,AB12,AC12,AD12,AE12,AF12,AG12,AH12,AI12,AJ12,AK12,AL12,AM12,AN12),{1;2;3;4;5;6;7;8;9;10;11}))))</f>
        <v>123</v>
      </c>
      <c r="S12" s="700" t="str">
        <f>INDEX(ETAPP!B$1:B$32,MATCH(COUNTIF(Z12:AN12,PVO!A$1),ETAPP!A$1:A$32,0))&amp;INDEX(ETAPP!B$1:B$32,MATCH(COUNTIF(Z12:AN12,PVO!A$2),ETAPP!A$1:A$32,0))&amp;INDEX(ETAPP!B$1:B$32,MATCH(COUNTIF(Z12:AN12,PVO!A$3),ETAPP!A$1:A$32,0))&amp;INDEX(ETAPP!B$1:B$32,MATCH(COUNTIF(Z12:AN12,PVO!A$4),ETAPP!A$1:A$32,0))&amp;INDEX(ETAPP!B$1:B$32,MATCH(COUNTIF(Z12:AN12,PVO!A$5),ETAPP!A$1:A$32,0))&amp;INDEX(ETAPP!B$1:B$32,MATCH(COUNTIF(Z12:AN12,PVO!A$6),ETAPP!A$1:A$32,0))&amp;INDEX(ETAPP!B$1:B$32,MATCH(COUNTIF(Z12:AN12,PVO!A$7),ETAPP!A$1:A$32,0))&amp;INDEX(ETAPP!B$1:B$32,MATCH(COUNTIF(Z12:AN12,PVO!A$8),ETAPP!A$1:A$32,0))&amp;INDEX(ETAPP!B$1:B$32,MATCH(COUNTIF(Z12:AN12,PVO!A$9),ETAPP!A$1:A$32,0))&amp;INDEX(ETAPP!B$1:B$32,MATCH(COUNTIF(Z12:AN12,PVO!A$10),ETAPP!A$1:A$32,0))&amp;INDEX(ETAPP!B$1:B$32,MATCH(COUNTIF(Z12:AN12,PVO!A$11),ETAPP!A$1:A$32,0))&amp;INDEX(ETAPP!B$1:B$32,MATCH(COUNTIF(Z12:AN12,PVO!A$12),ETAPP!A$1:A$32,0))&amp;INDEX(ETAPP!B$1:B$32,MATCH(COUNTIF(Z12:AN12,PVO!A$13),ETAPP!A$1:A$32,0))&amp;INDEX(ETAPP!B$1:B$32,MATCH(COUNTIF(Z12:AN12,PVO!A$14),ETAPP!A$1:A$32,0))&amp;INDEX(ETAPP!B$1:B$32,MATCH(COUNTIF(Z12:AN12,PVO!A$15),ETAPP!A$1:A$32,0))&amp;INDEX(ETAPP!B$1:B$32,MATCH(COUNTIF(Z12:AN12,PVO!A$16),ETAPP!A$1:A$32,0))&amp;INDEX(ETAPP!B$1:B$32,MATCH(COUNTIF(Z12:AN12,PVO!A$17),ETAPP!A$1:A$32,0))&amp;INDEX(ETAPP!B$1:B$32,MATCH(COUNTIF(Z12:AN12,PVO!A$18),ETAPP!A$1:A$32,0))&amp;INDEX(ETAPP!B$1:B$32,MATCH(COUNTIF(Z12:AN12,PVO!A$19),ETAPP!A$1:A$32,0))</f>
        <v>000BBA0CCBA0A000000</v>
      </c>
      <c r="T12" s="700" t="str">
        <f t="shared" si="6"/>
        <v>123,0-000BBA0CCBA0A000000</v>
      </c>
      <c r="U12" s="700">
        <f>COUNTIF(T$7:T$66,"&gt;="&amp;T12)</f>
        <v>6</v>
      </c>
      <c r="V12" s="700">
        <f>COUNTIF(L$7:L$66,"&gt;="&amp;L12)</f>
        <v>9</v>
      </c>
      <c r="W12" s="700" t="str">
        <f t="shared" si="7"/>
        <v>123,0-000BBA0CCBA0A000000-009</v>
      </c>
      <c r="X12" s="700">
        <f>COUNTIF(W$7:W$66,"&gt;="&amp;W12)</f>
        <v>6</v>
      </c>
      <c r="Y12" s="701">
        <f>RANK(X12,X$7:X$66,0)</f>
        <v>55</v>
      </c>
      <c r="Z12" s="702">
        <f>IFERROR(INDEX('V1'!C$300:C$400,MATCH("*"&amp;L12&amp;"*",'V1'!B$300:B$400,0)),"  ")</f>
        <v>13</v>
      </c>
      <c r="AA12" s="702">
        <f>IFERROR(INDEX('V2'!C$300:C$400,MATCH("*"&amp;L12&amp;"*",'V2'!B$300:B$400,0)),"  ")</f>
        <v>5</v>
      </c>
      <c r="AB12" s="702">
        <f>IFERROR(INDEX('V3'!C$300:C$400,MATCH("*"&amp;L12&amp;"*",'V3'!B$300:B$400,0)),"  ")</f>
        <v>9</v>
      </c>
      <c r="AC12" s="702">
        <f>IFERROR(INDEX('V4'!C$300:C$400,MATCH("*"&amp;L12&amp;"*",'V4'!B$300:B$400,0)),"  ")</f>
        <v>8</v>
      </c>
      <c r="AD12" s="702">
        <f>IFERROR(INDEX('V5'!C$300:C$400,MATCH("*"&amp;L12&amp;"*",'V5'!B$300:B$400,0)),"  ")</f>
        <v>9</v>
      </c>
      <c r="AE12" s="702">
        <f>IFERROR(INDEX('V6'!C$300:C$400,MATCH("*"&amp;L12&amp;"*",'V6'!B$300:B$400,0)),"  ")</f>
        <v>10</v>
      </c>
      <c r="AF12" s="702">
        <f>IFERROR(INDEX('V7'!C$300:C$400,MATCH("*"&amp;L12&amp;"*",'V7'!B$300:B$400,0)),"  ")</f>
        <v>12</v>
      </c>
      <c r="AG12" s="702">
        <f>IFERROR(INDEX('V8'!C$300:C$400,MATCH("*"&amp;L12&amp;"*",'V8'!B$300:B$400,0)),"  ")</f>
        <v>13</v>
      </c>
      <c r="AH12" s="702">
        <f>IFERROR(INDEX('V9'!C$300:C$400,MATCH("*"&amp;L12&amp;"*",'V9'!B$300:B$400,0)),"  ")</f>
        <v>10</v>
      </c>
      <c r="AI12" s="702">
        <f>IFERROR(INDEX('V10'!C$300:C$400,MATCH("*"&amp;L12&amp;"*",'V10'!B$300:B$400,0)),"  ")</f>
        <v>10</v>
      </c>
      <c r="AJ12" s="702">
        <f>IFERROR(INDEX('V11'!C$300:C$400,MATCH("*"&amp;L12&amp;"*",'V11'!B$300:B$400,0)),"  ")</f>
        <v>14</v>
      </c>
      <c r="AK12" s="702">
        <f>IFERROR(INDEX('V12'!C$300:C$400,MATCH("*"&amp;L12&amp;"*",'V12'!B$300:B$400,0)),"  ")</f>
        <v>7</v>
      </c>
      <c r="AL12" s="702">
        <f>IFERROR(INDEX('V13'!C$300:C$400,MATCH("*"&amp;L12&amp;"*",'V13'!B$300:B$400,0)),"  ")</f>
        <v>9</v>
      </c>
      <c r="AM12" s="702">
        <f>IFERROR(INDEX('V14'!C$300:C$400,MATCH("*"&amp;L12&amp;"*",'V14'!B$300:B$400,0)),"  ")</f>
        <v>14</v>
      </c>
      <c r="AN12" s="702">
        <f>IFERROR(INDEX('V15'!C$300:C$400,MATCH("*"&amp;L12&amp;"*",'V15'!B$300:B$400,0)),"  ")</f>
        <v>8</v>
      </c>
      <c r="AO12" s="703">
        <f t="shared" si="10"/>
        <v>6</v>
      </c>
      <c r="AP12" s="704" t="str">
        <f>IFERROR("edasi "&amp;RANK(AO12,AO$7:AO$66,1),K12)</f>
        <v>edasi 6</v>
      </c>
      <c r="AQ12" s="705">
        <f>IFERROR(INDEX('V-fin'!A$300:A$401,MATCH("*"&amp;L12&amp;"*",'V-fin'!B$300:B$401,0)),"  ")</f>
        <v>4</v>
      </c>
      <c r="AR12" s="706">
        <f t="shared" si="8"/>
        <v>15</v>
      </c>
      <c r="AS12" s="707">
        <f>IFERROR(IF(Z12+1&gt;LARGE(Z$7:Z$66,1)-2,1),0)+IFERROR(IF(AA12+1&gt;LARGE(AA$7:AA$66,1)-2,1),0)+IFERROR(IF(AB12+1&gt;LARGE(AB$7:AB$66,1)-2,1),0)+IFERROR(IF(AC12+1&gt;LARGE(AC$7:AC$66,1)-2,1),0)+IFERROR(IF(AD12+1&gt;LARGE(AD$7:AD$66,1)-2,1),0)+IFERROR(IF(AE12+1&gt;LARGE(AE$7:AE$66,1)-2,1),0)+IFERROR(IF(AF12+1&gt;LARGE(AF$7:AF$66,1)-2,1),0)+IFERROR(IF(AG12+1&gt;LARGE(AG$7:AG$66,1)-2,1),0)+IFERROR(IF(AH12+1&gt;LARGE(AH$7:AH$66,1)-2,1),0)+IFERROR(IF(AI12+1&gt;LARGE(AI$7:AI$66,1)-2,1),0)+IFERROR(IF(AJ12+1&gt;LARGE(AJ$7:AJ$66,1)-2,1),0)+IFERROR(IF(AK12+1&gt;LARGE(AK$7:AK$66,1)-2,1),0)+IFERROR(IF(AL12+1&gt;LARGE(AL$7:AL$66,1)-2,1),0)+IFERROR(IF(AM12+1&gt;LARGE(AM$7:AM$66,1)-2,1),0)+IFERROR(IF(AN12+1&gt;LARGE(AN$7:AN$66,1)-2,1),0)</f>
        <v>4</v>
      </c>
      <c r="AT12" s="707">
        <f>IF(Z12=0,0,IF(Z12=IFERROR(LARGE(Z$7:Z$66,1),0),1,0))+IF(AA12=0,0,IF(AA12=IFERROR(LARGE(AA$7:AA$66,1),0),1,0))+IF(AB12=0,0,IF(AB12=IFERROR(LARGE(AB$7:AB$66,1),0),1,0))+IF(AC12=0,0,IF(AC12=IFERROR(LARGE(AC$7:AC$66,1),0),1,0))+IF(AD12=0,0,IF(AD12=IFERROR(LARGE(AD$7:AD$66,1),0),1,0))+IF(AE12=0,0,IF(AE12=IFERROR(LARGE(AE$7:AE$66,1),0),1,0))+IF(AF12=0,0,IF(AF12=IFERROR(LARGE(AF$7:AF$66,1),0),1,0))+IF(AG12=0,0,IF(AG12=IFERROR(LARGE(AG$7:AG$66,1),0),1,0))+IF(AH12=0,0,IF(AH12=IFERROR(LARGE(AH$7:AH$66,1),0),1,0))+IF(AI12=0,0,IF(AI12=IFERROR(LARGE(AI$7:AI$66,1),0),1,0))+IF(AJ12=0,0,IF(AJ12=IFERROR(LARGE(AJ$7:AJ$66,1),0),1,0))+IF(AK12=0,0,IF(AK12=IFERROR(LARGE(AK$7:AK$66,1),0),1,0))+IF(AL12=0,0,IF(AL12=IFERROR(LARGE(AL$7:AL$66,1),0),1,0))+IF(AM12=0,0,IF(AM12=IFERROR(LARGE(AM$7:AM$66,1),0),1,0))+IF(AN12=0,0,IF(AN12=IFERROR(LARGE(AN$7:AN$66,1),0),1,0))</f>
        <v>0</v>
      </c>
      <c r="AU12" s="629"/>
      <c r="AV12" s="708">
        <f t="shared" si="11"/>
        <v>8.0015000000000001</v>
      </c>
      <c r="AW12" s="709">
        <f t="shared" si="9"/>
        <v>13.0001</v>
      </c>
      <c r="AX12" s="709">
        <f t="shared" si="9"/>
        <v>5.0002000000000004</v>
      </c>
      <c r="AY12" s="709">
        <f t="shared" si="9"/>
        <v>9.0002999999999993</v>
      </c>
      <c r="AZ12" s="709">
        <f t="shared" si="9"/>
        <v>8.0004000000000008</v>
      </c>
      <c r="BA12" s="709">
        <f t="shared" si="9"/>
        <v>9.0005000000000006</v>
      </c>
      <c r="BB12" s="709">
        <f t="shared" si="9"/>
        <v>10.0006</v>
      </c>
      <c r="BC12" s="709">
        <f t="shared" si="9"/>
        <v>12.0007</v>
      </c>
      <c r="BD12" s="709">
        <f t="shared" si="9"/>
        <v>13.0008</v>
      </c>
      <c r="BE12" s="709">
        <f t="shared" si="9"/>
        <v>10.0009</v>
      </c>
      <c r="BF12" s="709">
        <f t="shared" si="9"/>
        <v>10.000999999999999</v>
      </c>
      <c r="BG12" s="709">
        <f t="shared" si="9"/>
        <v>14.001099999999999</v>
      </c>
      <c r="BH12" s="709">
        <f t="shared" si="9"/>
        <v>7.0011999999999999</v>
      </c>
      <c r="BI12" s="709">
        <f t="shared" si="9"/>
        <v>9.0013000000000005</v>
      </c>
      <c r="BJ12" s="709">
        <f t="shared" si="9"/>
        <v>14.0014</v>
      </c>
      <c r="BK12" s="709">
        <f t="shared" si="9"/>
        <v>8.0015000000000001</v>
      </c>
      <c r="BL12" s="629"/>
    </row>
    <row r="13" spans="1:64" x14ac:dyDescent="0.2">
      <c r="A13" s="686" t="str">
        <f>IF(R13&gt;0,IF(Q13="v",RANK(B13,B$7:B$66,1)-COUNTBLANK(Q$7:Q$66),""),"")</f>
        <v/>
      </c>
      <c r="B13" s="687">
        <f t="shared" si="0"/>
        <v>-993</v>
      </c>
      <c r="C13" s="688" t="str">
        <f>IF(R13&gt;0,IF(P13="k",RANK(D13,D$7:D$66,1)-COUNTBLANK(P$7:P$66),""),"")</f>
        <v/>
      </c>
      <c r="D13" s="687">
        <f t="shared" si="1"/>
        <v>-993</v>
      </c>
      <c r="E13" s="689">
        <f>IF(R13&gt;0,IF(N13="m",RANK(F13,F$7:F$66,1)-COUNTBLANK(N$7:N$66),""),"")</f>
        <v>7</v>
      </c>
      <c r="F13" s="687">
        <f t="shared" si="2"/>
        <v>7</v>
      </c>
      <c r="G13" s="690" t="str">
        <f>IF(R13&gt;0,IF(M13="n",RANK(H13,H$7:H$66,1)-COUNTBLANK(M$7:M$66),""),"")</f>
        <v/>
      </c>
      <c r="H13" s="687">
        <f t="shared" si="3"/>
        <v>-993</v>
      </c>
      <c r="I13" s="691" t="str">
        <f>IF(R13&gt;0,IF(O13="j",RANK(J13,J$7:J$66,1)-COUNTBLANK(O$7:O$66),""),"")</f>
        <v/>
      </c>
      <c r="J13" s="692">
        <f t="shared" si="4"/>
        <v>-993</v>
      </c>
      <c r="K13" s="654">
        <f>IF(R13&gt;0,RANK(U13,U$7:U$66,1),"")</f>
        <v>7</v>
      </c>
      <c r="L13" s="693" t="s">
        <v>65</v>
      </c>
      <c r="M13" s="694"/>
      <c r="N13" s="695" t="s">
        <v>273</v>
      </c>
      <c r="O13" s="696"/>
      <c r="P13" s="697"/>
      <c r="Q13" s="698"/>
      <c r="R13" s="699">
        <f>(IF(COUNT(Z13,AA13,AB13,AC13,AD13,AE13,AF13,AG13,AH13,AI13,AJ13,AK13,AL13,AM13,AN13)&lt;11,SUM(Z13,AA13,AB13,AC13,AD13,AE13,AF13,AG13,AH13,AI13,AJ13,AK13,AL13,AM13,AN13),SUM(LARGE((Z13,AA13,AB13,AC13,AD13,AE13,AF13,AG13,AH13,AI13,AJ13,AK13,AL13,AM13,AN13),{1;2;3;4;5;6;7;8;9;10;11}))))</f>
        <v>120</v>
      </c>
      <c r="S13" s="700" t="str">
        <f>INDEX(ETAPP!B$1:B$32,MATCH(COUNTIF(Z13:AN13,PVO!A$1),ETAPP!A$1:A$32,0))&amp;INDEX(ETAPP!B$1:B$32,MATCH(COUNTIF(Z13:AN13,PVO!A$2),ETAPP!A$1:A$32,0))&amp;INDEX(ETAPP!B$1:B$32,MATCH(COUNTIF(Z13:AN13,PVO!A$3),ETAPP!A$1:A$32,0))&amp;INDEX(ETAPP!B$1:B$32,MATCH(COUNTIF(Z13:AN13,PVO!A$4),ETAPP!A$1:A$32,0))&amp;INDEX(ETAPP!B$1:B$32,MATCH(COUNTIF(Z13:AN13,PVO!A$5),ETAPP!A$1:A$32,0))&amp;INDEX(ETAPP!B$1:B$32,MATCH(COUNTIF(Z13:AN13,PVO!A$6),ETAPP!A$1:A$32,0))&amp;INDEX(ETAPP!B$1:B$32,MATCH(COUNTIF(Z13:AN13,PVO!A$7),ETAPP!A$1:A$32,0))&amp;INDEX(ETAPP!B$1:B$32,MATCH(COUNTIF(Z13:AN13,PVO!A$8),ETAPP!A$1:A$32,0))&amp;INDEX(ETAPP!B$1:B$32,MATCH(COUNTIF(Z13:AN13,PVO!A$9),ETAPP!A$1:A$32,0))&amp;INDEX(ETAPP!B$1:B$32,MATCH(COUNTIF(Z13:AN13,PVO!A$10),ETAPP!A$1:A$32,0))&amp;INDEX(ETAPP!B$1:B$32,MATCH(COUNTIF(Z13:AN13,PVO!A$11),ETAPP!A$1:A$32,0))&amp;INDEX(ETAPP!B$1:B$32,MATCH(COUNTIF(Z13:AN13,PVO!A$12),ETAPP!A$1:A$32,0))&amp;INDEX(ETAPP!B$1:B$32,MATCH(COUNTIF(Z13:AN13,PVO!A$13),ETAPP!A$1:A$32,0))&amp;INDEX(ETAPP!B$1:B$32,MATCH(COUNTIF(Z13:AN13,PVO!A$14),ETAPP!A$1:A$32,0))&amp;INDEX(ETAPP!B$1:B$32,MATCH(COUNTIF(Z13:AN13,PVO!A$15),ETAPP!A$1:A$32,0))&amp;INDEX(ETAPP!B$1:B$32,MATCH(COUNTIF(Z13:AN13,PVO!A$16),ETAPP!A$1:A$32,0))&amp;INDEX(ETAPP!B$1:B$32,MATCH(COUNTIF(Z13:AN13,PVO!A$17),ETAPP!A$1:A$32,0))&amp;INDEX(ETAPP!B$1:B$32,MATCH(COUNTIF(Z13:AN13,PVO!A$18),ETAPP!A$1:A$32,0))&amp;INDEX(ETAPP!B$1:B$32,MATCH(COUNTIF(Z13:AN13,PVO!A$19),ETAPP!A$1:A$32,0))</f>
        <v>00D0C0AA0000000000F</v>
      </c>
      <c r="T13" s="700" t="str">
        <f t="shared" si="6"/>
        <v>120,0-00D0C0AA0000000000F</v>
      </c>
      <c r="U13" s="700">
        <f>COUNTIF(T$7:T$66,"&gt;="&amp;T13)</f>
        <v>7</v>
      </c>
      <c r="V13" s="700">
        <f>COUNTIF(L$7:L$66,"&gt;="&amp;L13)</f>
        <v>45</v>
      </c>
      <c r="W13" s="700" t="str">
        <f t="shared" si="7"/>
        <v>120,0-00D0C0AA0000000000F-045</v>
      </c>
      <c r="X13" s="700">
        <f>COUNTIF(W$7:W$66,"&gt;="&amp;W13)</f>
        <v>7</v>
      </c>
      <c r="Y13" s="701">
        <f>RANK(X13,X$7:X$66,0)</f>
        <v>54</v>
      </c>
      <c r="Z13" s="702" t="str">
        <f>IFERROR(INDEX('V1'!C$300:C$400,MATCH("*"&amp;L13&amp;"*",'V1'!B$300:B$400,0)),"  ")</f>
        <v xml:space="preserve">  </v>
      </c>
      <c r="AA13" s="702">
        <f>IFERROR(INDEX('V2'!C$300:C$400,MATCH("*"&amp;L13&amp;"*",'V2'!B$300:B$400,0)),"  ")</f>
        <v>15</v>
      </c>
      <c r="AB13" s="702">
        <f>IFERROR(INDEX('V3'!C$300:C$400,MATCH("*"&amp;L13&amp;"*",'V3'!B$300:B$400,0)),"  ")</f>
        <v>10</v>
      </c>
      <c r="AC13" s="702" t="str">
        <f>IFERROR(INDEX('V4'!C$300:C$400,MATCH("*"&amp;L13&amp;"*",'V4'!B$300:B$400,0)),"  ")</f>
        <v xml:space="preserve">  </v>
      </c>
      <c r="AD13" s="702">
        <f>IFERROR(INDEX('V5'!C$300:C$400,MATCH("*"&amp;L13&amp;"*",'V5'!B$300:B$400,0)),"  ")</f>
        <v>13</v>
      </c>
      <c r="AE13" s="702" t="str">
        <f>IFERROR(INDEX('V6'!C$300:C$400,MATCH("*"&amp;L13&amp;"*",'V6'!B$300:B$400,0)),"  ")</f>
        <v xml:space="preserve">  </v>
      </c>
      <c r="AF13" s="702">
        <f>IFERROR(INDEX('V7'!C$300:C$400,MATCH("*"&amp;L13&amp;"*",'V7'!B$300:B$400,0)),"  ")</f>
        <v>15</v>
      </c>
      <c r="AG13" s="702">
        <f>IFERROR(INDEX('V8'!C$300:C$400,MATCH("*"&amp;L13&amp;"*",'V8'!B$300:B$400,0)),"  ")</f>
        <v>15</v>
      </c>
      <c r="AH13" s="702" t="str">
        <f>IFERROR(INDEX('V9'!C$300:C$400,MATCH("*"&amp;L13&amp;"*",'V9'!B$300:B$400,0)),"  ")</f>
        <v xml:space="preserve">  </v>
      </c>
      <c r="AI13" s="702">
        <f>IFERROR(INDEX('V10'!C$300:C$400,MATCH("*"&amp;L13&amp;"*",'V10'!B$300:B$400,0)),"  ")</f>
        <v>13</v>
      </c>
      <c r="AJ13" s="702" t="str">
        <f>IFERROR(INDEX('V11'!C$300:C$400,MATCH("*"&amp;L13&amp;"*",'V11'!B$300:B$400,0)),"  ")</f>
        <v xml:space="preserve">  </v>
      </c>
      <c r="AK13" s="702">
        <f>IFERROR(INDEX('V12'!C$300:C$400,MATCH("*"&amp;L13&amp;"*",'V12'!B$300:B$400,0)),"  ")</f>
        <v>15</v>
      </c>
      <c r="AL13" s="702" t="str">
        <f>IFERROR(INDEX('V13'!C$300:C$400,MATCH("*"&amp;L13&amp;"*",'V13'!B$300:B$400,0)),"  ")</f>
        <v xml:space="preserve">  </v>
      </c>
      <c r="AM13" s="702">
        <f>IFERROR(INDEX('V14'!C$300:C$400,MATCH("*"&amp;L13&amp;"*",'V14'!B$300:B$400,0)),"  ")</f>
        <v>13</v>
      </c>
      <c r="AN13" s="702">
        <f>IFERROR(INDEX('V15'!C$300:C$400,MATCH("*"&amp;L13&amp;"*",'V15'!B$300:B$400,0)),"  ")</f>
        <v>11</v>
      </c>
      <c r="AO13" s="703">
        <f t="shared" si="10"/>
        <v>7</v>
      </c>
      <c r="AP13" s="704" t="str">
        <f>IFERROR("edasi "&amp;RANK(AO13,AO$7:AO$66,1),K13)</f>
        <v>edasi 7</v>
      </c>
      <c r="AQ13" s="705" t="str">
        <f>IFERROR(INDEX('V-fin'!A$300:A$401,MATCH("*"&amp;L13&amp;"*",'V-fin'!B$300:B$401,0)),"  ")</f>
        <v xml:space="preserve">  </v>
      </c>
      <c r="AR13" s="706">
        <f t="shared" si="8"/>
        <v>9</v>
      </c>
      <c r="AS13" s="707">
        <f>IFERROR(IF(Z13+1&gt;LARGE(Z$7:Z$66,1)-2,1),0)+IFERROR(IF(AA13+1&gt;LARGE(AA$7:AA$66,1)-2,1),0)+IFERROR(IF(AB13+1&gt;LARGE(AB$7:AB$66,1)-2,1),0)+IFERROR(IF(AC13+1&gt;LARGE(AC$7:AC$66,1)-2,1),0)+IFERROR(IF(AD13+1&gt;LARGE(AD$7:AD$66,1)-2,1),0)+IFERROR(IF(AE13+1&gt;LARGE(AE$7:AE$66,1)-2,1),0)+IFERROR(IF(AF13+1&gt;LARGE(AF$7:AF$66,1)-2,1),0)+IFERROR(IF(AG13+1&gt;LARGE(AG$7:AG$66,1)-2,1),0)+IFERROR(IF(AH13+1&gt;LARGE(AH$7:AH$66,1)-2,1),0)+IFERROR(IF(AI13+1&gt;LARGE(AI$7:AI$66,1)-2,1),0)+IFERROR(IF(AJ13+1&gt;LARGE(AJ$7:AJ$66,1)-2,1),0)+IFERROR(IF(AK13+1&gt;LARGE(AK$7:AK$66,1)-2,1),0)+IFERROR(IF(AL13+1&gt;LARGE(AL$7:AL$66,1)-2,1),0)+IFERROR(IF(AM13+1&gt;LARGE(AM$7:AM$66,1)-2,1),0)+IFERROR(IF(AN13+1&gt;LARGE(AN$7:AN$66,1)-2,1),0)</f>
        <v>7</v>
      </c>
      <c r="AT13" s="707">
        <f>IF(Z13=0,0,IF(Z13=IFERROR(LARGE(Z$7:Z$66,1),0),1,0))+IF(AA13=0,0,IF(AA13=IFERROR(LARGE(AA$7:AA$66,1),0),1,0))+IF(AB13=0,0,IF(AB13=IFERROR(LARGE(AB$7:AB$66,1),0),1,0))+IF(AC13=0,0,IF(AC13=IFERROR(LARGE(AC$7:AC$66,1),0),1,0))+IF(AD13=0,0,IF(AD13=IFERROR(LARGE(AD$7:AD$66,1),0),1,0))+IF(AE13=0,0,IF(AE13=IFERROR(LARGE(AE$7:AE$66,1),0),1,0))+IF(AF13=0,0,IF(AF13=IFERROR(LARGE(AF$7:AF$66,1),0),1,0))+IF(AG13=0,0,IF(AG13=IFERROR(LARGE(AG$7:AG$66,1),0),1,0))+IF(AH13=0,0,IF(AH13=IFERROR(LARGE(AH$7:AH$66,1),0),1,0))+IF(AI13=0,0,IF(AI13=IFERROR(LARGE(AI$7:AI$66,1),0),1,0))+IF(AJ13=0,0,IF(AJ13=IFERROR(LARGE(AJ$7:AJ$66,1),0),1,0))+IF(AK13=0,0,IF(AK13=IFERROR(LARGE(AK$7:AK$66,1),0),1,0))+IF(AL13=0,0,IF(AL13=IFERROR(LARGE(AL$7:AL$66,1),0),1,0))+IF(AM13=0,0,IF(AM13=IFERROR(LARGE(AM$7:AM$66,1),0),1,0))+IF(AN13=0,0,IF(AN13=IFERROR(LARGE(AN$7:AN$66,1),0),1,0))</f>
        <v>4</v>
      </c>
      <c r="AU13" s="629"/>
      <c r="AV13" s="708">
        <f t="shared" si="11"/>
        <v>8.9999999999999998E-4</v>
      </c>
      <c r="AW13" s="709">
        <f t="shared" si="9"/>
        <v>1E-4</v>
      </c>
      <c r="AX13" s="709">
        <f t="shared" si="9"/>
        <v>15.0002</v>
      </c>
      <c r="AY13" s="709">
        <f t="shared" si="9"/>
        <v>10.000299999999999</v>
      </c>
      <c r="AZ13" s="709">
        <f t="shared" si="9"/>
        <v>4.0000000000000002E-4</v>
      </c>
      <c r="BA13" s="709">
        <f t="shared" si="9"/>
        <v>13.000500000000001</v>
      </c>
      <c r="BB13" s="709">
        <f t="shared" si="9"/>
        <v>5.9999999999999995E-4</v>
      </c>
      <c r="BC13" s="709">
        <f t="shared" si="9"/>
        <v>15.0007</v>
      </c>
      <c r="BD13" s="709">
        <f t="shared" si="9"/>
        <v>15.0008</v>
      </c>
      <c r="BE13" s="709">
        <f t="shared" si="9"/>
        <v>8.9999999999999998E-4</v>
      </c>
      <c r="BF13" s="709">
        <f t="shared" si="9"/>
        <v>13.000999999999999</v>
      </c>
      <c r="BG13" s="709">
        <f t="shared" si="9"/>
        <v>1.1000000000000001E-3</v>
      </c>
      <c r="BH13" s="709">
        <f t="shared" si="9"/>
        <v>15.001200000000001</v>
      </c>
      <c r="BI13" s="709">
        <f t="shared" si="9"/>
        <v>1.2999999999999999E-3</v>
      </c>
      <c r="BJ13" s="709">
        <f t="shared" si="9"/>
        <v>13.0014</v>
      </c>
      <c r="BK13" s="709">
        <f t="shared" si="9"/>
        <v>11.0015</v>
      </c>
      <c r="BL13" s="629"/>
    </row>
    <row r="14" spans="1:64" x14ac:dyDescent="0.2">
      <c r="A14" s="686">
        <f>IF(R14&gt;0,IF(Q14="v",RANK(B14,B$7:B$66,1)-COUNTBLANK(Q$7:Q$66),""),"")</f>
        <v>4</v>
      </c>
      <c r="B14" s="687">
        <f t="shared" si="0"/>
        <v>8</v>
      </c>
      <c r="C14" s="688" t="str">
        <f>IF(R14&gt;0,IF(P14="k",RANK(D14,D$7:D$66,1)-COUNTBLANK(P$7:P$66),""),"")</f>
        <v/>
      </c>
      <c r="D14" s="687">
        <f t="shared" si="1"/>
        <v>-992</v>
      </c>
      <c r="E14" s="689">
        <f>IF(R14&gt;0,IF(N14="m",RANK(F14,F$7:F$66,1)-COUNTBLANK(N$7:N$66),""),"")</f>
        <v>8</v>
      </c>
      <c r="F14" s="687">
        <f t="shared" si="2"/>
        <v>8</v>
      </c>
      <c r="G14" s="690" t="str">
        <f>IF(R14&gt;0,IF(M14="n",RANK(H14,H$7:H$66,1)-COUNTBLANK(M$7:M$66),""),"")</f>
        <v/>
      </c>
      <c r="H14" s="687">
        <f t="shared" si="3"/>
        <v>-992</v>
      </c>
      <c r="I14" s="691" t="str">
        <f>IF(R14&gt;0,IF(O14="j",RANK(J14,J$7:J$66,1)-COUNTBLANK(O$7:O$66),""),"")</f>
        <v/>
      </c>
      <c r="J14" s="692">
        <f t="shared" si="4"/>
        <v>-992</v>
      </c>
      <c r="K14" s="654">
        <f>IF(R14&gt;0,RANK(U14,U$7:U$66,1),"")</f>
        <v>8</v>
      </c>
      <c r="L14" s="711" t="s">
        <v>274</v>
      </c>
      <c r="M14" s="694"/>
      <c r="N14" s="695" t="str">
        <f t="shared" ref="N14:N26" si="12">IF(M14="","m","")</f>
        <v>m</v>
      </c>
      <c r="O14" s="696"/>
      <c r="P14" s="697"/>
      <c r="Q14" s="698" t="s">
        <v>269</v>
      </c>
      <c r="R14" s="699">
        <f>(IF(COUNT(Z14,AA14,AB14,AC14,AD14,AE14,AF14,AG14,AH14,AI14,AJ14,AK14,AL14,AM14,AN14)&lt;11,SUM(Z14,AA14,AB14,AC14,AD14,AE14,AF14,AG14,AH14,AI14,AJ14,AK14,AL14,AM14,AN14),SUM(LARGE((Z14,AA14,AB14,AC14,AD14,AE14,AF14,AG14,AH14,AI14,AJ14,AK14,AL14,AM14,AN14),{1;2;3;4;5;6;7;8;9;10;11}))))</f>
        <v>117</v>
      </c>
      <c r="S14" s="700" t="str">
        <f>INDEX(ETAPP!B$1:B$32,MATCH(COUNTIF(Z14:AN14,PVO!A$1),ETAPP!A$1:A$32,0))&amp;INDEX(ETAPP!B$1:B$32,MATCH(COUNTIF(Z14:AN14,PVO!A$2),ETAPP!A$1:A$32,0))&amp;INDEX(ETAPP!B$1:B$32,MATCH(COUNTIF(Z14:AN14,PVO!A$3),ETAPP!A$1:A$32,0))&amp;INDEX(ETAPP!B$1:B$32,MATCH(COUNTIF(Z14:AN14,PVO!A$4),ETAPP!A$1:A$32,0))&amp;INDEX(ETAPP!B$1:B$32,MATCH(COUNTIF(Z14:AN14,PVO!A$5),ETAPP!A$1:A$32,0))&amp;INDEX(ETAPP!B$1:B$32,MATCH(COUNTIF(Z14:AN14,PVO!A$6),ETAPP!A$1:A$32,0))&amp;INDEX(ETAPP!B$1:B$32,MATCH(COUNTIF(Z14:AN14,PVO!A$7),ETAPP!A$1:A$32,0))&amp;INDEX(ETAPP!B$1:B$32,MATCH(COUNTIF(Z14:AN14,PVO!A$8),ETAPP!A$1:A$32,0))&amp;INDEX(ETAPP!B$1:B$32,MATCH(COUNTIF(Z14:AN14,PVO!A$9),ETAPP!A$1:A$32,0))&amp;INDEX(ETAPP!B$1:B$32,MATCH(COUNTIF(Z14:AN14,PVO!A$10),ETAPP!A$1:A$32,0))&amp;INDEX(ETAPP!B$1:B$32,MATCH(COUNTIF(Z14:AN14,PVO!A$11),ETAPP!A$1:A$32,0))&amp;INDEX(ETAPP!B$1:B$32,MATCH(COUNTIF(Z14:AN14,PVO!A$12),ETAPP!A$1:A$32,0))&amp;INDEX(ETAPP!B$1:B$32,MATCH(COUNTIF(Z14:AN14,PVO!A$13),ETAPP!A$1:A$32,0))&amp;INDEX(ETAPP!B$1:B$32,MATCH(COUNTIF(Z14:AN14,PVO!A$14),ETAPP!A$1:A$32,0))&amp;INDEX(ETAPP!B$1:B$32,MATCH(COUNTIF(Z14:AN14,PVO!A$15),ETAPP!A$1:A$32,0))&amp;INDEX(ETAPP!B$1:B$32,MATCH(COUNTIF(Z14:AN14,PVO!A$16),ETAPP!A$1:A$32,0))&amp;INDEX(ETAPP!B$1:B$32,MATCH(COUNTIF(Z14:AN14,PVO!A$17),ETAPP!A$1:A$32,0))&amp;INDEX(ETAPP!B$1:B$32,MATCH(COUNTIF(Z14:AN14,PVO!A$18),ETAPP!A$1:A$32,0))&amp;INDEX(ETAPP!B$1:B$32,MATCH(COUNTIF(Z14:AN14,PVO!A$19),ETAPP!A$1:A$32,0))</f>
        <v>000ABA0CCBA0A00000A</v>
      </c>
      <c r="T14" s="700" t="str">
        <f t="shared" si="6"/>
        <v>117,0-000ABA0CCBA0A00000A</v>
      </c>
      <c r="U14" s="700">
        <f>COUNTIF(T$7:T$66,"&gt;="&amp;T14)</f>
        <v>8</v>
      </c>
      <c r="V14" s="700">
        <f>COUNTIF(L$7:L$66,"&gt;="&amp;L14)</f>
        <v>52</v>
      </c>
      <c r="W14" s="700" t="str">
        <f t="shared" si="7"/>
        <v>117,0-000ABA0CCBA0A00000A-052</v>
      </c>
      <c r="X14" s="700">
        <f>COUNTIF(W$7:W$66,"&gt;="&amp;W14)</f>
        <v>8</v>
      </c>
      <c r="Y14" s="701">
        <f>RANK(X14,X$7:X$66,0)</f>
        <v>53</v>
      </c>
      <c r="Z14" s="702">
        <f>IFERROR(INDEX('V1'!C$300:C$400,MATCH("*"&amp;L14&amp;"*",'V1'!B$300:B$400,0)),"  ")</f>
        <v>13</v>
      </c>
      <c r="AA14" s="702">
        <f>IFERROR(INDEX('V2'!C$300:C$400,MATCH("*"&amp;L14&amp;"*",'V2'!B$300:B$400,0)),"  ")</f>
        <v>5</v>
      </c>
      <c r="AB14" s="702">
        <f>IFERROR(INDEX('V3'!C$300:C$400,MATCH("*"&amp;L14&amp;"*",'V3'!B$300:B$400,0)),"  ")</f>
        <v>9</v>
      </c>
      <c r="AC14" s="702">
        <f>IFERROR(INDEX('V4'!C$300:C$400,MATCH("*"&amp;L14&amp;"*",'V4'!B$300:B$400,0)),"  ")</f>
        <v>8</v>
      </c>
      <c r="AD14" s="702">
        <f>IFERROR(INDEX('V5'!C$300:C$400,MATCH("*"&amp;L14&amp;"*",'V5'!B$300:B$400,0)),"  ")</f>
        <v>9</v>
      </c>
      <c r="AE14" s="702">
        <f>IFERROR(INDEX('V6'!C$300:C$400,MATCH("*"&amp;L14&amp;"*",'V6'!B$300:B$400,0)),"  ")</f>
        <v>10</v>
      </c>
      <c r="AF14" s="702">
        <f>IFERROR(INDEX('V7'!C$300:C$400,MATCH("*"&amp;L14&amp;"*",'V7'!B$300:B$400,0)),"  ")</f>
        <v>12</v>
      </c>
      <c r="AG14" s="702">
        <f>IFERROR(INDEX('V8'!C$300:C$400,MATCH("*"&amp;L14&amp;"*",'V8'!B$300:B$400,0)),"  ")</f>
        <v>13</v>
      </c>
      <c r="AH14" s="702">
        <f>IFERROR(INDEX('V9'!C$300:C$400,MATCH("*"&amp;L14&amp;"*",'V9'!B$300:B$400,0)),"  ")</f>
        <v>10</v>
      </c>
      <c r="AI14" s="702">
        <f>IFERROR(INDEX('V10'!C$300:C$400,MATCH("*"&amp;L14&amp;"*",'V10'!B$300:B$400,0)),"  ")</f>
        <v>10</v>
      </c>
      <c r="AJ14" s="702">
        <f>IFERROR(INDEX('V11'!C$300:C$400,MATCH("*"&amp;L14&amp;"*",'V11'!B$300:B$400,0)),"  ")</f>
        <v>14</v>
      </c>
      <c r="AK14" s="702">
        <f>IFERROR(INDEX('V12'!C$300:C$400,MATCH("*"&amp;L14&amp;"*",'V12'!B$300:B$400,0)),"  ")</f>
        <v>7</v>
      </c>
      <c r="AL14" s="702">
        <f>IFERROR(INDEX('V13'!C$300:C$400,MATCH("*"&amp;L14&amp;"*",'V13'!B$300:B$400,0)),"  ")</f>
        <v>9</v>
      </c>
      <c r="AM14" s="702" t="str">
        <f>IFERROR(INDEX('V14'!C$300:C$400,MATCH("*"&amp;L14&amp;"*",'V14'!B$300:B$400,0)),"  ")</f>
        <v xml:space="preserve">  </v>
      </c>
      <c r="AN14" s="702">
        <f>IFERROR(INDEX('V15'!C$300:C$400,MATCH("*"&amp;L14&amp;"*",'V15'!B$300:B$400,0)),"  ")</f>
        <v>8</v>
      </c>
      <c r="AO14" s="703">
        <f t="shared" si="10"/>
        <v>8</v>
      </c>
      <c r="AP14" s="704" t="str">
        <f>IFERROR("edasi "&amp;RANK(AO14,AO$7:AO$66,1),K14)</f>
        <v>edasi 8</v>
      </c>
      <c r="AQ14" s="705">
        <f>IFERROR(INDEX('V-fin'!A$300:A$401,MATCH("*"&amp;L14&amp;"*",'V-fin'!B$300:B$401,0)),"  ")</f>
        <v>5</v>
      </c>
      <c r="AR14" s="706">
        <f t="shared" si="8"/>
        <v>14</v>
      </c>
      <c r="AS14" s="707">
        <f>IFERROR(IF(Z14+1&gt;LARGE(Z$7:Z$66,1)-2,1),0)+IFERROR(IF(AA14+1&gt;LARGE(AA$7:AA$66,1)-2,1),0)+IFERROR(IF(AB14+1&gt;LARGE(AB$7:AB$66,1)-2,1),0)+IFERROR(IF(AC14+1&gt;LARGE(AC$7:AC$66,1)-2,1),0)+IFERROR(IF(AD14+1&gt;LARGE(AD$7:AD$66,1)-2,1),0)+IFERROR(IF(AE14+1&gt;LARGE(AE$7:AE$66,1)-2,1),0)+IFERROR(IF(AF14+1&gt;LARGE(AF$7:AF$66,1)-2,1),0)+IFERROR(IF(AG14+1&gt;LARGE(AG$7:AG$66,1)-2,1),0)+IFERROR(IF(AH14+1&gt;LARGE(AH$7:AH$66,1)-2,1),0)+IFERROR(IF(AI14+1&gt;LARGE(AI$7:AI$66,1)-2,1),0)+IFERROR(IF(AJ14+1&gt;LARGE(AJ$7:AJ$66,1)-2,1),0)+IFERROR(IF(AK14+1&gt;LARGE(AK$7:AK$66,1)-2,1),0)+IFERROR(IF(AL14+1&gt;LARGE(AL$7:AL$66,1)-2,1),0)+IFERROR(IF(AM14+1&gt;LARGE(AM$7:AM$66,1)-2,1),0)+IFERROR(IF(AN14+1&gt;LARGE(AN$7:AN$66,1)-2,1),0)</f>
        <v>3</v>
      </c>
      <c r="AT14" s="707">
        <f>IF(Z14=0,0,IF(Z14=IFERROR(LARGE(Z$7:Z$66,1),0),1,0))+IF(AA14=0,0,IF(AA14=IFERROR(LARGE(AA$7:AA$66,1),0),1,0))+IF(AB14=0,0,IF(AB14=IFERROR(LARGE(AB$7:AB$66,1),0),1,0))+IF(AC14=0,0,IF(AC14=IFERROR(LARGE(AC$7:AC$66,1),0),1,0))+IF(AD14=0,0,IF(AD14=IFERROR(LARGE(AD$7:AD$66,1),0),1,0))+IF(AE14=0,0,IF(AE14=IFERROR(LARGE(AE$7:AE$66,1),0),1,0))+IF(AF14=0,0,IF(AF14=IFERROR(LARGE(AF$7:AF$66,1),0),1,0))+IF(AG14=0,0,IF(AG14=IFERROR(LARGE(AG$7:AG$66,1),0),1,0))+IF(AH14=0,0,IF(AH14=IFERROR(LARGE(AH$7:AH$66,1),0),1,0))+IF(AI14=0,0,IF(AI14=IFERROR(LARGE(AI$7:AI$66,1),0),1,0))+IF(AJ14=0,0,IF(AJ14=IFERROR(LARGE(AJ$7:AJ$66,1),0),1,0))+IF(AK14=0,0,IF(AK14=IFERROR(LARGE(AK$7:AK$66,1),0),1,0))+IF(AL14=0,0,IF(AL14=IFERROR(LARGE(AL$7:AL$66,1),0),1,0))+IF(AM14=0,0,IF(AM14=IFERROR(LARGE(AM$7:AM$66,1),0),1,0))+IF(AN14=0,0,IF(AN14=IFERROR(LARGE(AN$7:AN$66,1),0),1,0))</f>
        <v>0</v>
      </c>
      <c r="AU14" s="629"/>
      <c r="AV14" s="708">
        <f t="shared" si="11"/>
        <v>8.0004000000000008</v>
      </c>
      <c r="AW14" s="709">
        <f t="shared" si="9"/>
        <v>13.0001</v>
      </c>
      <c r="AX14" s="709">
        <f t="shared" si="9"/>
        <v>5.0002000000000004</v>
      </c>
      <c r="AY14" s="709">
        <f t="shared" si="9"/>
        <v>9.0002999999999993</v>
      </c>
      <c r="AZ14" s="709">
        <f t="shared" si="9"/>
        <v>8.0004000000000008</v>
      </c>
      <c r="BA14" s="709">
        <f t="shared" si="9"/>
        <v>9.0005000000000006</v>
      </c>
      <c r="BB14" s="709">
        <f t="shared" si="9"/>
        <v>10.0006</v>
      </c>
      <c r="BC14" s="709">
        <f t="shared" si="9"/>
        <v>12.0007</v>
      </c>
      <c r="BD14" s="709">
        <f t="shared" si="9"/>
        <v>13.0008</v>
      </c>
      <c r="BE14" s="709">
        <f t="shared" si="9"/>
        <v>10.0009</v>
      </c>
      <c r="BF14" s="709">
        <f t="shared" si="9"/>
        <v>10.000999999999999</v>
      </c>
      <c r="BG14" s="709">
        <f t="shared" si="9"/>
        <v>14.001099999999999</v>
      </c>
      <c r="BH14" s="709">
        <f t="shared" si="9"/>
        <v>7.0011999999999999</v>
      </c>
      <c r="BI14" s="709">
        <f t="shared" si="9"/>
        <v>9.0013000000000005</v>
      </c>
      <c r="BJ14" s="709">
        <f t="shared" si="9"/>
        <v>1.4E-3</v>
      </c>
      <c r="BK14" s="709">
        <f t="shared" si="9"/>
        <v>8.0015000000000001</v>
      </c>
      <c r="BL14" s="629"/>
    </row>
    <row r="15" spans="1:64" x14ac:dyDescent="0.2">
      <c r="A15" s="686" t="str">
        <f>IF(R15&gt;0,IF(Q15="v",RANK(B15,B$7:B$66,1)-COUNTBLANK(Q$7:Q$66),""),"")</f>
        <v/>
      </c>
      <c r="B15" s="687">
        <f t="shared" si="0"/>
        <v>-991</v>
      </c>
      <c r="C15" s="688" t="str">
        <f>IF(R15&gt;0,IF(P15="k",RANK(D15,D$7:D$66,1)-COUNTBLANK(P$7:P$66),""),"")</f>
        <v/>
      </c>
      <c r="D15" s="687">
        <f t="shared" si="1"/>
        <v>-991</v>
      </c>
      <c r="E15" s="689">
        <f>IF(R15&gt;0,IF(N15="m",RANK(F15,F$7:F$66,1)-COUNTBLANK(N$7:N$66),""),"")</f>
        <v>9</v>
      </c>
      <c r="F15" s="687">
        <f t="shared" si="2"/>
        <v>9</v>
      </c>
      <c r="G15" s="690" t="str">
        <f>IF(R15&gt;0,IF(M15="n",RANK(H15,H$7:H$66,1)-COUNTBLANK(M$7:M$66),""),"")</f>
        <v/>
      </c>
      <c r="H15" s="687">
        <f t="shared" si="3"/>
        <v>-991</v>
      </c>
      <c r="I15" s="691" t="str">
        <f>IF(R15&gt;0,IF(O15="j",RANK(J15,J$7:J$66,1)-COUNTBLANK(O$7:O$66),""),"")</f>
        <v/>
      </c>
      <c r="J15" s="692">
        <f t="shared" si="4"/>
        <v>-991</v>
      </c>
      <c r="K15" s="654">
        <f>IF(R15&gt;0,RANK(U15,U$7:U$66,1),"")</f>
        <v>9</v>
      </c>
      <c r="L15" s="713" t="s">
        <v>224</v>
      </c>
      <c r="M15" s="694"/>
      <c r="N15" s="695" t="str">
        <f t="shared" si="12"/>
        <v>m</v>
      </c>
      <c r="O15" s="696"/>
      <c r="P15" s="697"/>
      <c r="Q15" s="698"/>
      <c r="R15" s="699">
        <f>(IF(COUNT(Z15,AA15,AB15,AC15,AD15,AE15,AF15,AG15,AH15,AI15,AJ15,AK15,AL15,AM15,AN15)&lt;11,SUM(Z15,AA15,AB15,AC15,AD15,AE15,AF15,AG15,AH15,AI15,AJ15,AK15,AL15,AM15,AN15),SUM(LARGE((Z15,AA15,AB15,AC15,AD15,AE15,AF15,AG15,AH15,AI15,AJ15,AK15,AL15,AM15,AN15),{1;2;3;4;5;6;7;8;9;10;11}))))</f>
        <v>110</v>
      </c>
      <c r="S15" s="700" t="str">
        <f>INDEX(ETAPP!B$1:B$32,MATCH(COUNTIF(Z15:AN15,PVO!A$1),ETAPP!A$1:A$32,0))&amp;INDEX(ETAPP!B$1:B$32,MATCH(COUNTIF(Z15:AN15,PVO!A$2),ETAPP!A$1:A$32,0))&amp;INDEX(ETAPP!B$1:B$32,MATCH(COUNTIF(Z15:AN15,PVO!A$3),ETAPP!A$1:A$32,0))&amp;INDEX(ETAPP!B$1:B$32,MATCH(COUNTIF(Z15:AN15,PVO!A$4),ETAPP!A$1:A$32,0))&amp;INDEX(ETAPP!B$1:B$32,MATCH(COUNTIF(Z15:AN15,PVO!A$5),ETAPP!A$1:A$32,0))&amp;INDEX(ETAPP!B$1:B$32,MATCH(COUNTIF(Z15:AN15,PVO!A$6),ETAPP!A$1:A$32,0))&amp;INDEX(ETAPP!B$1:B$32,MATCH(COUNTIF(Z15:AN15,PVO!A$7),ETAPP!A$1:A$32,0))&amp;INDEX(ETAPP!B$1:B$32,MATCH(COUNTIF(Z15:AN15,PVO!A$8),ETAPP!A$1:A$32,0))&amp;INDEX(ETAPP!B$1:B$32,MATCH(COUNTIF(Z15:AN15,PVO!A$9),ETAPP!A$1:A$32,0))&amp;INDEX(ETAPP!B$1:B$32,MATCH(COUNTIF(Z15:AN15,PVO!A$10),ETAPP!A$1:A$32,0))&amp;INDEX(ETAPP!B$1:B$32,MATCH(COUNTIF(Z15:AN15,PVO!A$11),ETAPP!A$1:A$32,0))&amp;INDEX(ETAPP!B$1:B$32,MATCH(COUNTIF(Z15:AN15,PVO!A$12),ETAPP!A$1:A$32,0))&amp;INDEX(ETAPP!B$1:B$32,MATCH(COUNTIF(Z15:AN15,PVO!A$13),ETAPP!A$1:A$32,0))&amp;INDEX(ETAPP!B$1:B$32,MATCH(COUNTIF(Z15:AN15,PVO!A$14),ETAPP!A$1:A$32,0))&amp;INDEX(ETAPP!B$1:B$32,MATCH(COUNTIF(Z15:AN15,PVO!A$15),ETAPP!A$1:A$32,0))&amp;INDEX(ETAPP!B$1:B$32,MATCH(COUNTIF(Z15:AN15,PVO!A$16),ETAPP!A$1:A$32,0))&amp;INDEX(ETAPP!B$1:B$32,MATCH(COUNTIF(Z15:AN15,PVO!A$17),ETAPP!A$1:A$32,0))&amp;INDEX(ETAPP!B$1:B$32,MATCH(COUNTIF(Z15:AN15,PVO!A$18),ETAPP!A$1:A$32,0))&amp;INDEX(ETAPP!B$1:B$32,MATCH(COUNTIF(Z15:AN15,PVO!A$19),ETAPP!A$1:A$32,0))</f>
        <v>00BA0BA0B0AA000000E</v>
      </c>
      <c r="T15" s="700" t="str">
        <f t="shared" si="6"/>
        <v>110,0-00BA0BA0B0AA000000E</v>
      </c>
      <c r="U15" s="700">
        <f>COUNTIF(T$7:T$66,"&gt;="&amp;T15)</f>
        <v>9</v>
      </c>
      <c r="V15" s="700">
        <f>COUNTIF(L$7:L$66,"&gt;="&amp;L15)</f>
        <v>28</v>
      </c>
      <c r="W15" s="700" t="str">
        <f t="shared" si="7"/>
        <v>110,0-00BA0BA0B0AA000000E-028</v>
      </c>
      <c r="X15" s="700">
        <f>COUNTIF(W$7:W$66,"&gt;="&amp;W15)</f>
        <v>9</v>
      </c>
      <c r="Y15" s="701">
        <f>RANK(X15,X$7:X$66,0)</f>
        <v>52</v>
      </c>
      <c r="Z15" s="702" t="str">
        <f>IFERROR(INDEX('V1'!C$300:C$400,MATCH("*"&amp;L15&amp;"*",'V1'!B$300:B$400,0)),"  ")</f>
        <v xml:space="preserve">  </v>
      </c>
      <c r="AA15" s="702" t="str">
        <f>IFERROR(INDEX('V2'!C$300:C$400,MATCH("*"&amp;L15&amp;"*",'V2'!B$300:B$400,0)),"  ")</f>
        <v xml:space="preserve">  </v>
      </c>
      <c r="AB15" s="702" t="str">
        <f>IFERROR(INDEX('V3'!C$300:C$400,MATCH("*"&amp;L15&amp;"*",'V3'!B$300:B$400,0)),"  ")</f>
        <v xml:space="preserve">  </v>
      </c>
      <c r="AC15" s="702" t="str">
        <f>IFERROR(INDEX('V4'!C$300:C$400,MATCH("*"&amp;L15&amp;"*",'V4'!B$300:B$400,0)),"  ")</f>
        <v xml:space="preserve">  </v>
      </c>
      <c r="AD15" s="702">
        <f>IFERROR(INDEX('V5'!C$300:C$400,MATCH("*"&amp;L15&amp;"*",'V5'!B$300:B$400,0)),"  ")</f>
        <v>7</v>
      </c>
      <c r="AE15" s="702">
        <f>IFERROR(INDEX('V6'!C$300:C$400,MATCH("*"&amp;L15&amp;"*",'V6'!B$300:B$400,0)),"  ")</f>
        <v>6</v>
      </c>
      <c r="AF15" s="702">
        <f>IFERROR(INDEX('V7'!C$300:C$400,MATCH("*"&amp;L15&amp;"*",'V7'!B$300:B$400,0)),"  ")</f>
        <v>15</v>
      </c>
      <c r="AG15" s="702">
        <f>IFERROR(INDEX('V8'!C$300:C$400,MATCH("*"&amp;L15&amp;"*",'V8'!B$300:B$400,0)),"  ")</f>
        <v>15</v>
      </c>
      <c r="AH15" s="702">
        <f>IFERROR(INDEX('V9'!C$300:C$400,MATCH("*"&amp;L15&amp;"*",'V9'!B$300:B$400,0)),"  ")</f>
        <v>9</v>
      </c>
      <c r="AI15" s="702">
        <f>IFERROR(INDEX('V10'!C$300:C$400,MATCH("*"&amp;L15&amp;"*",'V10'!B$300:B$400,0)),"  ")</f>
        <v>14</v>
      </c>
      <c r="AJ15" s="702">
        <f>IFERROR(INDEX('V11'!C$300:C$400,MATCH("*"&amp;L15&amp;"*",'V11'!B$300:B$400,0)),"  ")</f>
        <v>12</v>
      </c>
      <c r="AK15" s="702">
        <f>IFERROR(INDEX('V12'!C$300:C$400,MATCH("*"&amp;L15&amp;"*",'V12'!B$300:B$400,0)),"  ")</f>
        <v>11</v>
      </c>
      <c r="AL15" s="702" t="str">
        <f>IFERROR(INDEX('V13'!C$300:C$400,MATCH("*"&amp;L15&amp;"*",'V13'!B$300:B$400,0)),"  ")</f>
        <v xml:space="preserve">  </v>
      </c>
      <c r="AM15" s="702">
        <f>IFERROR(INDEX('V14'!C$300:C$400,MATCH("*"&amp;L15&amp;"*",'V14'!B$300:B$400,0)),"  ")</f>
        <v>12</v>
      </c>
      <c r="AN15" s="702">
        <f>IFERROR(INDEX('V15'!C$300:C$400,MATCH("*"&amp;L15&amp;"*",'V15'!B$300:B$400,0)),"  ")</f>
        <v>9</v>
      </c>
      <c r="AO15" s="703">
        <f t="shared" si="10"/>
        <v>9</v>
      </c>
      <c r="AP15" s="704" t="str">
        <f>IFERROR("edasi "&amp;RANK(AO15,AO$7:AO$66,1),K15)</f>
        <v>edasi 9</v>
      </c>
      <c r="AQ15" s="705" t="str">
        <f>IFERROR(INDEX('V-fin'!A$300:A$401,MATCH("*"&amp;L15&amp;"*",'V-fin'!B$300:B$401,0)),"  ")</f>
        <v xml:space="preserve">  </v>
      </c>
      <c r="AR15" s="706">
        <f t="shared" si="8"/>
        <v>10</v>
      </c>
      <c r="AS15" s="707">
        <f>IFERROR(IF(Z15+1&gt;LARGE(Z$7:Z$66,1)-2,1),0)+IFERROR(IF(AA15+1&gt;LARGE(AA$7:AA$66,1)-2,1),0)+IFERROR(IF(AB15+1&gt;LARGE(AB$7:AB$66,1)-2,1),0)+IFERROR(IF(AC15+1&gt;LARGE(AC$7:AC$66,1)-2,1),0)+IFERROR(IF(AD15+1&gt;LARGE(AD$7:AD$66,1)-2,1),0)+IFERROR(IF(AE15+1&gt;LARGE(AE$7:AE$66,1)-2,1),0)+IFERROR(IF(AF15+1&gt;LARGE(AF$7:AF$66,1)-2,1),0)+IFERROR(IF(AG15+1&gt;LARGE(AG$7:AG$66,1)-2,1),0)+IFERROR(IF(AH15+1&gt;LARGE(AH$7:AH$66,1)-2,1),0)+IFERROR(IF(AI15+1&gt;LARGE(AI$7:AI$66,1)-2,1),0)+IFERROR(IF(AJ15+1&gt;LARGE(AJ$7:AJ$66,1)-2,1),0)+IFERROR(IF(AK15+1&gt;LARGE(AK$7:AK$66,1)-2,1),0)+IFERROR(IF(AL15+1&gt;LARGE(AL$7:AL$66,1)-2,1),0)+IFERROR(IF(AM15+1&gt;LARGE(AM$7:AM$66,1)-2,1),0)+IFERROR(IF(AN15+1&gt;LARGE(AN$7:AN$66,1)-2,1),0)</f>
        <v>3</v>
      </c>
      <c r="AT15" s="707">
        <f>IF(Z15=0,0,IF(Z15=IFERROR(LARGE(Z$7:Z$66,1),0),1,0))+IF(AA15=0,0,IF(AA15=IFERROR(LARGE(AA$7:AA$66,1),0),1,0))+IF(AB15=0,0,IF(AB15=IFERROR(LARGE(AB$7:AB$66,1),0),1,0))+IF(AC15=0,0,IF(AC15=IFERROR(LARGE(AC$7:AC$66,1),0),1,0))+IF(AD15=0,0,IF(AD15=IFERROR(LARGE(AD$7:AD$66,1),0),1,0))+IF(AE15=0,0,IF(AE15=IFERROR(LARGE(AE$7:AE$66,1),0),1,0))+IF(AF15=0,0,IF(AF15=IFERROR(LARGE(AF$7:AF$66,1),0),1,0))+IF(AG15=0,0,IF(AG15=IFERROR(LARGE(AG$7:AG$66,1),0),1,0))+IF(AH15=0,0,IF(AH15=IFERROR(LARGE(AH$7:AH$66,1),0),1,0))+IF(AI15=0,0,IF(AI15=IFERROR(LARGE(AI$7:AI$66,1),0),1,0))+IF(AJ15=0,0,IF(AJ15=IFERROR(LARGE(AJ$7:AJ$66,1),0),1,0))+IF(AK15=0,0,IF(AK15=IFERROR(LARGE(AK$7:AK$66,1),0),1,0))+IF(AL15=0,0,IF(AL15=IFERROR(LARGE(AL$7:AL$66,1),0),1,0))+IF(AM15=0,0,IF(AM15=IFERROR(LARGE(AM$7:AM$66,1),0),1,0))+IF(AN15=0,0,IF(AN15=IFERROR(LARGE(AN$7:AN$66,1),0),1,0))</f>
        <v>2</v>
      </c>
      <c r="AU15" s="629"/>
      <c r="AV15" s="708">
        <f t="shared" si="11"/>
        <v>4.0000000000000002E-4</v>
      </c>
      <c r="AW15" s="709">
        <f t="shared" si="9"/>
        <v>1E-4</v>
      </c>
      <c r="AX15" s="709">
        <f t="shared" si="9"/>
        <v>2.0000000000000001E-4</v>
      </c>
      <c r="AY15" s="709">
        <f t="shared" si="9"/>
        <v>2.9999999999999997E-4</v>
      </c>
      <c r="AZ15" s="709">
        <f t="shared" si="9"/>
        <v>4.0000000000000002E-4</v>
      </c>
      <c r="BA15" s="709">
        <f t="shared" si="9"/>
        <v>7.0004999999999997</v>
      </c>
      <c r="BB15" s="709">
        <f t="shared" si="9"/>
        <v>6.0006000000000004</v>
      </c>
      <c r="BC15" s="709">
        <f t="shared" si="9"/>
        <v>15.0007</v>
      </c>
      <c r="BD15" s="709">
        <f t="shared" si="9"/>
        <v>15.0008</v>
      </c>
      <c r="BE15" s="709">
        <f t="shared" si="9"/>
        <v>9.0008999999999997</v>
      </c>
      <c r="BF15" s="709">
        <f t="shared" si="9"/>
        <v>14.000999999999999</v>
      </c>
      <c r="BG15" s="709">
        <f t="shared" si="9"/>
        <v>12.001099999999999</v>
      </c>
      <c r="BH15" s="709">
        <f t="shared" si="9"/>
        <v>11.001200000000001</v>
      </c>
      <c r="BI15" s="709">
        <f t="shared" si="9"/>
        <v>1.2999999999999999E-3</v>
      </c>
      <c r="BJ15" s="709">
        <f t="shared" si="9"/>
        <v>12.0014</v>
      </c>
      <c r="BK15" s="709">
        <f t="shared" si="9"/>
        <v>9.0015000000000001</v>
      </c>
      <c r="BL15" s="629"/>
    </row>
    <row r="16" spans="1:64" x14ac:dyDescent="0.2">
      <c r="A16" s="686" t="str">
        <f>IF(R16&gt;0,IF(Q16="v",RANK(B16,B$7:B$66,1)-COUNTBLANK(Q$7:Q$66),""),"")</f>
        <v/>
      </c>
      <c r="B16" s="687">
        <f t="shared" si="0"/>
        <v>-990</v>
      </c>
      <c r="C16" s="688" t="str">
        <f>IF(R16&gt;0,IF(P16="k",RANK(D16,D$7:D$66,1)-COUNTBLANK(P$7:P$66),""),"")</f>
        <v/>
      </c>
      <c r="D16" s="687">
        <f t="shared" si="1"/>
        <v>-990</v>
      </c>
      <c r="E16" s="689">
        <f>IF(R16&gt;0,IF(N16="m",RANK(F16,F$7:F$66,1)-COUNTBLANK(N$7:N$66),""),"")</f>
        <v>10</v>
      </c>
      <c r="F16" s="687">
        <f t="shared" si="2"/>
        <v>10</v>
      </c>
      <c r="G16" s="690" t="str">
        <f>IF(R16&gt;0,IF(M16="n",RANK(H16,H$7:H$66,1)-COUNTBLANK(M$7:M$66),""),"")</f>
        <v/>
      </c>
      <c r="H16" s="687">
        <f t="shared" si="3"/>
        <v>-990</v>
      </c>
      <c r="I16" s="691" t="str">
        <f>IF(R16&gt;0,IF(O16="j",RANK(J16,J$7:J$66,1)-COUNTBLANK(O$7:O$66),""),"")</f>
        <v/>
      </c>
      <c r="J16" s="692">
        <f t="shared" si="4"/>
        <v>-990</v>
      </c>
      <c r="K16" s="654">
        <f>IF(R16&gt;0,RANK(U16,U$7:U$66,1),"")</f>
        <v>10</v>
      </c>
      <c r="L16" s="693" t="s">
        <v>275</v>
      </c>
      <c r="M16" s="694"/>
      <c r="N16" s="695" t="str">
        <f t="shared" si="12"/>
        <v>m</v>
      </c>
      <c r="O16" s="696"/>
      <c r="P16" s="697"/>
      <c r="Q16" s="698"/>
      <c r="R16" s="699">
        <f>(IF(COUNT(Z16,AA16,AB16,AC16,AD16,AE16,AF16,AG16,AH16,AI16,AJ16,AK16,AL16,AM16,AN16)&lt;11,SUM(Z16,AA16,AB16,AC16,AD16,AE16,AF16,AG16,AH16,AI16,AJ16,AK16,AL16,AM16,AN16),SUM(LARGE((Z16,AA16,AB16,AC16,AD16,AE16,AF16,AG16,AH16,AI16,AJ16,AK16,AL16,AM16,AN16),{1;2;3;4;5;6;7;8;9;10;11}))))</f>
        <v>107.5</v>
      </c>
      <c r="S16" s="700" t="str">
        <f>INDEX(ETAPP!B$1:B$32,MATCH(COUNTIF(Z16:AN16,PVO!A$1),ETAPP!A$1:A$32,0))&amp;INDEX(ETAPP!B$1:B$32,MATCH(COUNTIF(Z16:AN16,PVO!A$2),ETAPP!A$1:A$32,0))&amp;INDEX(ETAPP!B$1:B$32,MATCH(COUNTIF(Z16:AN16,PVO!A$3),ETAPP!A$1:A$32,0))&amp;INDEX(ETAPP!B$1:B$32,MATCH(COUNTIF(Z16:AN16,PVO!A$4),ETAPP!A$1:A$32,0))&amp;INDEX(ETAPP!B$1:B$32,MATCH(COUNTIF(Z16:AN16,PVO!A$5),ETAPP!A$1:A$32,0))&amp;INDEX(ETAPP!B$1:B$32,MATCH(COUNTIF(Z16:AN16,PVO!A$6),ETAPP!A$1:A$32,0))&amp;INDEX(ETAPP!B$1:B$32,MATCH(COUNTIF(Z16:AN16,PVO!A$7),ETAPP!A$1:A$32,0))&amp;INDEX(ETAPP!B$1:B$32,MATCH(COUNTIF(Z16:AN16,PVO!A$8),ETAPP!A$1:A$32,0))&amp;INDEX(ETAPP!B$1:B$32,MATCH(COUNTIF(Z16:AN16,PVO!A$9),ETAPP!A$1:A$32,0))&amp;INDEX(ETAPP!B$1:B$32,MATCH(COUNTIF(Z16:AN16,PVO!A$10),ETAPP!A$1:A$32,0))&amp;INDEX(ETAPP!B$1:B$32,MATCH(COUNTIF(Z16:AN16,PVO!A$11),ETAPP!A$1:A$32,0))&amp;INDEX(ETAPP!B$1:B$32,MATCH(COUNTIF(Z16:AN16,PVO!A$12),ETAPP!A$1:A$32,0))&amp;INDEX(ETAPP!B$1:B$32,MATCH(COUNTIF(Z16:AN16,PVO!A$13),ETAPP!A$1:A$32,0))&amp;INDEX(ETAPP!B$1:B$32,MATCH(COUNTIF(Z16:AN16,PVO!A$14),ETAPP!A$1:A$32,0))&amp;INDEX(ETAPP!B$1:B$32,MATCH(COUNTIF(Z16:AN16,PVO!A$15),ETAPP!A$1:A$32,0))&amp;INDEX(ETAPP!B$1:B$32,MATCH(COUNTIF(Z16:AN16,PVO!A$16),ETAPP!A$1:A$32,0))&amp;INDEX(ETAPP!B$1:B$32,MATCH(COUNTIF(Z16:AN16,PVO!A$17),ETAPP!A$1:A$32,0))&amp;INDEX(ETAPP!B$1:B$32,MATCH(COUNTIF(Z16:AN16,PVO!A$18),ETAPP!A$1:A$32,0))&amp;INDEX(ETAPP!B$1:B$32,MATCH(COUNTIF(Z16:AN16,PVO!A$19),ETAPP!A$1:A$32,0))</f>
        <v>0000CA00A00A0C0000C</v>
      </c>
      <c r="T16" s="700" t="str">
        <f t="shared" si="6"/>
        <v>107,5-0000CA00A00A0C0000C</v>
      </c>
      <c r="U16" s="700">
        <f>COUNTIF(T$7:T$66,"&gt;="&amp;T16)</f>
        <v>10</v>
      </c>
      <c r="V16" s="700">
        <f>COUNTIF(L$7:L$66,"&gt;="&amp;L16)</f>
        <v>2</v>
      </c>
      <c r="W16" s="700" t="str">
        <f t="shared" si="7"/>
        <v>107,5-0000CA00A00A0C0000C-002</v>
      </c>
      <c r="X16" s="700">
        <f>COUNTIF(W$7:W$66,"&gt;="&amp;W16)</f>
        <v>10</v>
      </c>
      <c r="Y16" s="701">
        <f>RANK(X16,X$7:X$66,0)</f>
        <v>51</v>
      </c>
      <c r="Z16" s="702" t="str">
        <f>IFERROR(INDEX('V1'!C$300:C$400,MATCH("*"&amp;L16&amp;"*",'V1'!B$300:B$400,0)),"  ")</f>
        <v xml:space="preserve">  </v>
      </c>
      <c r="AA16" s="702">
        <f>IFERROR(INDEX('V2'!C$300:C$400,MATCH("*"&amp;L16&amp;"*",'V2'!B$300:B$400,0)),"  ")</f>
        <v>13</v>
      </c>
      <c r="AB16" s="702">
        <f>IFERROR(INDEX('V3'!C$300:C$400,MATCH("*"&amp;L16&amp;"*",'V3'!B$300:B$400,0)),"  ")</f>
        <v>12</v>
      </c>
      <c r="AC16" s="702">
        <f>IFERROR(INDEX('V4'!C$300:C$400,MATCH("*"&amp;L16&amp;"*",'V4'!B$300:B$400,0)),"  ")</f>
        <v>13</v>
      </c>
      <c r="AD16" s="702">
        <f>IFERROR(INDEX('V5'!C$300:C$400,MATCH("*"&amp;L16&amp;"*",'V5'!B$300:B$400,0)),"  ")</f>
        <v>4</v>
      </c>
      <c r="AE16" s="702">
        <f>IFERROR(INDEX('V6'!C$300:C$400,MATCH("*"&amp;L16&amp;"*",'V6'!B$300:B$400,0)),"  ")</f>
        <v>11.5</v>
      </c>
      <c r="AF16" s="702">
        <f>IFERROR(INDEX('V7'!C$300:C$400,MATCH("*"&amp;L16&amp;"*",'V7'!B$300:B$400,0)),"  ")</f>
        <v>13</v>
      </c>
      <c r="AG16" s="702">
        <f>IFERROR(INDEX('V8'!C$300:C$400,MATCH("*"&amp;L16&amp;"*",'V8'!B$300:B$400,0)),"  ")</f>
        <v>9</v>
      </c>
      <c r="AH16" s="702">
        <f>IFERROR(INDEX('V9'!C$300:C$400,MATCH("*"&amp;L16&amp;"*",'V9'!B$300:B$400,0)),"  ")</f>
        <v>11.5</v>
      </c>
      <c r="AI16" s="702">
        <f>IFERROR(INDEX('V10'!C$300:C$400,MATCH("*"&amp;L16&amp;"*",'V10'!B$300:B$400,0)),"  ")</f>
        <v>4</v>
      </c>
      <c r="AJ16" s="702">
        <f>IFERROR(INDEX('V11'!C$300:C$400,MATCH("*"&amp;L16&amp;"*",'V11'!B$300:B$400,0)),"  ")</f>
        <v>10.5</v>
      </c>
      <c r="AK16" s="702">
        <f>IFERROR(INDEX('V12'!C$300:C$400,MATCH("*"&amp;L16&amp;"*",'V12'!B$300:B$400,0)),"  ")</f>
        <v>6</v>
      </c>
      <c r="AL16" s="702" t="str">
        <f>IFERROR(INDEX('V13'!C$300:C$400,MATCH("*"&amp;L16&amp;"*",'V13'!B$300:B$400,0)),"  ")</f>
        <v xml:space="preserve">  </v>
      </c>
      <c r="AM16" s="702" t="str">
        <f>IFERROR(INDEX('V14'!C$300:C$400,MATCH("*"&amp;L16&amp;"*",'V14'!B$300:B$400,0)),"  ")</f>
        <v xml:space="preserve">  </v>
      </c>
      <c r="AN16" s="702">
        <f>IFERROR(INDEX('V15'!C$300:C$400,MATCH("*"&amp;L16&amp;"*",'V15'!B$300:B$400,0)),"  ")</f>
        <v>4</v>
      </c>
      <c r="AO16" s="703">
        <f t="shared" si="10"/>
        <v>10</v>
      </c>
      <c r="AP16" s="704" t="str">
        <f>IFERROR("edasi "&amp;RANK(AO16,AO$7:AO$66,1),K16)</f>
        <v>edasi 10</v>
      </c>
      <c r="AQ16" s="705">
        <f>IFERROR(INDEX('V-fin'!A$300:A$401,MATCH("*"&amp;L16&amp;"*",'V-fin'!B$300:B$401,0)),"  ")</f>
        <v>6</v>
      </c>
      <c r="AR16" s="706">
        <f t="shared" si="8"/>
        <v>12</v>
      </c>
      <c r="AS16" s="707">
        <f>IFERROR(IF(Z16+1&gt;LARGE(Z$7:Z$66,1)-2,1),0)+IFERROR(IF(AA16+1&gt;LARGE(AA$7:AA$66,1)-2,1),0)+IFERROR(IF(AB16+1&gt;LARGE(AB$7:AB$66,1)-2,1),0)+IFERROR(IF(AC16+1&gt;LARGE(AC$7:AC$66,1)-2,1),0)+IFERROR(IF(AD16+1&gt;LARGE(AD$7:AD$66,1)-2,1),0)+IFERROR(IF(AE16+1&gt;LARGE(AE$7:AE$66,1)-2,1),0)+IFERROR(IF(AF16+1&gt;LARGE(AF$7:AF$66,1)-2,1),0)+IFERROR(IF(AG16+1&gt;LARGE(AG$7:AG$66,1)-2,1),0)+IFERROR(IF(AH16+1&gt;LARGE(AH$7:AH$66,1)-2,1),0)+IFERROR(IF(AI16+1&gt;LARGE(AI$7:AI$66,1)-2,1),0)+IFERROR(IF(AJ16+1&gt;LARGE(AJ$7:AJ$66,1)-2,1),0)+IFERROR(IF(AK16+1&gt;LARGE(AK$7:AK$66,1)-2,1),0)+IFERROR(IF(AL16+1&gt;LARGE(AL$7:AL$66,1)-2,1),0)+IFERROR(IF(AM16+1&gt;LARGE(AM$7:AM$66,1)-2,1),0)+IFERROR(IF(AN16+1&gt;LARGE(AN$7:AN$66,1)-2,1),0)</f>
        <v>3</v>
      </c>
      <c r="AT16" s="707">
        <f>IF(Z16=0,0,IF(Z16=IFERROR(LARGE(Z$7:Z$66,1),0),1,0))+IF(AA16=0,0,IF(AA16=IFERROR(LARGE(AA$7:AA$66,1),0),1,0))+IF(AB16=0,0,IF(AB16=IFERROR(LARGE(AB$7:AB$66,1),0),1,0))+IF(AC16=0,0,IF(AC16=IFERROR(LARGE(AC$7:AC$66,1),0),1,0))+IF(AD16=0,0,IF(AD16=IFERROR(LARGE(AD$7:AD$66,1),0),1,0))+IF(AE16=0,0,IF(AE16=IFERROR(LARGE(AE$7:AE$66,1),0),1,0))+IF(AF16=0,0,IF(AF16=IFERROR(LARGE(AF$7:AF$66,1),0),1,0))+IF(AG16=0,0,IF(AG16=IFERROR(LARGE(AG$7:AG$66,1),0),1,0))+IF(AH16=0,0,IF(AH16=IFERROR(LARGE(AH$7:AH$66,1),0),1,0))+IF(AI16=0,0,IF(AI16=IFERROR(LARGE(AI$7:AI$66,1),0),1,0))+IF(AJ16=0,0,IF(AJ16=IFERROR(LARGE(AJ$7:AJ$66,1),0),1,0))+IF(AK16=0,0,IF(AK16=IFERROR(LARGE(AK$7:AK$66,1),0),1,0))+IF(AL16=0,0,IF(AL16=IFERROR(LARGE(AL$7:AL$66,1),0),1,0))+IF(AM16=0,0,IF(AM16=IFERROR(LARGE(AM$7:AM$66,1),0),1,0))+IF(AN16=0,0,IF(AN16=IFERROR(LARGE(AN$7:AN$66,1),0),1,0))</f>
        <v>0</v>
      </c>
      <c r="AU16" s="629"/>
      <c r="AV16" s="708">
        <f t="shared" si="11"/>
        <v>4.0004999999999997</v>
      </c>
      <c r="AW16" s="709">
        <f t="shared" si="9"/>
        <v>1E-4</v>
      </c>
      <c r="AX16" s="709">
        <f t="shared" si="9"/>
        <v>13.0002</v>
      </c>
      <c r="AY16" s="709">
        <f t="shared" si="9"/>
        <v>12.000299999999999</v>
      </c>
      <c r="AZ16" s="709">
        <f t="shared" si="9"/>
        <v>13.000400000000001</v>
      </c>
      <c r="BA16" s="709">
        <f t="shared" si="9"/>
        <v>4.0004999999999997</v>
      </c>
      <c r="BB16" s="709">
        <f t="shared" si="9"/>
        <v>11.5006</v>
      </c>
      <c r="BC16" s="709">
        <f t="shared" si="9"/>
        <v>13.0007</v>
      </c>
      <c r="BD16" s="709">
        <f t="shared" si="9"/>
        <v>9.0007999999999999</v>
      </c>
      <c r="BE16" s="709">
        <f t="shared" si="9"/>
        <v>11.5009</v>
      </c>
      <c r="BF16" s="709">
        <f t="shared" si="9"/>
        <v>4.0010000000000003</v>
      </c>
      <c r="BG16" s="709">
        <f t="shared" si="9"/>
        <v>10.501099999999999</v>
      </c>
      <c r="BH16" s="709">
        <f t="shared" si="9"/>
        <v>6.0011999999999999</v>
      </c>
      <c r="BI16" s="709">
        <f t="shared" si="9"/>
        <v>1.2999999999999999E-3</v>
      </c>
      <c r="BJ16" s="709">
        <f t="shared" si="9"/>
        <v>1.4E-3</v>
      </c>
      <c r="BK16" s="709">
        <f t="shared" si="9"/>
        <v>4.0015000000000001</v>
      </c>
      <c r="BL16" s="629"/>
    </row>
    <row r="17" spans="1:64" x14ac:dyDescent="0.2">
      <c r="A17" s="686">
        <f>IF(R17&gt;0,IF(Q17="v",RANK(B17,B$7:B$66,1)-COUNTBLANK(Q$7:Q$66),""),"")</f>
        <v>5</v>
      </c>
      <c r="B17" s="687">
        <f t="shared" si="0"/>
        <v>11</v>
      </c>
      <c r="C17" s="688" t="str">
        <f>IF(R17&gt;0,IF(P17="k",RANK(D17,D$7:D$66,1)-COUNTBLANK(P$7:P$66),""),"")</f>
        <v/>
      </c>
      <c r="D17" s="687">
        <f t="shared" si="1"/>
        <v>-989</v>
      </c>
      <c r="E17" s="689">
        <f>IF(R17&gt;0,IF(N17="m",RANK(F17,F$7:F$66,1)-COUNTBLANK(N$7:N$66),""),"")</f>
        <v>11</v>
      </c>
      <c r="F17" s="687">
        <f t="shared" si="2"/>
        <v>11</v>
      </c>
      <c r="G17" s="690" t="str">
        <f>IF(R17&gt;0,IF(M17="n",RANK(H17,H$7:H$66,1)-COUNTBLANK(M$7:M$66),""),"")</f>
        <v/>
      </c>
      <c r="H17" s="687">
        <f t="shared" si="3"/>
        <v>-989</v>
      </c>
      <c r="I17" s="691" t="str">
        <f>IF(R17&gt;0,IF(O17="j",RANK(J17,J$7:J$66,1)-COUNTBLANK(O$7:O$66),""),"")</f>
        <v/>
      </c>
      <c r="J17" s="692">
        <f t="shared" si="4"/>
        <v>-989</v>
      </c>
      <c r="K17" s="714">
        <f>IF(R17&gt;0,RANK(U17,U$7:U$66,1),"")</f>
        <v>11</v>
      </c>
      <c r="L17" s="715" t="s">
        <v>276</v>
      </c>
      <c r="M17" s="716"/>
      <c r="N17" s="717" t="str">
        <f t="shared" si="12"/>
        <v>m</v>
      </c>
      <c r="O17" s="718"/>
      <c r="P17" s="719"/>
      <c r="Q17" s="720" t="s">
        <v>269</v>
      </c>
      <c r="R17" s="699">
        <f>(IF(COUNT(Z17,AA17,AB17,AC17,AD17,AE17,AF17,AG17,AH17,AI17,AJ17,AK17,AL17,AM17,AN17)&lt;11,SUM(Z17,AA17,AB17,AC17,AD17,AE17,AF17,AG17,AH17,AI17,AJ17,AK17,AL17,AM17,AN17),SUM(LARGE((Z17,AA17,AB17,AC17,AD17,AE17,AF17,AG17,AH17,AI17,AJ17,AK17,AL17,AM17,AN17),{1;2;3;4;5;6;7;8;9;10;11}))))</f>
        <v>106.5</v>
      </c>
      <c r="S17" s="721" t="str">
        <f>INDEX(ETAPP!B$1:B$32,MATCH(COUNTIF(Z17:AN17,PVO!A$1),ETAPP!A$1:A$32,0))&amp;INDEX(ETAPP!B$1:B$32,MATCH(COUNTIF(Z17:AN17,PVO!A$2),ETAPP!A$1:A$32,0))&amp;INDEX(ETAPP!B$1:B$32,MATCH(COUNTIF(Z17:AN17,PVO!A$3),ETAPP!A$1:A$32,0))&amp;INDEX(ETAPP!B$1:B$32,MATCH(COUNTIF(Z17:AN17,PVO!A$4),ETAPP!A$1:A$32,0))&amp;INDEX(ETAPP!B$1:B$32,MATCH(COUNTIF(Z17:AN17,PVO!A$5),ETAPP!A$1:A$32,0))&amp;INDEX(ETAPP!B$1:B$32,MATCH(COUNTIF(Z17:AN17,PVO!A$6),ETAPP!A$1:A$32,0))&amp;INDEX(ETAPP!B$1:B$32,MATCH(COUNTIF(Z17:AN17,PVO!A$7),ETAPP!A$1:A$32,0))&amp;INDEX(ETAPP!B$1:B$32,MATCH(COUNTIF(Z17:AN17,PVO!A$8),ETAPP!A$1:A$32,0))&amp;INDEX(ETAPP!B$1:B$32,MATCH(COUNTIF(Z17:AN17,PVO!A$9),ETAPP!A$1:A$32,0))&amp;INDEX(ETAPP!B$1:B$32,MATCH(COUNTIF(Z17:AN17,PVO!A$10),ETAPP!A$1:A$32,0))&amp;INDEX(ETAPP!B$1:B$32,MATCH(COUNTIF(Z17:AN17,PVO!A$11),ETAPP!A$1:A$32,0))&amp;INDEX(ETAPP!B$1:B$32,MATCH(COUNTIF(Z17:AN17,PVO!A$12),ETAPP!A$1:A$32,0))&amp;INDEX(ETAPP!B$1:B$32,MATCH(COUNTIF(Z17:AN17,PVO!A$13),ETAPP!A$1:A$32,0))&amp;INDEX(ETAPP!B$1:B$32,MATCH(COUNTIF(Z17:AN17,PVO!A$14),ETAPP!A$1:A$32,0))&amp;INDEX(ETAPP!B$1:B$32,MATCH(COUNTIF(Z17:AN17,PVO!A$15),ETAPP!A$1:A$32,0))&amp;INDEX(ETAPP!B$1:B$32,MATCH(COUNTIF(Z17:AN17,PVO!A$16),ETAPP!A$1:A$32,0))&amp;INDEX(ETAPP!B$1:B$32,MATCH(COUNTIF(Z17:AN17,PVO!A$17),ETAPP!A$1:A$32,0))&amp;INDEX(ETAPP!B$1:B$32,MATCH(COUNTIF(Z17:AN17,PVO!A$18),ETAPP!A$1:A$32,0))&amp;INDEX(ETAPP!B$1:B$32,MATCH(COUNTIF(Z17:AN17,PVO!A$19),ETAPP!A$1:A$32,0))</f>
        <v>00AAA0BAAA0A000000E</v>
      </c>
      <c r="T17" s="721" t="str">
        <f t="shared" si="6"/>
        <v>106,5-00AAA0BAAA0A000000E</v>
      </c>
      <c r="U17" s="721">
        <f>COUNTIF(T$7:T$66,"&gt;="&amp;T17)</f>
        <v>11</v>
      </c>
      <c r="V17" s="721">
        <f>COUNTIF(L$7:L$66,"&gt;="&amp;L17)</f>
        <v>1</v>
      </c>
      <c r="W17" s="721" t="str">
        <f t="shared" si="7"/>
        <v>106,5-00AAA0BAAA0A000000E-001</v>
      </c>
      <c r="X17" s="721">
        <f>COUNTIF(W$7:W$66,"&gt;="&amp;W17)</f>
        <v>11</v>
      </c>
      <c r="Y17" s="722">
        <f>RANK(X17,X$7:X$66,0)</f>
        <v>50</v>
      </c>
      <c r="Z17" s="702" t="str">
        <f>IFERROR(INDEX('V1'!C$300:C$400,MATCH("*"&amp;L17&amp;"*",'V1'!B$300:B$400,0)),"  ")</f>
        <v xml:space="preserve">  </v>
      </c>
      <c r="AA17" s="702">
        <f>IFERROR(INDEX('V2'!C$300:C$400,MATCH("*"&amp;L17&amp;"*",'V2'!B$300:B$400,0)),"  ")</f>
        <v>11</v>
      </c>
      <c r="AB17" s="702">
        <f>IFERROR(INDEX('V3'!C$300:C$400,MATCH("*"&amp;L17&amp;"*",'V3'!B$300:B$400,0)),"  ")</f>
        <v>6</v>
      </c>
      <c r="AC17" s="702">
        <f>IFERROR(INDEX('V4'!C$300:C$400,MATCH("*"&amp;L17&amp;"*",'V4'!B$300:B$400,0)),"  ")</f>
        <v>9</v>
      </c>
      <c r="AD17" s="702" t="str">
        <f>IFERROR(INDEX('V5'!C$300:C$400,MATCH("*"&amp;L17&amp;"*",'V5'!B$300:B$400,0)),"  ")</f>
        <v xml:space="preserve">  </v>
      </c>
      <c r="AE17" s="702" t="str">
        <f>IFERROR(INDEX('V6'!C$300:C$400,MATCH("*"&amp;L17&amp;"*",'V6'!B$300:B$400,0)),"  ")</f>
        <v xml:space="preserve">  </v>
      </c>
      <c r="AF17" s="702">
        <f>IFERROR(INDEX('V7'!C$300:C$400,MATCH("*"&amp;L17&amp;"*",'V7'!B$300:B$400,0)),"  ")</f>
        <v>9.5</v>
      </c>
      <c r="AG17" s="702" t="str">
        <f>IFERROR(INDEX('V8'!C$300:C$400,MATCH("*"&amp;L17&amp;"*",'V8'!B$300:B$400,0)),"  ")</f>
        <v xml:space="preserve">  </v>
      </c>
      <c r="AH17" s="702" t="str">
        <f>IFERROR(INDEX('V9'!C$300:C$400,MATCH("*"&amp;L17&amp;"*",'V9'!B$300:B$400,0)),"  ")</f>
        <v xml:space="preserve">  </v>
      </c>
      <c r="AI17" s="702">
        <f>IFERROR(INDEX('V10'!C$300:C$400,MATCH("*"&amp;L17&amp;"*",'V10'!B$300:B$400,0)),"  ")</f>
        <v>11</v>
      </c>
      <c r="AJ17" s="702">
        <f>IFERROR(INDEX('V11'!C$300:C$400,MATCH("*"&amp;L17&amp;"*",'V11'!B$300:B$400,0)),"  ")</f>
        <v>15</v>
      </c>
      <c r="AK17" s="702">
        <f>IFERROR(INDEX('V12'!C$300:C$400,MATCH("*"&amp;L17&amp;"*",'V12'!B$300:B$400,0)),"  ")</f>
        <v>8</v>
      </c>
      <c r="AL17" s="702">
        <f>IFERROR(INDEX('V13'!C$300:C$400,MATCH("*"&amp;L17&amp;"*",'V13'!B$300:B$400,0)),"  ")</f>
        <v>13</v>
      </c>
      <c r="AM17" s="702">
        <f>IFERROR(INDEX('V14'!C$300:C$400,MATCH("*"&amp;L17&amp;"*",'V14'!B$300:B$400,0)),"  ")</f>
        <v>14</v>
      </c>
      <c r="AN17" s="702">
        <f>IFERROR(INDEX('V15'!C$300:C$400,MATCH("*"&amp;L17&amp;"*",'V15'!B$300:B$400,0)),"  ")</f>
        <v>10</v>
      </c>
      <c r="AO17" s="703">
        <f t="shared" si="10"/>
        <v>11</v>
      </c>
      <c r="AP17" s="704" t="str">
        <f>IFERROR("edasi "&amp;RANK(AO17,AO$7:AO$66,1),K17)</f>
        <v>edasi 11</v>
      </c>
      <c r="AQ17" s="705">
        <f>IFERROR(INDEX('V-fin'!A$300:A$401,MATCH("*"&amp;L17&amp;"*",'V-fin'!B$300:B$401,0)),"  ")</f>
        <v>5</v>
      </c>
      <c r="AR17" s="706">
        <f t="shared" si="8"/>
        <v>10</v>
      </c>
      <c r="AS17" s="707">
        <f>IFERROR(IF(Z17+1&gt;LARGE(Z$7:Z$66,1)-2,1),0)+IFERROR(IF(AA17+1&gt;LARGE(AA$7:AA$66,1)-2,1),0)+IFERROR(IF(AB17+1&gt;LARGE(AB$7:AB$66,1)-2,1),0)+IFERROR(IF(AC17+1&gt;LARGE(AC$7:AC$66,1)-2,1),0)+IFERROR(IF(AD17+1&gt;LARGE(AD$7:AD$66,1)-2,1),0)+IFERROR(IF(AE17+1&gt;LARGE(AE$7:AE$66,1)-2,1),0)+IFERROR(IF(AF17+1&gt;LARGE(AF$7:AF$66,1)-2,1),0)+IFERROR(IF(AG17+1&gt;LARGE(AG$7:AG$66,1)-2,1),0)+IFERROR(IF(AH17+1&gt;LARGE(AH$7:AH$66,1)-2,1),0)+IFERROR(IF(AI17+1&gt;LARGE(AI$7:AI$66,1)-2,1),0)+IFERROR(IF(AJ17+1&gt;LARGE(AJ$7:AJ$66,1)-2,1),0)+IFERROR(IF(AK17+1&gt;LARGE(AK$7:AK$66,1)-2,1),0)+IFERROR(IF(AL17+1&gt;LARGE(AL$7:AL$66,1)-2,1),0)+IFERROR(IF(AM17+1&gt;LARGE(AM$7:AM$66,1)-2,1),0)+IFERROR(IF(AN17+1&gt;LARGE(AN$7:AN$66,1)-2,1),0)</f>
        <v>3</v>
      </c>
      <c r="AT17" s="707">
        <f>IF(Z17=0,0,IF(Z17=IFERROR(LARGE(Z$7:Z$66,1),0),1,0))+IF(AA17=0,0,IF(AA17=IFERROR(LARGE(AA$7:AA$66,1),0),1,0))+IF(AB17=0,0,IF(AB17=IFERROR(LARGE(AB$7:AB$66,1),0),1,0))+IF(AC17=0,0,IF(AC17=IFERROR(LARGE(AC$7:AC$66,1),0),1,0))+IF(AD17=0,0,IF(AD17=IFERROR(LARGE(AD$7:AD$66,1),0),1,0))+IF(AE17=0,0,IF(AE17=IFERROR(LARGE(AE$7:AE$66,1),0),1,0))+IF(AF17=0,0,IF(AF17=IFERROR(LARGE(AF$7:AF$66,1),0),1,0))+IF(AG17=0,0,IF(AG17=IFERROR(LARGE(AG$7:AG$66,1),0),1,0))+IF(AH17=0,0,IF(AH17=IFERROR(LARGE(AH$7:AH$66,1),0),1,0))+IF(AI17=0,0,IF(AI17=IFERROR(LARGE(AI$7:AI$66,1),0),1,0))+IF(AJ17=0,0,IF(AJ17=IFERROR(LARGE(AJ$7:AJ$66,1),0),1,0))+IF(AK17=0,0,IF(AK17=IFERROR(LARGE(AK$7:AK$66,1),0),1,0))+IF(AL17=0,0,IF(AL17=IFERROR(LARGE(AL$7:AL$66,1),0),1,0))+IF(AM17=0,0,IF(AM17=IFERROR(LARGE(AM$7:AM$66,1),0),1,0))+IF(AN17=0,0,IF(AN17=IFERROR(LARGE(AN$7:AN$66,1),0),1,0))</f>
        <v>1</v>
      </c>
      <c r="AU17" s="629"/>
      <c r="AV17" s="708">
        <f t="shared" si="11"/>
        <v>8.0000000000000004E-4</v>
      </c>
      <c r="AW17" s="709">
        <f t="shared" si="9"/>
        <v>1E-4</v>
      </c>
      <c r="AX17" s="709">
        <f t="shared" si="9"/>
        <v>11.0002</v>
      </c>
      <c r="AY17" s="709">
        <f t="shared" si="9"/>
        <v>6.0003000000000002</v>
      </c>
      <c r="AZ17" s="709">
        <f t="shared" si="9"/>
        <v>9.0004000000000008</v>
      </c>
      <c r="BA17" s="709">
        <f t="shared" si="9"/>
        <v>5.0000000000000001E-4</v>
      </c>
      <c r="BB17" s="709">
        <f t="shared" si="9"/>
        <v>5.9999999999999995E-4</v>
      </c>
      <c r="BC17" s="709">
        <f t="shared" si="9"/>
        <v>9.5007000000000001</v>
      </c>
      <c r="BD17" s="709">
        <f t="shared" si="9"/>
        <v>8.0000000000000004E-4</v>
      </c>
      <c r="BE17" s="709">
        <f t="shared" si="9"/>
        <v>8.9999999999999998E-4</v>
      </c>
      <c r="BF17" s="709">
        <f t="shared" si="9"/>
        <v>11.000999999999999</v>
      </c>
      <c r="BG17" s="709">
        <f t="shared" si="9"/>
        <v>15.001099999999999</v>
      </c>
      <c r="BH17" s="709">
        <f t="shared" si="9"/>
        <v>8.0012000000000008</v>
      </c>
      <c r="BI17" s="709">
        <f t="shared" si="9"/>
        <v>13.001300000000001</v>
      </c>
      <c r="BJ17" s="709">
        <f t="shared" si="9"/>
        <v>14.0014</v>
      </c>
      <c r="BK17" s="709">
        <f t="shared" si="9"/>
        <v>10.0015</v>
      </c>
      <c r="BL17" s="629"/>
    </row>
    <row r="18" spans="1:64" x14ac:dyDescent="0.2">
      <c r="A18" s="686" t="str">
        <f>IF(R18&gt;0,IF(Q18="v",RANK(B18,B$7:B$66,1)-COUNTBLANK(Q$7:Q$66),""),"")</f>
        <v/>
      </c>
      <c r="B18" s="687">
        <f t="shared" si="0"/>
        <v>-988</v>
      </c>
      <c r="C18" s="688" t="str">
        <f>IF(R18&gt;0,IF(P18="k",RANK(D18,D$7:D$66,1)-COUNTBLANK(P$7:P$66),""),"")</f>
        <v/>
      </c>
      <c r="D18" s="687">
        <f t="shared" si="1"/>
        <v>-988</v>
      </c>
      <c r="E18" s="689">
        <f>IF(R18&gt;0,IF(N18="m",RANK(F18,F$7:F$66,1)-COUNTBLANK(N$7:N$66),""),"")</f>
        <v>12</v>
      </c>
      <c r="F18" s="687">
        <f t="shared" si="2"/>
        <v>12</v>
      </c>
      <c r="G18" s="690" t="str">
        <f>IF(R18&gt;0,IF(M18="n",RANK(H18,H$7:H$66,1)-COUNTBLANK(M$7:M$66),""),"")</f>
        <v/>
      </c>
      <c r="H18" s="687">
        <f t="shared" si="3"/>
        <v>-988</v>
      </c>
      <c r="I18" s="691" t="str">
        <f>IF(R18&gt;0,IF(O18="j",RANK(J18,J$7:J$66,1)-COUNTBLANK(O$7:O$66),""),"")</f>
        <v/>
      </c>
      <c r="J18" s="692">
        <f t="shared" si="4"/>
        <v>-988</v>
      </c>
      <c r="K18" s="654">
        <f>IF(R18&gt;0,RANK(U18,U$7:U$66,1),"")</f>
        <v>12</v>
      </c>
      <c r="L18" s="711" t="s">
        <v>277</v>
      </c>
      <c r="M18" s="694"/>
      <c r="N18" s="695" t="str">
        <f t="shared" si="12"/>
        <v>m</v>
      </c>
      <c r="O18" s="696"/>
      <c r="P18" s="697"/>
      <c r="Q18" s="698"/>
      <c r="R18" s="699">
        <f>(IF(COUNT(Z18,AA18,AB18,AC18,AD18,AE18,AF18,AG18,AH18,AI18,AJ18,AK18,AL18,AM18,AN18)&lt;11,SUM(Z18,AA18,AB18,AC18,AD18,AE18,AF18,AG18,AH18,AI18,AJ18,AK18,AL18,AM18,AN18),SUM(LARGE((Z18,AA18,AB18,AC18,AD18,AE18,AF18,AG18,AH18,AI18,AJ18,AK18,AL18,AM18,AN18),{1;2;3;4;5;6;7;8;9;10;11}))))</f>
        <v>105.5</v>
      </c>
      <c r="S18" s="700" t="str">
        <f>INDEX(ETAPP!B$1:B$32,MATCH(COUNTIF(Z18:AN18,PVO!A$1),ETAPP!A$1:A$32,0))&amp;INDEX(ETAPP!B$1:B$32,MATCH(COUNTIF(Z18:AN18,PVO!A$2),ETAPP!A$1:A$32,0))&amp;INDEX(ETAPP!B$1:B$32,MATCH(COUNTIF(Z18:AN18,PVO!A$3),ETAPP!A$1:A$32,0))&amp;INDEX(ETAPP!B$1:B$32,MATCH(COUNTIF(Z18:AN18,PVO!A$4),ETAPP!A$1:A$32,0))&amp;INDEX(ETAPP!B$1:B$32,MATCH(COUNTIF(Z18:AN18,PVO!A$5),ETAPP!A$1:A$32,0))&amp;INDEX(ETAPP!B$1:B$32,MATCH(COUNTIF(Z18:AN18,PVO!A$6),ETAPP!A$1:A$32,0))&amp;INDEX(ETAPP!B$1:B$32,MATCH(COUNTIF(Z18:AN18,PVO!A$7),ETAPP!A$1:A$32,0))&amp;INDEX(ETAPP!B$1:B$32,MATCH(COUNTIF(Z18:AN18,PVO!A$8),ETAPP!A$1:A$32,0))&amp;INDEX(ETAPP!B$1:B$32,MATCH(COUNTIF(Z18:AN18,PVO!A$9),ETAPP!A$1:A$32,0))&amp;INDEX(ETAPP!B$1:B$32,MATCH(COUNTIF(Z18:AN18,PVO!A$10),ETAPP!A$1:A$32,0))&amp;INDEX(ETAPP!B$1:B$32,MATCH(COUNTIF(Z18:AN18,PVO!A$11),ETAPP!A$1:A$32,0))&amp;INDEX(ETAPP!B$1:B$32,MATCH(COUNTIF(Z18:AN18,PVO!A$12),ETAPP!A$1:A$32,0))&amp;INDEX(ETAPP!B$1:B$32,MATCH(COUNTIF(Z18:AN18,PVO!A$13),ETAPP!A$1:A$32,0))&amp;INDEX(ETAPP!B$1:B$32,MATCH(COUNTIF(Z18:AN18,PVO!A$14),ETAPP!A$1:A$32,0))&amp;INDEX(ETAPP!B$1:B$32,MATCH(COUNTIF(Z18:AN18,PVO!A$15),ETAPP!A$1:A$32,0))&amp;INDEX(ETAPP!B$1:B$32,MATCH(COUNTIF(Z18:AN18,PVO!A$16),ETAPP!A$1:A$32,0))&amp;INDEX(ETAPP!B$1:B$32,MATCH(COUNTIF(Z18:AN18,PVO!A$17),ETAPP!A$1:A$32,0))&amp;INDEX(ETAPP!B$1:B$32,MATCH(COUNTIF(Z18:AN18,PVO!A$18),ETAPP!A$1:A$32,0))&amp;INDEX(ETAPP!B$1:B$32,MATCH(COUNTIF(Z18:AN18,PVO!A$19),ETAPP!A$1:A$32,0))</f>
        <v>000A0BABB0AA000000D</v>
      </c>
      <c r="T18" s="700" t="str">
        <f t="shared" si="6"/>
        <v>105,5-000A0BABB0AA000000D</v>
      </c>
      <c r="U18" s="700">
        <f>COUNTIF(T$7:T$66,"&gt;="&amp;T18)</f>
        <v>12</v>
      </c>
      <c r="V18" s="700">
        <f>COUNTIF(L$7:L$66,"&gt;="&amp;L18)</f>
        <v>29</v>
      </c>
      <c r="W18" s="700" t="str">
        <f t="shared" si="7"/>
        <v>105,5-000A0BABB0AA000000D-029</v>
      </c>
      <c r="X18" s="700">
        <f>COUNTIF(W$7:W$66,"&gt;="&amp;W18)</f>
        <v>12</v>
      </c>
      <c r="Y18" s="701">
        <f>RANK(X18,X$7:X$66,0)</f>
        <v>49</v>
      </c>
      <c r="Z18" s="702" t="str">
        <f>IFERROR(INDEX('V1'!C$300:C$400,MATCH("*"&amp;L18&amp;"*",'V1'!B$300:B$400,0)),"  ")</f>
        <v xml:space="preserve">  </v>
      </c>
      <c r="AA18" s="702">
        <f>IFERROR(INDEX('V2'!C$300:C$400,MATCH("*"&amp;L18&amp;"*",'V2'!B$300:B$400,0)),"  ")</f>
        <v>10</v>
      </c>
      <c r="AB18" s="702">
        <f>IFERROR(INDEX('V3'!C$300:C$400,MATCH("*"&amp;L18&amp;"*",'V3'!B$300:B$400,0)),"  ")</f>
        <v>12</v>
      </c>
      <c r="AC18" s="702">
        <f>IFERROR(INDEX('V4'!C$300:C$400,MATCH("*"&amp;L18&amp;"*",'V4'!B$300:B$400,0)),"  ")</f>
        <v>10</v>
      </c>
      <c r="AD18" s="702">
        <f>IFERROR(INDEX('V5'!C$300:C$400,MATCH("*"&amp;L18&amp;"*",'V5'!B$300:B$400,0)),"  ")</f>
        <v>7</v>
      </c>
      <c r="AE18" s="702">
        <f>IFERROR(INDEX('V6'!C$300:C$400,MATCH("*"&amp;L18&amp;"*",'V6'!B$300:B$400,0)),"  ")</f>
        <v>6</v>
      </c>
      <c r="AF18" s="702" t="str">
        <f>IFERROR(INDEX('V7'!C$300:C$400,MATCH("*"&amp;L18&amp;"*",'V7'!B$300:B$400,0)),"  ")</f>
        <v xml:space="preserve">  </v>
      </c>
      <c r="AG18" s="702">
        <f>IFERROR(INDEX('V8'!C$300:C$400,MATCH("*"&amp;L18&amp;"*",'V8'!B$300:B$400,0)),"  ")</f>
        <v>5.5</v>
      </c>
      <c r="AH18" s="702">
        <f>IFERROR(INDEX('V9'!C$300:C$400,MATCH("*"&amp;L18&amp;"*",'V9'!B$300:B$400,0)),"  ")</f>
        <v>9</v>
      </c>
      <c r="AI18" s="702">
        <f>IFERROR(INDEX('V10'!C$300:C$400,MATCH("*"&amp;L18&amp;"*",'V10'!B$300:B$400,0)),"  ")</f>
        <v>14</v>
      </c>
      <c r="AJ18" s="702" t="str">
        <f>IFERROR(INDEX('V11'!C$300:C$400,MATCH("*"&amp;L18&amp;"*",'V11'!B$300:B$400,0)),"  ")</f>
        <v xml:space="preserve">  </v>
      </c>
      <c r="AK18" s="702">
        <f>IFERROR(INDEX('V12'!C$300:C$400,MATCH("*"&amp;L18&amp;"*",'V12'!B$300:B$400,0)),"  ")</f>
        <v>11</v>
      </c>
      <c r="AL18" s="702" t="str">
        <f>IFERROR(INDEX('V13'!C$300:C$400,MATCH("*"&amp;L18&amp;"*",'V13'!B$300:B$400,0)),"  ")</f>
        <v xml:space="preserve">  </v>
      </c>
      <c r="AM18" s="702">
        <f>IFERROR(INDEX('V14'!C$300:C$400,MATCH("*"&amp;L18&amp;"*",'V14'!B$300:B$400,0)),"  ")</f>
        <v>12</v>
      </c>
      <c r="AN18" s="702">
        <f>IFERROR(INDEX('V15'!C$300:C$400,MATCH("*"&amp;L18&amp;"*",'V15'!B$300:B$400,0)),"  ")</f>
        <v>9</v>
      </c>
      <c r="AO18" s="703">
        <f t="shared" si="10"/>
        <v>12</v>
      </c>
      <c r="AP18" s="704" t="str">
        <f>IFERROR("edasi "&amp;RANK(AO18,AO$7:AO$66,1),K18)</f>
        <v>edasi 12</v>
      </c>
      <c r="AQ18" s="705">
        <f>IFERROR(INDEX('V-fin'!A$300:A$401,MATCH("*"&amp;L18&amp;"*",'V-fin'!B$300:B$401,0)),"  ")</f>
        <v>3</v>
      </c>
      <c r="AR18" s="706">
        <f t="shared" si="8"/>
        <v>11</v>
      </c>
      <c r="AS18" s="707">
        <f>IFERROR(IF(Z18+1&gt;LARGE(Z$7:Z$66,1)-2,1),0)+IFERROR(IF(AA18+1&gt;LARGE(AA$7:AA$66,1)-2,1),0)+IFERROR(IF(AB18+1&gt;LARGE(AB$7:AB$66,1)-2,1),0)+IFERROR(IF(AC18+1&gt;LARGE(AC$7:AC$66,1)-2,1),0)+IFERROR(IF(AD18+1&gt;LARGE(AD$7:AD$66,1)-2,1),0)+IFERROR(IF(AE18+1&gt;LARGE(AE$7:AE$66,1)-2,1),0)+IFERROR(IF(AF18+1&gt;LARGE(AF$7:AF$66,1)-2,1),0)+IFERROR(IF(AG18+1&gt;LARGE(AG$7:AG$66,1)-2,1),0)+IFERROR(IF(AH18+1&gt;LARGE(AH$7:AH$66,1)-2,1),0)+IFERROR(IF(AI18+1&gt;LARGE(AI$7:AI$66,1)-2,1),0)+IFERROR(IF(AJ18+1&gt;LARGE(AJ$7:AJ$66,1)-2,1),0)+IFERROR(IF(AK18+1&gt;LARGE(AK$7:AK$66,1)-2,1),0)+IFERROR(IF(AL18+1&gt;LARGE(AL$7:AL$66,1)-2,1),0)+IFERROR(IF(AM18+1&gt;LARGE(AM$7:AM$66,1)-2,1),0)+IFERROR(IF(AN18+1&gt;LARGE(AN$7:AN$66,1)-2,1),0)</f>
        <v>1</v>
      </c>
      <c r="AT18" s="707">
        <f>IF(Z18=0,0,IF(Z18=IFERROR(LARGE(Z$7:Z$66,1),0),1,0))+IF(AA18=0,0,IF(AA18=IFERROR(LARGE(AA$7:AA$66,1),0),1,0))+IF(AB18=0,0,IF(AB18=IFERROR(LARGE(AB$7:AB$66,1),0),1,0))+IF(AC18=0,0,IF(AC18=IFERROR(LARGE(AC$7:AC$66,1),0),1,0))+IF(AD18=0,0,IF(AD18=IFERROR(LARGE(AD$7:AD$66,1),0),1,0))+IF(AE18=0,0,IF(AE18=IFERROR(LARGE(AE$7:AE$66,1),0),1,0))+IF(AF18=0,0,IF(AF18=IFERROR(LARGE(AF$7:AF$66,1),0),1,0))+IF(AG18=0,0,IF(AG18=IFERROR(LARGE(AG$7:AG$66,1),0),1,0))+IF(AH18=0,0,IF(AH18=IFERROR(LARGE(AH$7:AH$66,1),0),1,0))+IF(AI18=0,0,IF(AI18=IFERROR(LARGE(AI$7:AI$66,1),0),1,0))+IF(AJ18=0,0,IF(AJ18=IFERROR(LARGE(AJ$7:AJ$66,1),0),1,0))+IF(AK18=0,0,IF(AK18=IFERROR(LARGE(AK$7:AK$66,1),0),1,0))+IF(AL18=0,0,IF(AL18=IFERROR(LARGE(AL$7:AL$66,1),0),1,0))+IF(AM18=0,0,IF(AM18=IFERROR(LARGE(AM$7:AM$66,1),0),1,0))+IF(AN18=0,0,IF(AN18=IFERROR(LARGE(AN$7:AN$66,1),0),1,0))</f>
        <v>0</v>
      </c>
      <c r="AU18" s="712"/>
      <c r="AV18" s="708">
        <f t="shared" si="11"/>
        <v>1.2999999999999999E-3</v>
      </c>
      <c r="AW18" s="709">
        <f t="shared" si="9"/>
        <v>1E-4</v>
      </c>
      <c r="AX18" s="709">
        <f t="shared" si="9"/>
        <v>10.0002</v>
      </c>
      <c r="AY18" s="709">
        <f t="shared" si="9"/>
        <v>12.000299999999999</v>
      </c>
      <c r="AZ18" s="709">
        <f t="shared" si="9"/>
        <v>10.000400000000001</v>
      </c>
      <c r="BA18" s="709">
        <f t="shared" si="9"/>
        <v>7.0004999999999997</v>
      </c>
      <c r="BB18" s="709">
        <f t="shared" si="9"/>
        <v>6.0006000000000004</v>
      </c>
      <c r="BC18" s="709">
        <f t="shared" si="9"/>
        <v>6.9999999999999999E-4</v>
      </c>
      <c r="BD18" s="709">
        <f t="shared" si="9"/>
        <v>5.5007999999999999</v>
      </c>
      <c r="BE18" s="709">
        <f t="shared" si="9"/>
        <v>9.0008999999999997</v>
      </c>
      <c r="BF18" s="709">
        <f t="shared" si="9"/>
        <v>14.000999999999999</v>
      </c>
      <c r="BG18" s="709">
        <f t="shared" si="9"/>
        <v>1.1000000000000001E-3</v>
      </c>
      <c r="BH18" s="709">
        <f t="shared" si="9"/>
        <v>11.001200000000001</v>
      </c>
      <c r="BI18" s="709">
        <f t="shared" si="9"/>
        <v>1.2999999999999999E-3</v>
      </c>
      <c r="BJ18" s="709">
        <f t="shared" si="9"/>
        <v>12.0014</v>
      </c>
      <c r="BK18" s="709">
        <f t="shared" si="9"/>
        <v>9.0015000000000001</v>
      </c>
      <c r="BL18" s="629"/>
    </row>
    <row r="19" spans="1:64" x14ac:dyDescent="0.2">
      <c r="A19" s="686">
        <f>IF(R19&gt;0,IF(Q19="v",RANK(B19,B$7:B$66,1)-COUNTBLANK(Q$7:Q$66),""),"")</f>
        <v>6</v>
      </c>
      <c r="B19" s="687">
        <f t="shared" si="0"/>
        <v>13</v>
      </c>
      <c r="C19" s="688">
        <f>IF(R19&gt;0,IF(P19="k",RANK(D19,D$7:D$66,1)-COUNTBLANK(P$7:P$66),""),"")</f>
        <v>3</v>
      </c>
      <c r="D19" s="687">
        <f t="shared" si="1"/>
        <v>13</v>
      </c>
      <c r="E19" s="689">
        <f>IF(R19&gt;0,IF(N19="m",RANK(F19,F$7:F$66,1)-COUNTBLANK(N$7:N$66),""),"")</f>
        <v>13</v>
      </c>
      <c r="F19" s="687">
        <f t="shared" si="2"/>
        <v>13</v>
      </c>
      <c r="G19" s="690" t="str">
        <f>IF(R19&gt;0,IF(M19="n",RANK(H19,H$7:H$66,1)-COUNTBLANK(M$7:M$66),""),"")</f>
        <v/>
      </c>
      <c r="H19" s="687">
        <f t="shared" si="3"/>
        <v>-987</v>
      </c>
      <c r="I19" s="691" t="str">
        <f>IF(R19&gt;0,IF(O19="j",RANK(J19,J$7:J$66,1)-COUNTBLANK(O$7:O$66),""),"")</f>
        <v/>
      </c>
      <c r="J19" s="692">
        <f t="shared" si="4"/>
        <v>-987</v>
      </c>
      <c r="K19" s="654">
        <f>IF(R19&gt;0,RANK(U19,U$7:U$66,1),"")</f>
        <v>13</v>
      </c>
      <c r="L19" s="713" t="s">
        <v>278</v>
      </c>
      <c r="M19" s="694"/>
      <c r="N19" s="695" t="str">
        <f t="shared" si="12"/>
        <v>m</v>
      </c>
      <c r="O19" s="696"/>
      <c r="P19" s="697" t="s">
        <v>268</v>
      </c>
      <c r="Q19" s="698" t="s">
        <v>269</v>
      </c>
      <c r="R19" s="699">
        <f>(IF(COUNT(Z19,AA19,AB19,AC19,AD19,AE19,AF19,AG19,AH19,AI19,AJ19,AK19,AL19,AM19,AN19)&lt;11,SUM(Z19,AA19,AB19,AC19,AD19,AE19,AF19,AG19,AH19,AI19,AJ19,AK19,AL19,AM19,AN19),SUM(LARGE((Z19,AA19,AB19,AC19,AD19,AE19,AF19,AG19,AH19,AI19,AJ19,AK19,AL19,AM19,AN19),{1;2;3;4;5;6;7;8;9;10;11}))))</f>
        <v>98.5</v>
      </c>
      <c r="S19" s="700" t="str">
        <f>INDEX(ETAPP!B$1:B$32,MATCH(COUNTIF(Z19:AN19,PVO!A$1),ETAPP!A$1:A$32,0))&amp;INDEX(ETAPP!B$1:B$32,MATCH(COUNTIF(Z19:AN19,PVO!A$2),ETAPP!A$1:A$32,0))&amp;INDEX(ETAPP!B$1:B$32,MATCH(COUNTIF(Z19:AN19,PVO!A$3),ETAPP!A$1:A$32,0))&amp;INDEX(ETAPP!B$1:B$32,MATCH(COUNTIF(Z19:AN19,PVO!A$4),ETAPP!A$1:A$32,0))&amp;INDEX(ETAPP!B$1:B$32,MATCH(COUNTIF(Z19:AN19,PVO!A$5),ETAPP!A$1:A$32,0))&amp;INDEX(ETAPP!B$1:B$32,MATCH(COUNTIF(Z19:AN19,PVO!A$6),ETAPP!A$1:A$32,0))&amp;INDEX(ETAPP!B$1:B$32,MATCH(COUNTIF(Z19:AN19,PVO!A$7),ETAPP!A$1:A$32,0))&amp;INDEX(ETAPP!B$1:B$32,MATCH(COUNTIF(Z19:AN19,PVO!A$8),ETAPP!A$1:A$32,0))&amp;INDEX(ETAPP!B$1:B$32,MATCH(COUNTIF(Z19:AN19,PVO!A$9),ETAPP!A$1:A$32,0))&amp;INDEX(ETAPP!B$1:B$32,MATCH(COUNTIF(Z19:AN19,PVO!A$10),ETAPP!A$1:A$32,0))&amp;INDEX(ETAPP!B$1:B$32,MATCH(COUNTIF(Z19:AN19,PVO!A$11),ETAPP!A$1:A$32,0))&amp;INDEX(ETAPP!B$1:B$32,MATCH(COUNTIF(Z19:AN19,PVO!A$12),ETAPP!A$1:A$32,0))&amp;INDEX(ETAPP!B$1:B$32,MATCH(COUNTIF(Z19:AN19,PVO!A$13),ETAPP!A$1:A$32,0))&amp;INDEX(ETAPP!B$1:B$32,MATCH(COUNTIF(Z19:AN19,PVO!A$14),ETAPP!A$1:A$32,0))&amp;INDEX(ETAPP!B$1:B$32,MATCH(COUNTIF(Z19:AN19,PVO!A$15),ETAPP!A$1:A$32,0))&amp;INDEX(ETAPP!B$1:B$32,MATCH(COUNTIF(Z19:AN19,PVO!A$16),ETAPP!A$1:A$32,0))&amp;INDEX(ETAPP!B$1:B$32,MATCH(COUNTIF(Z19:AN19,PVO!A$17),ETAPP!A$1:A$32,0))&amp;INDEX(ETAPP!B$1:B$32,MATCH(COUNTIF(Z19:AN19,PVO!A$18),ETAPP!A$1:A$32,0))&amp;INDEX(ETAPP!B$1:B$32,MATCH(COUNTIF(Z19:AN19,PVO!A$19),ETAPP!A$1:A$32,0))</f>
        <v>00000AB0AD0B000000C</v>
      </c>
      <c r="T19" s="700" t="str">
        <f t="shared" si="6"/>
        <v>098,5-00000AB0AD0B000000C</v>
      </c>
      <c r="U19" s="700">
        <f>COUNTIF(T$7:T$66,"&gt;="&amp;T19)</f>
        <v>13</v>
      </c>
      <c r="V19" s="700">
        <f>COUNTIF(L$7:L$66,"&gt;="&amp;L19)</f>
        <v>46</v>
      </c>
      <c r="W19" s="700" t="str">
        <f t="shared" si="7"/>
        <v>098,5-00000AB0AD0B000000C-046</v>
      </c>
      <c r="X19" s="700">
        <f>COUNTIF(W$7:W$66,"&gt;="&amp;W19)</f>
        <v>13</v>
      </c>
      <c r="Y19" s="701">
        <f>RANK(X19,X$7:X$66,0)</f>
        <v>48</v>
      </c>
      <c r="Z19" s="702" t="str">
        <f>IFERROR(INDEX('V1'!C$300:C$400,MATCH("*"&amp;L19&amp;"*",'V1'!B$300:B$400,0)),"  ")</f>
        <v xml:space="preserve">  </v>
      </c>
      <c r="AA19" s="702">
        <f>IFERROR(INDEX('V2'!C$300:C$400,MATCH("*"&amp;L19&amp;"*",'V2'!B$300:B$400,0)),"  ")</f>
        <v>9</v>
      </c>
      <c r="AB19" s="702" t="str">
        <f>IFERROR(INDEX('V3'!C$300:C$400,MATCH("*"&amp;L19&amp;"*",'V3'!B$300:B$400,0)),"  ")</f>
        <v xml:space="preserve">  </v>
      </c>
      <c r="AC19" s="702">
        <f>IFERROR(INDEX('V4'!C$300:C$400,MATCH("*"&amp;L19&amp;"*",'V4'!B$300:B$400,0)),"  ")</f>
        <v>11</v>
      </c>
      <c r="AD19" s="702">
        <f>IFERROR(INDEX('V5'!C$300:C$400,MATCH("*"&amp;L19&amp;"*",'V5'!B$300:B$400,0)),"  ")</f>
        <v>8</v>
      </c>
      <c r="AE19" s="702">
        <f>IFERROR(INDEX('V6'!C$300:C$400,MATCH("*"&amp;L19&amp;"*",'V6'!B$300:B$400,0)),"  ")</f>
        <v>11.5</v>
      </c>
      <c r="AF19" s="702">
        <f>IFERROR(INDEX('V7'!C$300:C$400,MATCH("*"&amp;L19&amp;"*",'V7'!B$300:B$400,0)),"  ")</f>
        <v>6</v>
      </c>
      <c r="AG19" s="702">
        <f>IFERROR(INDEX('V8'!C$300:C$400,MATCH("*"&amp;L19&amp;"*",'V8'!B$300:B$400,0)),"  ")</f>
        <v>5.5</v>
      </c>
      <c r="AH19" s="702">
        <f>IFERROR(INDEX('V9'!C$300:C$400,MATCH("*"&amp;L19&amp;"*",'V9'!B$300:B$400,0)),"  ")</f>
        <v>8</v>
      </c>
      <c r="AI19" s="702">
        <f>IFERROR(INDEX('V10'!C$300:C$400,MATCH("*"&amp;L19&amp;"*",'V10'!B$300:B$400,0)),"  ")</f>
        <v>8</v>
      </c>
      <c r="AJ19" s="702">
        <f>IFERROR(INDEX('V11'!C$300:C$400,MATCH("*"&amp;L19&amp;"*",'V11'!B$300:B$400,0)),"  ")</f>
        <v>6</v>
      </c>
      <c r="AK19" s="702">
        <f>IFERROR(INDEX('V12'!C$300:C$400,MATCH("*"&amp;L19&amp;"*",'V12'!B$300:B$400,0)),"  ")</f>
        <v>12</v>
      </c>
      <c r="AL19" s="702">
        <f>IFERROR(INDEX('V13'!C$300:C$400,MATCH("*"&amp;L19&amp;"*",'V13'!B$300:B$400,0)),"  ")</f>
        <v>11</v>
      </c>
      <c r="AM19" s="702">
        <f>IFERROR(INDEX('V14'!C$300:C$400,MATCH("*"&amp;L19&amp;"*",'V14'!B$300:B$400,0)),"  ")</f>
        <v>8</v>
      </c>
      <c r="AN19" s="702" t="str">
        <f>IFERROR(INDEX('V15'!C$300:C$400,MATCH("*"&amp;L19&amp;"*",'V15'!B$300:B$400,0)),"  ")</f>
        <v xml:space="preserve">  </v>
      </c>
      <c r="AO19" s="703">
        <f t="shared" si="10"/>
        <v>13</v>
      </c>
      <c r="AP19" s="704" t="str">
        <f>IFERROR("edasi "&amp;RANK(AO19,AO$7:AO$66,1),K19)</f>
        <v>edasi 13</v>
      </c>
      <c r="AQ19" s="705" t="str">
        <f>IFERROR(INDEX('V-fin'!A$300:A$401,MATCH("*"&amp;L19&amp;"*",'V-fin'!B$300:B$401,0)),"  ")</f>
        <v xml:space="preserve">  </v>
      </c>
      <c r="AR19" s="706">
        <f t="shared" si="8"/>
        <v>12</v>
      </c>
      <c r="AS19" s="707">
        <f>IFERROR(IF(Z19+1&gt;LARGE(Z$7:Z$66,1)-2,1),0)+IFERROR(IF(AA19+1&gt;LARGE(AA$7:AA$66,1)-2,1),0)+IFERROR(IF(AB19+1&gt;LARGE(AB$7:AB$66,1)-2,1),0)+IFERROR(IF(AC19+1&gt;LARGE(AC$7:AC$66,1)-2,1),0)+IFERROR(IF(AD19+1&gt;LARGE(AD$7:AD$66,1)-2,1),0)+IFERROR(IF(AE19+1&gt;LARGE(AE$7:AE$66,1)-2,1),0)+IFERROR(IF(AF19+1&gt;LARGE(AF$7:AF$66,1)-2,1),0)+IFERROR(IF(AG19+1&gt;LARGE(AG$7:AG$66,1)-2,1),0)+IFERROR(IF(AH19+1&gt;LARGE(AH$7:AH$66,1)-2,1),0)+IFERROR(IF(AI19+1&gt;LARGE(AI$7:AI$66,1)-2,1),0)+IFERROR(IF(AJ19+1&gt;LARGE(AJ$7:AJ$66,1)-2,1),0)+IFERROR(IF(AK19+1&gt;LARGE(AK$7:AK$66,1)-2,1),0)+IFERROR(IF(AL19+1&gt;LARGE(AL$7:AL$66,1)-2,1),0)+IFERROR(IF(AM19+1&gt;LARGE(AM$7:AM$66,1)-2,1),0)+IFERROR(IF(AN19+1&gt;LARGE(AN$7:AN$66,1)-2,1),0)</f>
        <v>0</v>
      </c>
      <c r="AT19" s="707">
        <f>IF(Z19=0,0,IF(Z19=IFERROR(LARGE(Z$7:Z$66,1),0),1,0))+IF(AA19=0,0,IF(AA19=IFERROR(LARGE(AA$7:AA$66,1),0),1,0))+IF(AB19=0,0,IF(AB19=IFERROR(LARGE(AB$7:AB$66,1),0),1,0))+IF(AC19=0,0,IF(AC19=IFERROR(LARGE(AC$7:AC$66,1),0),1,0))+IF(AD19=0,0,IF(AD19=IFERROR(LARGE(AD$7:AD$66,1),0),1,0))+IF(AE19=0,0,IF(AE19=IFERROR(LARGE(AE$7:AE$66,1),0),1,0))+IF(AF19=0,0,IF(AF19=IFERROR(LARGE(AF$7:AF$66,1),0),1,0))+IF(AG19=0,0,IF(AG19=IFERROR(LARGE(AG$7:AG$66,1),0),1,0))+IF(AH19=0,0,IF(AH19=IFERROR(LARGE(AH$7:AH$66,1),0),1,0))+IF(AI19=0,0,IF(AI19=IFERROR(LARGE(AI$7:AI$66,1),0),1,0))+IF(AJ19=0,0,IF(AJ19=IFERROR(LARGE(AJ$7:AJ$66,1),0),1,0))+IF(AK19=0,0,IF(AK19=IFERROR(LARGE(AK$7:AK$66,1),0),1,0))+IF(AL19=0,0,IF(AL19=IFERROR(LARGE(AL$7:AL$66,1),0),1,0))+IF(AM19=0,0,IF(AM19=IFERROR(LARGE(AM$7:AM$66,1),0),1,0))+IF(AN19=0,0,IF(AN19=IFERROR(LARGE(AN$7:AN$66,1),0),1,0))</f>
        <v>0</v>
      </c>
      <c r="AU19" s="712"/>
      <c r="AV19" s="708">
        <f t="shared" si="11"/>
        <v>5.5007999999999999</v>
      </c>
      <c r="AW19" s="709">
        <f t="shared" si="9"/>
        <v>1E-4</v>
      </c>
      <c r="AX19" s="709">
        <f t="shared" si="9"/>
        <v>9.0001999999999995</v>
      </c>
      <c r="AY19" s="709">
        <f t="shared" si="9"/>
        <v>2.9999999999999997E-4</v>
      </c>
      <c r="AZ19" s="709">
        <f t="shared" si="9"/>
        <v>11.000400000000001</v>
      </c>
      <c r="BA19" s="709">
        <f t="shared" si="9"/>
        <v>8.0005000000000006</v>
      </c>
      <c r="BB19" s="709">
        <f t="shared" si="9"/>
        <v>11.5006</v>
      </c>
      <c r="BC19" s="709">
        <f t="shared" si="9"/>
        <v>6.0007000000000001</v>
      </c>
      <c r="BD19" s="709">
        <f t="shared" si="9"/>
        <v>5.5007999999999999</v>
      </c>
      <c r="BE19" s="709">
        <f t="shared" si="9"/>
        <v>8.0008999999999997</v>
      </c>
      <c r="BF19" s="709">
        <f t="shared" si="9"/>
        <v>8.0009999999999994</v>
      </c>
      <c r="BG19" s="709">
        <f t="shared" si="9"/>
        <v>6.0011000000000001</v>
      </c>
      <c r="BH19" s="709">
        <f t="shared" si="9"/>
        <v>12.001200000000001</v>
      </c>
      <c r="BI19" s="709">
        <f t="shared" si="9"/>
        <v>11.001300000000001</v>
      </c>
      <c r="BJ19" s="709">
        <f t="shared" si="9"/>
        <v>8.0014000000000003</v>
      </c>
      <c r="BK19" s="709">
        <f t="shared" si="9"/>
        <v>1.5E-3</v>
      </c>
      <c r="BL19" s="629"/>
    </row>
    <row r="20" spans="1:64" x14ac:dyDescent="0.2">
      <c r="A20" s="686" t="str">
        <f>IF(R20&gt;0,IF(Q20="v",RANK(B20,B$7:B$66,1)-COUNTBLANK(Q$7:Q$66),""),"")</f>
        <v/>
      </c>
      <c r="B20" s="687">
        <f t="shared" si="0"/>
        <v>-986</v>
      </c>
      <c r="C20" s="688" t="str">
        <f>IF(R20&gt;0,IF(P20="k",RANK(D20,D$7:D$66,1)-COUNTBLANK(P$7:P$66),""),"")</f>
        <v/>
      </c>
      <c r="D20" s="687">
        <f t="shared" si="1"/>
        <v>-986</v>
      </c>
      <c r="E20" s="689" t="str">
        <f>IF(R20&gt;0,IF(N20="m",RANK(F20,F$7:F$66,1)-COUNTBLANK(N$7:N$66),""),"")</f>
        <v/>
      </c>
      <c r="F20" s="687">
        <f t="shared" si="2"/>
        <v>-986</v>
      </c>
      <c r="G20" s="690">
        <f>IF(R20&gt;0,IF(M20="n",RANK(H20,H$7:H$66,1)-COUNTBLANK(M$7:M$66),""),"")</f>
        <v>1</v>
      </c>
      <c r="H20" s="687">
        <f t="shared" si="3"/>
        <v>14</v>
      </c>
      <c r="I20" s="691" t="str">
        <f>IF(R20&gt;0,IF(O20="j",RANK(J20,J$7:J$66,1)-COUNTBLANK(O$7:O$66),""),"")</f>
        <v/>
      </c>
      <c r="J20" s="692">
        <f t="shared" si="4"/>
        <v>-986</v>
      </c>
      <c r="K20" s="654">
        <f>IF(R20&gt;0,RANK(U20,U$7:U$66,1),"")</f>
        <v>14</v>
      </c>
      <c r="L20" s="711" t="s">
        <v>279</v>
      </c>
      <c r="M20" s="694" t="s">
        <v>280</v>
      </c>
      <c r="N20" s="695" t="str">
        <f t="shared" si="12"/>
        <v/>
      </c>
      <c r="O20" s="696"/>
      <c r="P20" s="697"/>
      <c r="Q20" s="698"/>
      <c r="R20" s="699">
        <f>(IF(COUNT(Z20,AA20,AB20,AC20,AD20,AE20,AF20,AG20,AH20,AI20,AJ20,AK20,AL20,AM20,AN20)&lt;11,SUM(Z20,AA20,AB20,AC20,AD20,AE20,AF20,AG20,AH20,AI20,AJ20,AK20,AL20,AM20,AN20),SUM(LARGE((Z20,AA20,AB20,AC20,AD20,AE20,AF20,AG20,AH20,AI20,AJ20,AK20,AL20,AM20,AN20),{1;2;3;4;5;6;7;8;9;10;11}))))</f>
        <v>97.5</v>
      </c>
      <c r="S20" s="700" t="str">
        <f>INDEX(ETAPP!B$1:B$32,MATCH(COUNTIF(Z20:AN20,PVO!A$1),ETAPP!A$1:A$32,0))&amp;INDEX(ETAPP!B$1:B$32,MATCH(COUNTIF(Z20:AN20,PVO!A$2),ETAPP!A$1:A$32,0))&amp;INDEX(ETAPP!B$1:B$32,MATCH(COUNTIF(Z20:AN20,PVO!A$3),ETAPP!A$1:A$32,0))&amp;INDEX(ETAPP!B$1:B$32,MATCH(COUNTIF(Z20:AN20,PVO!A$4),ETAPP!A$1:A$32,0))&amp;INDEX(ETAPP!B$1:B$32,MATCH(COUNTIF(Z20:AN20,PVO!A$5),ETAPP!A$1:A$32,0))&amp;INDEX(ETAPP!B$1:B$32,MATCH(COUNTIF(Z20:AN20,PVO!A$6),ETAPP!A$1:A$32,0))&amp;INDEX(ETAPP!B$1:B$32,MATCH(COUNTIF(Z20:AN20,PVO!A$7),ETAPP!A$1:A$32,0))&amp;INDEX(ETAPP!B$1:B$32,MATCH(COUNTIF(Z20:AN20,PVO!A$8),ETAPP!A$1:A$32,0))&amp;INDEX(ETAPP!B$1:B$32,MATCH(COUNTIF(Z20:AN20,PVO!A$9),ETAPP!A$1:A$32,0))&amp;INDEX(ETAPP!B$1:B$32,MATCH(COUNTIF(Z20:AN20,PVO!A$10),ETAPP!A$1:A$32,0))&amp;INDEX(ETAPP!B$1:B$32,MATCH(COUNTIF(Z20:AN20,PVO!A$11),ETAPP!A$1:A$32,0))&amp;INDEX(ETAPP!B$1:B$32,MATCH(COUNTIF(Z20:AN20,PVO!A$12),ETAPP!A$1:A$32,0))&amp;INDEX(ETAPP!B$1:B$32,MATCH(COUNTIF(Z20:AN20,PVO!A$13),ETAPP!A$1:A$32,0))&amp;INDEX(ETAPP!B$1:B$32,MATCH(COUNTIF(Z20:AN20,PVO!A$14),ETAPP!A$1:A$32,0))&amp;INDEX(ETAPP!B$1:B$32,MATCH(COUNTIF(Z20:AN20,PVO!A$15),ETAPP!A$1:A$32,0))&amp;INDEX(ETAPP!B$1:B$32,MATCH(COUNTIF(Z20:AN20,PVO!A$16),ETAPP!A$1:A$32,0))&amp;INDEX(ETAPP!B$1:B$32,MATCH(COUNTIF(Z20:AN20,PVO!A$17),ETAPP!A$1:A$32,0))&amp;INDEX(ETAPP!B$1:B$32,MATCH(COUNTIF(Z20:AN20,PVO!A$18),ETAPP!A$1:A$32,0))&amp;INDEX(ETAPP!B$1:B$32,MATCH(COUNTIF(Z20:AN20,PVO!A$19),ETAPP!A$1:A$32,0))</f>
        <v>0000B0B0AAAC0B0000B</v>
      </c>
      <c r="T20" s="700" t="str">
        <f t="shared" si="6"/>
        <v>097,5-0000B0B0AAAC0B0000B</v>
      </c>
      <c r="U20" s="700">
        <f>COUNTIF(T$7:T$66,"&gt;="&amp;T20)</f>
        <v>14</v>
      </c>
      <c r="V20" s="700">
        <f>COUNTIF(L$7:L$66,"&gt;="&amp;L20)</f>
        <v>35</v>
      </c>
      <c r="W20" s="700" t="str">
        <f t="shared" si="7"/>
        <v>097,5-0000B0B0AAAC0B0000B-035</v>
      </c>
      <c r="X20" s="700">
        <f>COUNTIF(W$7:W$66,"&gt;="&amp;W20)</f>
        <v>14</v>
      </c>
      <c r="Y20" s="701">
        <f>RANK(X20,X$7:X$66,0)</f>
        <v>47</v>
      </c>
      <c r="Z20" s="702" t="str">
        <f>IFERROR(INDEX('V1'!C$300:C$400,MATCH("*"&amp;L20&amp;"*",'V1'!B$300:B$400,0)),"  ")</f>
        <v xml:space="preserve">  </v>
      </c>
      <c r="AA20" s="702">
        <f>IFERROR(INDEX('V2'!C$300:C$400,MATCH("*"&amp;L20&amp;"*",'V2'!B$300:B$400,0)),"  ")</f>
        <v>11</v>
      </c>
      <c r="AB20" s="702">
        <f>IFERROR(INDEX('V3'!C$300:C$400,MATCH("*"&amp;L20&amp;"*",'V3'!B$300:B$400,0)),"  ")</f>
        <v>6</v>
      </c>
      <c r="AC20" s="702">
        <f>IFERROR(INDEX('V4'!C$300:C$400,MATCH("*"&amp;L20&amp;"*",'V4'!B$300:B$400,0)),"  ")</f>
        <v>9</v>
      </c>
      <c r="AD20" s="702">
        <f>IFERROR(INDEX('V5'!C$300:C$400,MATCH("*"&amp;L20&amp;"*",'V5'!B$300:B$400,0)),"  ")</f>
        <v>4</v>
      </c>
      <c r="AE20" s="702" t="str">
        <f>IFERROR(INDEX('V6'!C$300:C$400,MATCH("*"&amp;L20&amp;"*",'V6'!B$300:B$400,0)),"  ")</f>
        <v xml:space="preserve">  </v>
      </c>
      <c r="AF20" s="702">
        <f>IFERROR(INDEX('V7'!C$300:C$400,MATCH("*"&amp;L20&amp;"*",'V7'!B$300:B$400,0)),"  ")</f>
        <v>8</v>
      </c>
      <c r="AG20" s="702">
        <f>IFERROR(INDEX('V8'!C$300:C$400,MATCH("*"&amp;L20&amp;"*",'V8'!B$300:B$400,0)),"  ")</f>
        <v>7.5</v>
      </c>
      <c r="AH20" s="702">
        <f>IFERROR(INDEX('V9'!C$300:C$400,MATCH("*"&amp;L20&amp;"*",'V9'!B$300:B$400,0)),"  ")</f>
        <v>7</v>
      </c>
      <c r="AI20" s="702">
        <f>IFERROR(INDEX('V10'!C$300:C$400,MATCH("*"&amp;L20&amp;"*",'V10'!B$300:B$400,0)),"  ")</f>
        <v>11</v>
      </c>
      <c r="AJ20" s="702">
        <f>IFERROR(INDEX('V11'!C$300:C$400,MATCH("*"&amp;L20&amp;"*",'V11'!B$300:B$400,0)),"  ")</f>
        <v>6</v>
      </c>
      <c r="AK20" s="702">
        <f>IFERROR(INDEX('V12'!C$300:C$400,MATCH("*"&amp;L20&amp;"*",'V12'!B$300:B$400,0)),"  ")</f>
        <v>6</v>
      </c>
      <c r="AL20" s="702">
        <f>IFERROR(INDEX('V13'!C$300:C$400,MATCH("*"&amp;L20&amp;"*",'V13'!B$300:B$400,0)),"  ")</f>
        <v>13</v>
      </c>
      <c r="AM20" s="702">
        <f>IFERROR(INDEX('V14'!C$300:C$400,MATCH("*"&amp;L20&amp;"*",'V14'!B$300:B$400,0)),"  ")</f>
        <v>4</v>
      </c>
      <c r="AN20" s="702">
        <f>IFERROR(INDEX('V15'!C$300:C$400,MATCH("*"&amp;L20&amp;"*",'V15'!B$300:B$400,0)),"  ")</f>
        <v>13</v>
      </c>
      <c r="AO20" s="703">
        <f t="shared" si="10"/>
        <v>14</v>
      </c>
      <c r="AP20" s="704" t="str">
        <f>IFERROR("edasi "&amp;RANK(AO20,AO$7:AO$66,1),K20)</f>
        <v>edasi 14</v>
      </c>
      <c r="AQ20" s="705">
        <f>IFERROR(INDEX('V-fin'!A$300:A$401,MATCH("*"&amp;L20&amp;"*",'V-fin'!B$300:B$401,0)),"  ")</f>
        <v>8</v>
      </c>
      <c r="AR20" s="706">
        <f t="shared" si="8"/>
        <v>13</v>
      </c>
      <c r="AS20" s="707">
        <f>IFERROR(IF(Z20+1&gt;LARGE(Z$7:Z$66,1)-2,1),0)+IFERROR(IF(AA20+1&gt;LARGE(AA$7:AA$66,1)-2,1),0)+IFERROR(IF(AB20+1&gt;LARGE(AB$7:AB$66,1)-2,1),0)+IFERROR(IF(AC20+1&gt;LARGE(AC$7:AC$66,1)-2,1),0)+IFERROR(IF(AD20+1&gt;LARGE(AD$7:AD$66,1)-2,1),0)+IFERROR(IF(AE20+1&gt;LARGE(AE$7:AE$66,1)-2,1),0)+IFERROR(IF(AF20+1&gt;LARGE(AF$7:AF$66,1)-2,1),0)+IFERROR(IF(AG20+1&gt;LARGE(AG$7:AG$66,1)-2,1),0)+IFERROR(IF(AH20+1&gt;LARGE(AH$7:AH$66,1)-2,1),0)+IFERROR(IF(AI20+1&gt;LARGE(AI$7:AI$66,1)-2,1),0)+IFERROR(IF(AJ20+1&gt;LARGE(AJ$7:AJ$66,1)-2,1),0)+IFERROR(IF(AK20+1&gt;LARGE(AK$7:AK$66,1)-2,1),0)+IFERROR(IF(AL20+1&gt;LARGE(AL$7:AL$66,1)-2,1),0)+IFERROR(IF(AM20+1&gt;LARGE(AM$7:AM$66,1)-2,1),0)+IFERROR(IF(AN20+1&gt;LARGE(AN$7:AN$66,1)-2,1),0)</f>
        <v>2</v>
      </c>
      <c r="AT20" s="707">
        <f>IF(Z20=0,0,IF(Z20=IFERROR(LARGE(Z$7:Z$66,1),0),1,0))+IF(AA20=0,0,IF(AA20=IFERROR(LARGE(AA$7:AA$66,1),0),1,0))+IF(AB20=0,0,IF(AB20=IFERROR(LARGE(AB$7:AB$66,1),0),1,0))+IF(AC20=0,0,IF(AC20=IFERROR(LARGE(AC$7:AC$66,1),0),1,0))+IF(AD20=0,0,IF(AD20=IFERROR(LARGE(AD$7:AD$66,1),0),1,0))+IF(AE20=0,0,IF(AE20=IFERROR(LARGE(AE$7:AE$66,1),0),1,0))+IF(AF20=0,0,IF(AF20=IFERROR(LARGE(AF$7:AF$66,1),0),1,0))+IF(AG20=0,0,IF(AG20=IFERROR(LARGE(AG$7:AG$66,1),0),1,0))+IF(AH20=0,0,IF(AH20=IFERROR(LARGE(AH$7:AH$66,1),0),1,0))+IF(AI20=0,0,IF(AI20=IFERROR(LARGE(AI$7:AI$66,1),0),1,0))+IF(AJ20=0,0,IF(AJ20=IFERROR(LARGE(AJ$7:AJ$66,1),0),1,0))+IF(AK20=0,0,IF(AK20=IFERROR(LARGE(AK$7:AK$66,1),0),1,0))+IF(AL20=0,0,IF(AL20=IFERROR(LARGE(AL$7:AL$66,1),0),1,0))+IF(AM20=0,0,IF(AM20=IFERROR(LARGE(AM$7:AM$66,1),0),1,0))+IF(AN20=0,0,IF(AN20=IFERROR(LARGE(AN$7:AN$66,1),0),1,0))</f>
        <v>0</v>
      </c>
      <c r="AU20" s="712"/>
      <c r="AV20" s="708">
        <f t="shared" si="11"/>
        <v>4.0014000000000003</v>
      </c>
      <c r="AW20" s="709">
        <f t="shared" si="9"/>
        <v>1E-4</v>
      </c>
      <c r="AX20" s="709">
        <f t="shared" si="9"/>
        <v>11.0002</v>
      </c>
      <c r="AY20" s="709">
        <f t="shared" si="9"/>
        <v>6.0003000000000002</v>
      </c>
      <c r="AZ20" s="709">
        <f t="shared" si="9"/>
        <v>9.0004000000000008</v>
      </c>
      <c r="BA20" s="709">
        <f t="shared" si="9"/>
        <v>4.0004999999999997</v>
      </c>
      <c r="BB20" s="709">
        <f t="shared" si="9"/>
        <v>5.9999999999999995E-4</v>
      </c>
      <c r="BC20" s="709">
        <f t="shared" si="9"/>
        <v>8.0007000000000001</v>
      </c>
      <c r="BD20" s="709">
        <f t="shared" si="9"/>
        <v>7.5007999999999999</v>
      </c>
      <c r="BE20" s="709">
        <f t="shared" si="9"/>
        <v>7.0008999999999997</v>
      </c>
      <c r="BF20" s="709">
        <f t="shared" si="9"/>
        <v>11.000999999999999</v>
      </c>
      <c r="BG20" s="709">
        <f t="shared" si="9"/>
        <v>6.0011000000000001</v>
      </c>
      <c r="BH20" s="709">
        <f t="shared" si="9"/>
        <v>6.0011999999999999</v>
      </c>
      <c r="BI20" s="709">
        <f t="shared" si="9"/>
        <v>13.001300000000001</v>
      </c>
      <c r="BJ20" s="709">
        <f t="shared" si="9"/>
        <v>4.0014000000000003</v>
      </c>
      <c r="BK20" s="709">
        <f t="shared" si="9"/>
        <v>13.0015</v>
      </c>
      <c r="BL20" s="629"/>
    </row>
    <row r="21" spans="1:64" x14ac:dyDescent="0.2">
      <c r="A21" s="686">
        <f>IF(R21&gt;0,IF(Q21="v",RANK(B21,B$7:B$66,1)-COUNTBLANK(Q$7:Q$66),""),"")</f>
        <v>7</v>
      </c>
      <c r="B21" s="687">
        <f t="shared" si="0"/>
        <v>15</v>
      </c>
      <c r="C21" s="688">
        <f>IF(R21&gt;0,IF(P21="k",RANK(D21,D$7:D$66,1)-COUNTBLANK(P$7:P$66),""),"")</f>
        <v>4</v>
      </c>
      <c r="D21" s="687">
        <f t="shared" si="1"/>
        <v>15</v>
      </c>
      <c r="E21" s="689">
        <f>IF(R21&gt;0,IF(N21="m",RANK(F21,F$7:F$66,1)-COUNTBLANK(N$7:N$66),""),"")</f>
        <v>14</v>
      </c>
      <c r="F21" s="687">
        <f t="shared" si="2"/>
        <v>15</v>
      </c>
      <c r="G21" s="690" t="str">
        <f>IF(R21&gt;0,IF(M21="n",RANK(H21,H$7:H$66,1)-COUNTBLANK(M$7:M$66),""),"")</f>
        <v/>
      </c>
      <c r="H21" s="687">
        <f t="shared" si="3"/>
        <v>-985</v>
      </c>
      <c r="I21" s="691" t="str">
        <f>IF(R21&gt;0,IF(O21="j",RANK(J21,J$7:J$66,1)-COUNTBLANK(O$7:O$66),""),"")</f>
        <v/>
      </c>
      <c r="J21" s="692">
        <f t="shared" si="4"/>
        <v>-985</v>
      </c>
      <c r="K21" s="654">
        <f>IF(R21&gt;0,RANK(U21,U$7:U$66,1),"")</f>
        <v>15</v>
      </c>
      <c r="L21" s="713" t="s">
        <v>50</v>
      </c>
      <c r="M21" s="694"/>
      <c r="N21" s="695" t="str">
        <f t="shared" si="12"/>
        <v>m</v>
      </c>
      <c r="O21" s="696"/>
      <c r="P21" s="697" t="s">
        <v>268</v>
      </c>
      <c r="Q21" s="698" t="s">
        <v>269</v>
      </c>
      <c r="R21" s="699">
        <f>(IF(COUNT(Z21,AA21,AB21,AC21,AD21,AE21,AF21,AG21,AH21,AI21,AJ21,AK21,AL21,AM21,AN21)&lt;11,SUM(Z21,AA21,AB21,AC21,AD21,AE21,AF21,AG21,AH21,AI21,AJ21,AK21,AL21,AM21,AN21),SUM(LARGE((Z21,AA21,AB21,AC21,AD21,AE21,AF21,AG21,AH21,AI21,AJ21,AK21,AL21,AM21,AN21),{1;2;3;4;5;6;7;8;9;10;11}))))</f>
        <v>94</v>
      </c>
      <c r="S21" s="700" t="str">
        <f>INDEX(ETAPP!B$1:B$32,MATCH(COUNTIF(Z21:AN21,PVO!A$1),ETAPP!A$1:A$32,0))&amp;INDEX(ETAPP!B$1:B$32,MATCH(COUNTIF(Z21:AN21,PVO!A$2),ETAPP!A$1:A$32,0))&amp;INDEX(ETAPP!B$1:B$32,MATCH(COUNTIF(Z21:AN21,PVO!A$3),ETAPP!A$1:A$32,0))&amp;INDEX(ETAPP!B$1:B$32,MATCH(COUNTIF(Z21:AN21,PVO!A$4),ETAPP!A$1:A$32,0))&amp;INDEX(ETAPP!B$1:B$32,MATCH(COUNTIF(Z21:AN21,PVO!A$5),ETAPP!A$1:A$32,0))&amp;INDEX(ETAPP!B$1:B$32,MATCH(COUNTIF(Z21:AN21,PVO!A$6),ETAPP!A$1:A$32,0))&amp;INDEX(ETAPP!B$1:B$32,MATCH(COUNTIF(Z21:AN21,PVO!A$7),ETAPP!A$1:A$32,0))&amp;INDEX(ETAPP!B$1:B$32,MATCH(COUNTIF(Z21:AN21,PVO!A$8),ETAPP!A$1:A$32,0))&amp;INDEX(ETAPP!B$1:B$32,MATCH(COUNTIF(Z21:AN21,PVO!A$9),ETAPP!A$1:A$32,0))&amp;INDEX(ETAPP!B$1:B$32,MATCH(COUNTIF(Z21:AN21,PVO!A$10),ETAPP!A$1:A$32,0))&amp;INDEX(ETAPP!B$1:B$32,MATCH(COUNTIF(Z21:AN21,PVO!A$11),ETAPP!A$1:A$32,0))&amp;INDEX(ETAPP!B$1:B$32,MATCH(COUNTIF(Z21:AN21,PVO!A$12),ETAPP!A$1:A$32,0))&amp;INDEX(ETAPP!B$1:B$32,MATCH(COUNTIF(Z21:AN21,PVO!A$13),ETAPP!A$1:A$32,0))&amp;INDEX(ETAPP!B$1:B$32,MATCH(COUNTIF(Z21:AN21,PVO!A$14),ETAPP!A$1:A$32,0))&amp;INDEX(ETAPP!B$1:B$32,MATCH(COUNTIF(Z21:AN21,PVO!A$15),ETAPP!A$1:A$32,0))&amp;INDEX(ETAPP!B$1:B$32,MATCH(COUNTIF(Z21:AN21,PVO!A$16),ETAPP!A$1:A$32,0))&amp;INDEX(ETAPP!B$1:B$32,MATCH(COUNTIF(Z21:AN21,PVO!A$17),ETAPP!A$1:A$32,0))&amp;INDEX(ETAPP!B$1:B$32,MATCH(COUNTIF(Z21:AN21,PVO!A$18),ETAPP!A$1:A$32,0))&amp;INDEX(ETAPP!B$1:B$32,MATCH(COUNTIF(Z21:AN21,PVO!A$19),ETAPP!A$1:A$32,0))</f>
        <v>00AAA0A0BBA0000000F</v>
      </c>
      <c r="T21" s="700" t="str">
        <f t="shared" si="6"/>
        <v>094,0-00AAA0A0BBA0000000F</v>
      </c>
      <c r="U21" s="700">
        <f>COUNTIF(T$7:T$66,"&gt;="&amp;T21)</f>
        <v>15</v>
      </c>
      <c r="V21" s="700">
        <f>COUNTIF(L$7:L$66,"&gt;="&amp;L21)</f>
        <v>41</v>
      </c>
      <c r="W21" s="700" t="str">
        <f t="shared" si="7"/>
        <v>094,0-00AAA0A0BBA0000000F-041</v>
      </c>
      <c r="X21" s="700">
        <f>COUNTIF(W$7:W$66,"&gt;="&amp;W21)</f>
        <v>15</v>
      </c>
      <c r="Y21" s="701">
        <f>RANK(X21,X$7:X$66,0)</f>
        <v>46</v>
      </c>
      <c r="Z21" s="702" t="str">
        <f>IFERROR(INDEX('V1'!C$300:C$400,MATCH("*"&amp;L21&amp;"*",'V1'!B$300:B$400,0)),"  ")</f>
        <v xml:space="preserve">  </v>
      </c>
      <c r="AA21" s="702">
        <f>IFERROR(INDEX('V2'!C$300:C$400,MATCH("*"&amp;L21&amp;"*",'V2'!B$300:B$400,0)),"  ")</f>
        <v>7</v>
      </c>
      <c r="AB21" s="702">
        <f>IFERROR(INDEX('V3'!C$300:C$400,MATCH("*"&amp;L21&amp;"*",'V3'!B$300:B$400,0)),"  ")</f>
        <v>8</v>
      </c>
      <c r="AC21" s="702">
        <f>IFERROR(INDEX('V4'!C$300:C$400,MATCH("*"&amp;L21&amp;"*",'V4'!B$300:B$400,0)),"  ")</f>
        <v>13</v>
      </c>
      <c r="AD21" s="702">
        <f>IFERROR(INDEX('V5'!C$300:C$400,MATCH("*"&amp;L21&amp;"*",'V5'!B$300:B$400,0)),"  ")</f>
        <v>14</v>
      </c>
      <c r="AE21" s="702">
        <f>IFERROR(INDEX('V6'!C$300:C$400,MATCH("*"&amp;L21&amp;"*",'V6'!B$300:B$400,0)),"  ")</f>
        <v>9</v>
      </c>
      <c r="AF21" s="702">
        <f>IFERROR(INDEX('V7'!C$300:C$400,MATCH("*"&amp;L21&amp;"*",'V7'!B$300:B$400,0)),"  ")</f>
        <v>8</v>
      </c>
      <c r="AG21" s="702" t="str">
        <f>IFERROR(INDEX('V8'!C$300:C$400,MATCH("*"&amp;L21&amp;"*",'V8'!B$300:B$400,0)),"  ")</f>
        <v xml:space="preserve">  </v>
      </c>
      <c r="AH21" s="702" t="str">
        <f>IFERROR(INDEX('V9'!C$300:C$400,MATCH("*"&amp;L21&amp;"*",'V9'!B$300:B$400,0)),"  ")</f>
        <v xml:space="preserve">  </v>
      </c>
      <c r="AI21" s="702">
        <f>IFERROR(INDEX('V10'!C$300:C$400,MATCH("*"&amp;L21&amp;"*",'V10'!B$300:B$400,0)),"  ")</f>
        <v>9</v>
      </c>
      <c r="AJ21" s="702" t="str">
        <f>IFERROR(INDEX('V11'!C$300:C$400,MATCH("*"&amp;L21&amp;"*",'V11'!B$300:B$400,0)),"  ")</f>
        <v xml:space="preserve">  </v>
      </c>
      <c r="AK21" s="702" t="str">
        <f>IFERROR(INDEX('V12'!C$300:C$400,MATCH("*"&amp;L21&amp;"*",'V12'!B$300:B$400,0)),"  ")</f>
        <v xml:space="preserve">  </v>
      </c>
      <c r="AL21" s="702" t="str">
        <f>IFERROR(INDEX('V13'!C$300:C$400,MATCH("*"&amp;L21&amp;"*",'V13'!B$300:B$400,0)),"  ")</f>
        <v xml:space="preserve">  </v>
      </c>
      <c r="AM21" s="702">
        <f>IFERROR(INDEX('V14'!C$300:C$400,MATCH("*"&amp;L21&amp;"*",'V14'!B$300:B$400,0)),"  ")</f>
        <v>11</v>
      </c>
      <c r="AN21" s="702">
        <f>IFERROR(INDEX('V15'!C$300:C$400,MATCH("*"&amp;L21&amp;"*",'V15'!B$300:B$400,0)),"  ")</f>
        <v>15</v>
      </c>
      <c r="AO21" s="703">
        <f t="shared" si="10"/>
        <v>15</v>
      </c>
      <c r="AP21" s="704" t="str">
        <f>IFERROR("edasi "&amp;RANK(AO21,AO$7:AO$66,1),K21)</f>
        <v>edasi 15</v>
      </c>
      <c r="AQ21" s="705" t="str">
        <f>IFERROR(INDEX('V-fin'!A$300:A$401,MATCH("*"&amp;L21&amp;"*",'V-fin'!B$300:B$401,0)),"  ")</f>
        <v xml:space="preserve">  </v>
      </c>
      <c r="AR21" s="706">
        <f t="shared" si="8"/>
        <v>9</v>
      </c>
      <c r="AS21" s="707">
        <f>IFERROR(IF(Z21+1&gt;LARGE(Z$7:Z$66,1)-2,1),0)+IFERROR(IF(AA21+1&gt;LARGE(AA$7:AA$66,1)-2,1),0)+IFERROR(IF(AB21+1&gt;LARGE(AB$7:AB$66,1)-2,1),0)+IFERROR(IF(AC21+1&gt;LARGE(AC$7:AC$66,1)-2,1),0)+IFERROR(IF(AD21+1&gt;LARGE(AD$7:AD$66,1)-2,1),0)+IFERROR(IF(AE21+1&gt;LARGE(AE$7:AE$66,1)-2,1),0)+IFERROR(IF(AF21+1&gt;LARGE(AF$7:AF$66,1)-2,1),0)+IFERROR(IF(AG21+1&gt;LARGE(AG$7:AG$66,1)-2,1),0)+IFERROR(IF(AH21+1&gt;LARGE(AH$7:AH$66,1)-2,1),0)+IFERROR(IF(AI21+1&gt;LARGE(AI$7:AI$66,1)-2,1),0)+IFERROR(IF(AJ21+1&gt;LARGE(AJ$7:AJ$66,1)-2,1),0)+IFERROR(IF(AK21+1&gt;LARGE(AK$7:AK$66,1)-2,1),0)+IFERROR(IF(AL21+1&gt;LARGE(AL$7:AL$66,1)-2,1),0)+IFERROR(IF(AM21+1&gt;LARGE(AM$7:AM$66,1)-2,1),0)+IFERROR(IF(AN21+1&gt;LARGE(AN$7:AN$66,1)-2,1),0)</f>
        <v>3</v>
      </c>
      <c r="AT21" s="707">
        <f>IF(Z21=0,0,IF(Z21=IFERROR(LARGE(Z$7:Z$66,1),0),1,0))+IF(AA21=0,0,IF(AA21=IFERROR(LARGE(AA$7:AA$66,1),0),1,0))+IF(AB21=0,0,IF(AB21=IFERROR(LARGE(AB$7:AB$66,1),0),1,0))+IF(AC21=0,0,IF(AC21=IFERROR(LARGE(AC$7:AC$66,1),0),1,0))+IF(AD21=0,0,IF(AD21=IFERROR(LARGE(AD$7:AD$66,1),0),1,0))+IF(AE21=0,0,IF(AE21=IFERROR(LARGE(AE$7:AE$66,1),0),1,0))+IF(AF21=0,0,IF(AF21=IFERROR(LARGE(AF$7:AF$66,1),0),1,0))+IF(AG21=0,0,IF(AG21=IFERROR(LARGE(AG$7:AG$66,1),0),1,0))+IF(AH21=0,0,IF(AH21=IFERROR(LARGE(AH$7:AH$66,1),0),1,0))+IF(AI21=0,0,IF(AI21=IFERROR(LARGE(AI$7:AI$66,1),0),1,0))+IF(AJ21=0,0,IF(AJ21=IFERROR(LARGE(AJ$7:AJ$66,1),0),1,0))+IF(AK21=0,0,IF(AK21=IFERROR(LARGE(AK$7:AK$66,1),0),1,0))+IF(AL21=0,0,IF(AL21=IFERROR(LARGE(AL$7:AL$66,1),0),1,0))+IF(AM21=0,0,IF(AM21=IFERROR(LARGE(AM$7:AM$66,1),0),1,0))+IF(AN21=0,0,IF(AN21=IFERROR(LARGE(AN$7:AN$66,1),0),1,0))</f>
        <v>1</v>
      </c>
      <c r="AU21" s="712"/>
      <c r="AV21" s="708">
        <f t="shared" si="11"/>
        <v>1.1000000000000001E-3</v>
      </c>
      <c r="AW21" s="709">
        <f t="shared" si="9"/>
        <v>1E-4</v>
      </c>
      <c r="AX21" s="709">
        <f t="shared" si="9"/>
        <v>7.0002000000000004</v>
      </c>
      <c r="AY21" s="709">
        <f t="shared" si="9"/>
        <v>8.0002999999999993</v>
      </c>
      <c r="AZ21" s="709">
        <f t="shared" si="9"/>
        <v>13.000400000000001</v>
      </c>
      <c r="BA21" s="709">
        <f t="shared" si="9"/>
        <v>14.000500000000001</v>
      </c>
      <c r="BB21" s="709">
        <f t="shared" si="9"/>
        <v>9.0006000000000004</v>
      </c>
      <c r="BC21" s="709">
        <f t="shared" si="9"/>
        <v>8.0007000000000001</v>
      </c>
      <c r="BD21" s="709">
        <f t="shared" si="9"/>
        <v>8.0000000000000004E-4</v>
      </c>
      <c r="BE21" s="709">
        <f t="shared" si="9"/>
        <v>8.9999999999999998E-4</v>
      </c>
      <c r="BF21" s="709">
        <f t="shared" si="9"/>
        <v>9.0009999999999994</v>
      </c>
      <c r="BG21" s="709">
        <f t="shared" si="9"/>
        <v>1.1000000000000001E-3</v>
      </c>
      <c r="BH21" s="709">
        <f t="shared" si="9"/>
        <v>1.1999999999999999E-3</v>
      </c>
      <c r="BI21" s="709">
        <f t="shared" si="9"/>
        <v>1.2999999999999999E-3</v>
      </c>
      <c r="BJ21" s="709">
        <f t="shared" si="9"/>
        <v>11.0014</v>
      </c>
      <c r="BK21" s="709">
        <f t="shared" si="9"/>
        <v>15.0015</v>
      </c>
      <c r="BL21" s="629"/>
    </row>
    <row r="22" spans="1:64" x14ac:dyDescent="0.2">
      <c r="A22" s="686">
        <f>IF(R22&gt;0,IF(Q22="v",RANK(B22,B$7:B$66,1)-COUNTBLANK(Q$7:Q$66),""),"")</f>
        <v>8</v>
      </c>
      <c r="B22" s="687">
        <f t="shared" si="0"/>
        <v>16</v>
      </c>
      <c r="C22" s="688">
        <f>IF(R22&gt;0,IF(P22="k",RANK(D22,D$7:D$66,1)-COUNTBLANK(P$7:P$66),""),"")</f>
        <v>5</v>
      </c>
      <c r="D22" s="687">
        <f t="shared" si="1"/>
        <v>16</v>
      </c>
      <c r="E22" s="689">
        <f>IF(R22&gt;0,IF(N22="m",RANK(F22,F$7:F$66,1)-COUNTBLANK(N$7:N$66),""),"")</f>
        <v>15</v>
      </c>
      <c r="F22" s="687">
        <f t="shared" si="2"/>
        <v>16</v>
      </c>
      <c r="G22" s="690" t="str">
        <f>IF(R22&gt;0,IF(M22="n",RANK(H22,H$7:H$66,1)-COUNTBLANK(M$7:M$66),""),"")</f>
        <v/>
      </c>
      <c r="H22" s="687">
        <f t="shared" si="3"/>
        <v>-984</v>
      </c>
      <c r="I22" s="691" t="str">
        <f>IF(R22&gt;0,IF(O22="j",RANK(J22,J$7:J$66,1)-COUNTBLANK(O$7:O$66),""),"")</f>
        <v/>
      </c>
      <c r="J22" s="692">
        <f t="shared" si="4"/>
        <v>-984</v>
      </c>
      <c r="K22" s="654">
        <f>IF(R22&gt;0,RANK(U22,U$7:U$66,1),"")</f>
        <v>16</v>
      </c>
      <c r="L22" s="713" t="s">
        <v>281</v>
      </c>
      <c r="M22" s="694"/>
      <c r="N22" s="695" t="str">
        <f t="shared" si="12"/>
        <v>m</v>
      </c>
      <c r="O22" s="696"/>
      <c r="P22" s="697" t="s">
        <v>268</v>
      </c>
      <c r="Q22" s="698" t="s">
        <v>269</v>
      </c>
      <c r="R22" s="699">
        <f>(IF(COUNT(Z22,AA22,AB22,AC22,AD22,AE22,AF22,AG22,AH22,AI22,AJ22,AK22,AL22,AM22,AN22)&lt;11,SUM(Z22,AA22,AB22,AC22,AD22,AE22,AF22,AG22,AH22,AI22,AJ22,AK22,AL22,AM22,AN22),SUM(LARGE((Z22,AA22,AB22,AC22,AD22,AE22,AF22,AG22,AH22,AI22,AJ22,AK22,AL22,AM22,AN22),{1;2;3;4;5;6;7;8;9;10;11}))))</f>
        <v>92</v>
      </c>
      <c r="S22" s="700" t="str">
        <f>INDEX(ETAPP!B$1:B$32,MATCH(COUNTIF(Z22:AN22,PVO!A$1),ETAPP!A$1:A$32,0))&amp;INDEX(ETAPP!B$1:B$32,MATCH(COUNTIF(Z22:AN22,PVO!A$2),ETAPP!A$1:A$32,0))&amp;INDEX(ETAPP!B$1:B$32,MATCH(COUNTIF(Z22:AN22,PVO!A$3),ETAPP!A$1:A$32,0))&amp;INDEX(ETAPP!B$1:B$32,MATCH(COUNTIF(Z22:AN22,PVO!A$4),ETAPP!A$1:A$32,0))&amp;INDEX(ETAPP!B$1:B$32,MATCH(COUNTIF(Z22:AN22,PVO!A$5),ETAPP!A$1:A$32,0))&amp;INDEX(ETAPP!B$1:B$32,MATCH(COUNTIF(Z22:AN22,PVO!A$6),ETAPP!A$1:A$32,0))&amp;INDEX(ETAPP!B$1:B$32,MATCH(COUNTIF(Z22:AN22,PVO!A$7),ETAPP!A$1:A$32,0))&amp;INDEX(ETAPP!B$1:B$32,MATCH(COUNTIF(Z22:AN22,PVO!A$8),ETAPP!A$1:A$32,0))&amp;INDEX(ETAPP!B$1:B$32,MATCH(COUNTIF(Z22:AN22,PVO!A$9),ETAPP!A$1:A$32,0))&amp;INDEX(ETAPP!B$1:B$32,MATCH(COUNTIF(Z22:AN22,PVO!A$10),ETAPP!A$1:A$32,0))&amp;INDEX(ETAPP!B$1:B$32,MATCH(COUNTIF(Z22:AN22,PVO!A$11),ETAPP!A$1:A$32,0))&amp;INDEX(ETAPP!B$1:B$32,MATCH(COUNTIF(Z22:AN22,PVO!A$12),ETAPP!A$1:A$32,0))&amp;INDEX(ETAPP!B$1:B$32,MATCH(COUNTIF(Z22:AN22,PVO!A$13),ETAPP!A$1:A$32,0))&amp;INDEX(ETAPP!B$1:B$32,MATCH(COUNTIF(Z22:AN22,PVO!A$14),ETAPP!A$1:A$32,0))&amp;INDEX(ETAPP!B$1:B$32,MATCH(COUNTIF(Z22:AN22,PVO!A$15),ETAPP!A$1:A$32,0))&amp;INDEX(ETAPP!B$1:B$32,MATCH(COUNTIF(Z22:AN22,PVO!A$16),ETAPP!A$1:A$32,0))&amp;INDEX(ETAPP!B$1:B$32,MATCH(COUNTIF(Z22:AN22,PVO!A$17),ETAPP!A$1:A$32,0))&amp;INDEX(ETAPP!B$1:B$32,MATCH(COUNTIF(Z22:AN22,PVO!A$18),ETAPP!A$1:A$32,0))&amp;INDEX(ETAPP!B$1:B$32,MATCH(COUNTIF(Z22:AN22,PVO!A$19),ETAPP!A$1:A$32,0))</f>
        <v>0000AAA0AC0A000000E</v>
      </c>
      <c r="T22" s="700" t="str">
        <f t="shared" si="6"/>
        <v>092,0-0000AAA0AC0A000000E</v>
      </c>
      <c r="U22" s="700">
        <f>COUNTIF(T$7:T$66,"&gt;="&amp;T22)</f>
        <v>16</v>
      </c>
      <c r="V22" s="700">
        <f>COUNTIF(L$7:L$66,"&gt;="&amp;L22)</f>
        <v>44</v>
      </c>
      <c r="W22" s="700" t="str">
        <f t="shared" si="7"/>
        <v>092,0-0000AAA0AC0A000000E-044</v>
      </c>
      <c r="X22" s="700">
        <f>COUNTIF(W$7:W$66,"&gt;="&amp;W22)</f>
        <v>16</v>
      </c>
      <c r="Y22" s="701">
        <f>RANK(X22,X$7:X$66,0)</f>
        <v>45</v>
      </c>
      <c r="Z22" s="702" t="str">
        <f>IFERROR(INDEX('V1'!C$300:C$400,MATCH("*"&amp;L22&amp;"*",'V1'!B$300:B$400,0)),"  ")</f>
        <v xml:space="preserve">  </v>
      </c>
      <c r="AA22" s="702">
        <f>IFERROR(INDEX('V2'!C$300:C$400,MATCH("*"&amp;L22&amp;"*",'V2'!B$300:B$400,0)),"  ")</f>
        <v>9</v>
      </c>
      <c r="AB22" s="702" t="str">
        <f>IFERROR(INDEX('V3'!C$300:C$400,MATCH("*"&amp;L22&amp;"*",'V3'!B$300:B$400,0)),"  ")</f>
        <v xml:space="preserve">  </v>
      </c>
      <c r="AC22" s="702">
        <f>IFERROR(INDEX('V4'!C$300:C$400,MATCH("*"&amp;L22&amp;"*",'V4'!B$300:B$400,0)),"  ")</f>
        <v>11</v>
      </c>
      <c r="AD22" s="702">
        <f>IFERROR(INDEX('V5'!C$300:C$400,MATCH("*"&amp;L22&amp;"*",'V5'!B$300:B$400,0)),"  ")</f>
        <v>8</v>
      </c>
      <c r="AE22" s="702">
        <f>IFERROR(INDEX('V6'!C$300:C$400,MATCH("*"&amp;L22&amp;"*",'V6'!B$300:B$400,0)),"  ")</f>
        <v>11.5</v>
      </c>
      <c r="AF22" s="702">
        <f>IFERROR(INDEX('V7'!C$300:C$400,MATCH("*"&amp;L22&amp;"*",'V7'!B$300:B$400,0)),"  ")</f>
        <v>6</v>
      </c>
      <c r="AG22" s="702">
        <f>IFERROR(INDEX('V8'!C$300:C$400,MATCH("*"&amp;L22&amp;"*",'V8'!B$300:B$400,0)),"  ")</f>
        <v>5.5</v>
      </c>
      <c r="AH22" s="702">
        <f>IFERROR(INDEX('V9'!C$300:C$400,MATCH("*"&amp;L22&amp;"*",'V9'!B$300:B$400,0)),"  ")</f>
        <v>8</v>
      </c>
      <c r="AI22" s="702">
        <f>IFERROR(INDEX('V10'!C$300:C$400,MATCH("*"&amp;L22&amp;"*",'V10'!B$300:B$400,0)),"  ")</f>
        <v>8</v>
      </c>
      <c r="AJ22" s="702" t="str">
        <f>IFERROR(INDEX('V11'!C$300:C$400,MATCH("*"&amp;L22&amp;"*",'V11'!B$300:B$400,0)),"  ")</f>
        <v xml:space="preserve">  </v>
      </c>
      <c r="AK22" s="702">
        <f>IFERROR(INDEX('V12'!C$300:C$400,MATCH("*"&amp;L22&amp;"*",'V12'!B$300:B$400,0)),"  ")</f>
        <v>12</v>
      </c>
      <c r="AL22" s="702" t="str">
        <f>IFERROR(INDEX('V13'!C$300:C$400,MATCH("*"&amp;L22&amp;"*",'V13'!B$300:B$400,0)),"  ")</f>
        <v xml:space="preserve">  </v>
      </c>
      <c r="AM22" s="702" t="str">
        <f>IFERROR(INDEX('V14'!C$300:C$400,MATCH("*"&amp;L22&amp;"*",'V14'!B$300:B$400,0)),"  ")</f>
        <v xml:space="preserve">  </v>
      </c>
      <c r="AN22" s="702">
        <f>IFERROR(INDEX('V15'!C$300:C$400,MATCH("*"&amp;L22&amp;"*",'V15'!B$300:B$400,0)),"  ")</f>
        <v>13</v>
      </c>
      <c r="AO22" s="703">
        <f t="shared" si="10"/>
        <v>16</v>
      </c>
      <c r="AP22" s="704" t="str">
        <f>IFERROR("edasi "&amp;RANK(AO22,AO$7:AO$66,1),K22)</f>
        <v>edasi 16</v>
      </c>
      <c r="AQ22" s="705">
        <f>IFERROR(INDEX('V-fin'!A$300:A$401,MATCH("*"&amp;L22&amp;"*",'V-fin'!B$300:B$401,0)),"  ")</f>
        <v>1</v>
      </c>
      <c r="AR22" s="706">
        <f t="shared" si="8"/>
        <v>10</v>
      </c>
      <c r="AS22" s="707">
        <f>IFERROR(IF(Z22+1&gt;LARGE(Z$7:Z$66,1)-2,1),0)+IFERROR(IF(AA22+1&gt;LARGE(AA$7:AA$66,1)-2,1),0)+IFERROR(IF(AB22+1&gt;LARGE(AB$7:AB$66,1)-2,1),0)+IFERROR(IF(AC22+1&gt;LARGE(AC$7:AC$66,1)-2,1),0)+IFERROR(IF(AD22+1&gt;LARGE(AD$7:AD$66,1)-2,1),0)+IFERROR(IF(AE22+1&gt;LARGE(AE$7:AE$66,1)-2,1),0)+IFERROR(IF(AF22+1&gt;LARGE(AF$7:AF$66,1)-2,1),0)+IFERROR(IF(AG22+1&gt;LARGE(AG$7:AG$66,1)-2,1),0)+IFERROR(IF(AH22+1&gt;LARGE(AH$7:AH$66,1)-2,1),0)+IFERROR(IF(AI22+1&gt;LARGE(AI$7:AI$66,1)-2,1),0)+IFERROR(IF(AJ22+1&gt;LARGE(AJ$7:AJ$66,1)-2,1),0)+IFERROR(IF(AK22+1&gt;LARGE(AK$7:AK$66,1)-2,1),0)+IFERROR(IF(AL22+1&gt;LARGE(AL$7:AL$66,1)-2,1),0)+IFERROR(IF(AM22+1&gt;LARGE(AM$7:AM$66,1)-2,1),0)+IFERROR(IF(AN22+1&gt;LARGE(AN$7:AN$66,1)-2,1),0)</f>
        <v>1</v>
      </c>
      <c r="AT22" s="707">
        <f>IF(Z22=0,0,IF(Z22=IFERROR(LARGE(Z$7:Z$66,1),0),1,0))+IF(AA22=0,0,IF(AA22=IFERROR(LARGE(AA$7:AA$66,1),0),1,0))+IF(AB22=0,0,IF(AB22=IFERROR(LARGE(AB$7:AB$66,1),0),1,0))+IF(AC22=0,0,IF(AC22=IFERROR(LARGE(AC$7:AC$66,1),0),1,0))+IF(AD22=0,0,IF(AD22=IFERROR(LARGE(AD$7:AD$66,1),0),1,0))+IF(AE22=0,0,IF(AE22=IFERROR(LARGE(AE$7:AE$66,1),0),1,0))+IF(AF22=0,0,IF(AF22=IFERROR(LARGE(AF$7:AF$66,1),0),1,0))+IF(AG22=0,0,IF(AG22=IFERROR(LARGE(AG$7:AG$66,1),0),1,0))+IF(AH22=0,0,IF(AH22=IFERROR(LARGE(AH$7:AH$66,1),0),1,0))+IF(AI22=0,0,IF(AI22=IFERROR(LARGE(AI$7:AI$66,1),0),1,0))+IF(AJ22=0,0,IF(AJ22=IFERROR(LARGE(AJ$7:AJ$66,1),0),1,0))+IF(AK22=0,0,IF(AK22=IFERROR(LARGE(AK$7:AK$66,1),0),1,0))+IF(AL22=0,0,IF(AL22=IFERROR(LARGE(AL$7:AL$66,1),0),1,0))+IF(AM22=0,0,IF(AM22=IFERROR(LARGE(AM$7:AM$66,1),0),1,0))+IF(AN22=0,0,IF(AN22=IFERROR(LARGE(AN$7:AN$66,1),0),1,0))</f>
        <v>0</v>
      </c>
      <c r="AU22" s="712"/>
      <c r="AV22" s="708">
        <f t="shared" si="11"/>
        <v>1.2999999999999999E-3</v>
      </c>
      <c r="AW22" s="709">
        <f t="shared" si="9"/>
        <v>1E-4</v>
      </c>
      <c r="AX22" s="709">
        <f t="shared" si="9"/>
        <v>9.0001999999999995</v>
      </c>
      <c r="AY22" s="709">
        <f t="shared" si="9"/>
        <v>2.9999999999999997E-4</v>
      </c>
      <c r="AZ22" s="709">
        <f t="shared" si="9"/>
        <v>11.000400000000001</v>
      </c>
      <c r="BA22" s="709">
        <f t="shared" si="9"/>
        <v>8.0005000000000006</v>
      </c>
      <c r="BB22" s="709">
        <f t="shared" si="9"/>
        <v>11.5006</v>
      </c>
      <c r="BC22" s="709">
        <f t="shared" si="9"/>
        <v>6.0007000000000001</v>
      </c>
      <c r="BD22" s="709">
        <f t="shared" si="9"/>
        <v>5.5007999999999999</v>
      </c>
      <c r="BE22" s="709">
        <f t="shared" si="9"/>
        <v>8.0008999999999997</v>
      </c>
      <c r="BF22" s="709">
        <f t="shared" si="9"/>
        <v>8.0009999999999994</v>
      </c>
      <c r="BG22" s="709">
        <f t="shared" si="9"/>
        <v>1.1000000000000001E-3</v>
      </c>
      <c r="BH22" s="709">
        <f t="shared" si="9"/>
        <v>12.001200000000001</v>
      </c>
      <c r="BI22" s="709">
        <f t="shared" si="9"/>
        <v>1.2999999999999999E-3</v>
      </c>
      <c r="BJ22" s="709">
        <f t="shared" si="9"/>
        <v>1.4E-3</v>
      </c>
      <c r="BK22" s="709">
        <f t="shared" si="9"/>
        <v>13.0015</v>
      </c>
      <c r="BL22" s="629"/>
    </row>
    <row r="23" spans="1:64" x14ac:dyDescent="0.2">
      <c r="A23" s="686">
        <f>IF(R23&gt;0,IF(Q23="v",RANK(B23,B$7:B$66,1)-COUNTBLANK(Q$7:Q$66),""),"")</f>
        <v>9</v>
      </c>
      <c r="B23" s="687">
        <f t="shared" si="0"/>
        <v>17</v>
      </c>
      <c r="C23" s="688">
        <f>IF(R23&gt;0,IF(P23="k",RANK(D23,D$7:D$66,1)-COUNTBLANK(P$7:P$66),""),"")</f>
        <v>6</v>
      </c>
      <c r="D23" s="687">
        <f t="shared" si="1"/>
        <v>17</v>
      </c>
      <c r="E23" s="689">
        <f>IF(R23&gt;0,IF(N23="m",RANK(F23,F$7:F$66,1)-COUNTBLANK(N$7:N$66),""),"")</f>
        <v>16</v>
      </c>
      <c r="F23" s="687">
        <f t="shared" si="2"/>
        <v>17</v>
      </c>
      <c r="G23" s="690" t="str">
        <f>IF(R23&gt;0,IF(M23="n",RANK(H23,H$7:H$66,1)-COUNTBLANK(M$7:M$66),""),"")</f>
        <v/>
      </c>
      <c r="H23" s="687">
        <f t="shared" si="3"/>
        <v>-983</v>
      </c>
      <c r="I23" s="691" t="str">
        <f>IF(R23&gt;0,IF(O23="j",RANK(J23,J$7:J$66,1)-COUNTBLANK(O$7:O$66),""),"")</f>
        <v/>
      </c>
      <c r="J23" s="692">
        <f t="shared" si="4"/>
        <v>-983</v>
      </c>
      <c r="K23" s="654">
        <f>IF(R23&gt;0,RANK(U23,U$7:U$66,1),"")</f>
        <v>17</v>
      </c>
      <c r="L23" s="713" t="s">
        <v>282</v>
      </c>
      <c r="M23" s="694"/>
      <c r="N23" s="695" t="str">
        <f t="shared" si="12"/>
        <v>m</v>
      </c>
      <c r="O23" s="696"/>
      <c r="P23" s="697" t="s">
        <v>268</v>
      </c>
      <c r="Q23" s="698" t="s">
        <v>269</v>
      </c>
      <c r="R23" s="699">
        <f>(IF(COUNT(Z23,AA23,AB23,AC23,AD23,AE23,AF23,AG23,AH23,AI23,AJ23,AK23,AL23,AM23,AN23)&lt;11,SUM(Z23,AA23,AB23,AC23,AD23,AE23,AF23,AG23,AH23,AI23,AJ23,AK23,AL23,AM23,AN23),SUM(LARGE((Z23,AA23,AB23,AC23,AD23,AE23,AF23,AG23,AH23,AI23,AJ23,AK23,AL23,AM23,AN23),{1;2;3;4;5;6;7;8;9;10;11}))))</f>
        <v>88</v>
      </c>
      <c r="S23" s="700" t="str">
        <f>INDEX(ETAPP!B$1:B$32,MATCH(COUNTIF(Z23:AN23,PVO!A$1),ETAPP!A$1:A$32,0))&amp;INDEX(ETAPP!B$1:B$32,MATCH(COUNTIF(Z23:AN23,PVO!A$2),ETAPP!A$1:A$32,0))&amp;INDEX(ETAPP!B$1:B$32,MATCH(COUNTIF(Z23:AN23,PVO!A$3),ETAPP!A$1:A$32,0))&amp;INDEX(ETAPP!B$1:B$32,MATCH(COUNTIF(Z23:AN23,PVO!A$4),ETAPP!A$1:A$32,0))&amp;INDEX(ETAPP!B$1:B$32,MATCH(COUNTIF(Z23:AN23,PVO!A$5),ETAPP!A$1:A$32,0))&amp;INDEX(ETAPP!B$1:B$32,MATCH(COUNTIF(Z23:AN23,PVO!A$6),ETAPP!A$1:A$32,0))&amp;INDEX(ETAPP!B$1:B$32,MATCH(COUNTIF(Z23:AN23,PVO!A$7),ETAPP!A$1:A$32,0))&amp;INDEX(ETAPP!B$1:B$32,MATCH(COUNTIF(Z23:AN23,PVO!A$8),ETAPP!A$1:A$32,0))&amp;INDEX(ETAPP!B$1:B$32,MATCH(COUNTIF(Z23:AN23,PVO!A$9),ETAPP!A$1:A$32,0))&amp;INDEX(ETAPP!B$1:B$32,MATCH(COUNTIF(Z23:AN23,PVO!A$10),ETAPP!A$1:A$32,0))&amp;INDEX(ETAPP!B$1:B$32,MATCH(COUNTIF(Z23:AN23,PVO!A$11),ETAPP!A$1:A$32,0))&amp;INDEX(ETAPP!B$1:B$32,MATCH(COUNTIF(Z23:AN23,PVO!A$12),ETAPP!A$1:A$32,0))&amp;INDEX(ETAPP!B$1:B$32,MATCH(COUNTIF(Z23:AN23,PVO!A$13),ETAPP!A$1:A$32,0))&amp;INDEX(ETAPP!B$1:B$32,MATCH(COUNTIF(Z23:AN23,PVO!A$14),ETAPP!A$1:A$32,0))&amp;INDEX(ETAPP!B$1:B$32,MATCH(COUNTIF(Z23:AN23,PVO!A$15),ETAPP!A$1:A$32,0))&amp;INDEX(ETAPP!B$1:B$32,MATCH(COUNTIF(Z23:AN23,PVO!A$16),ETAPP!A$1:A$32,0))&amp;INDEX(ETAPP!B$1:B$32,MATCH(COUNTIF(Z23:AN23,PVO!A$17),ETAPP!A$1:A$32,0))&amp;INDEX(ETAPP!B$1:B$32,MATCH(COUNTIF(Z23:AN23,PVO!A$18),ETAPP!A$1:A$32,0))&amp;INDEX(ETAPP!B$1:B$32,MATCH(COUNTIF(Z23:AN23,PVO!A$19),ETAPP!A$1:A$32,0))</f>
        <v>00A00B0000AADBB0000</v>
      </c>
      <c r="T23" s="700" t="str">
        <f t="shared" si="6"/>
        <v>088,0-00A00B0000AADBB0000</v>
      </c>
      <c r="U23" s="700">
        <f>COUNTIF(T$7:T$66,"&gt;="&amp;T23)</f>
        <v>17</v>
      </c>
      <c r="V23" s="700">
        <f>COUNTIF(L$7:L$66,"&gt;="&amp;L23)</f>
        <v>51</v>
      </c>
      <c r="W23" s="700" t="str">
        <f t="shared" si="7"/>
        <v>088,0-00A00B0000AADBB0000-051</v>
      </c>
      <c r="X23" s="700">
        <f>COUNTIF(W$7:W$66,"&gt;="&amp;W23)</f>
        <v>17</v>
      </c>
      <c r="Y23" s="701">
        <f>RANK(X23,X$7:X$66,0)</f>
        <v>44</v>
      </c>
      <c r="Z23" s="702">
        <f>IFERROR(INDEX('V1'!C$300:C$400,MATCH("*"&amp;L23&amp;"*",'V1'!B$300:B$400,0)),"  ")</f>
        <v>12</v>
      </c>
      <c r="AA23" s="702">
        <f>IFERROR(INDEX('V2'!C$300:C$400,MATCH("*"&amp;L23&amp;"*",'V2'!B$300:B$400,0)),"  ")</f>
        <v>3</v>
      </c>
      <c r="AB23" s="702">
        <f>IFERROR(INDEX('V3'!C$300:C$400,MATCH("*"&amp;L23&amp;"*",'V3'!B$300:B$400,0)),"  ")</f>
        <v>5</v>
      </c>
      <c r="AC23" s="702">
        <f>IFERROR(INDEX('V4'!C$300:C$400,MATCH("*"&amp;L23&amp;"*",'V4'!B$300:B$400,0)),"  ")</f>
        <v>6.5</v>
      </c>
      <c r="AD23" s="702">
        <f>IFERROR(INDEX('V5'!C$300:C$400,MATCH("*"&amp;L23&amp;"*",'V5'!B$300:B$400,0)),"  ")</f>
        <v>6</v>
      </c>
      <c r="AE23" s="702">
        <f>IFERROR(INDEX('V6'!C$300:C$400,MATCH("*"&amp;L23&amp;"*",'V6'!B$300:B$400,0)),"  ")</f>
        <v>7</v>
      </c>
      <c r="AF23" s="702">
        <f>IFERROR(INDEX('V7'!C$300:C$400,MATCH("*"&amp;L23&amp;"*",'V7'!B$300:B$400,0)),"  ")</f>
        <v>9.5</v>
      </c>
      <c r="AG23" s="702">
        <f>IFERROR(INDEX('V8'!C$300:C$400,MATCH("*"&amp;L23&amp;"*",'V8'!B$300:B$400,0)),"  ")</f>
        <v>3</v>
      </c>
      <c r="AH23" s="702">
        <f>IFERROR(INDEX('V9'!C$300:C$400,MATCH("*"&amp;L23&amp;"*",'V9'!B$300:B$400,0)),"  ")</f>
        <v>4</v>
      </c>
      <c r="AI23" s="702">
        <f>IFERROR(INDEX('V10'!C$300:C$400,MATCH("*"&amp;L23&amp;"*",'V10'!B$300:B$400,0)),"  ")</f>
        <v>5</v>
      </c>
      <c r="AJ23" s="702">
        <f>IFERROR(INDEX('V11'!C$300:C$400,MATCH("*"&amp;L23&amp;"*",'V11'!B$300:B$400,0)),"  ")</f>
        <v>5</v>
      </c>
      <c r="AK23" s="702">
        <f>IFERROR(INDEX('V12'!C$300:C$400,MATCH("*"&amp;L23&amp;"*",'V12'!B$300:B$400,0)),"  ")</f>
        <v>4</v>
      </c>
      <c r="AL23" s="702">
        <f>IFERROR(INDEX('V13'!C$300:C$400,MATCH("*"&amp;L23&amp;"*",'V13'!B$300:B$400,0)),"  ")</f>
        <v>12</v>
      </c>
      <c r="AM23" s="702">
        <f>IFERROR(INDEX('V14'!C$300:C$400,MATCH("*"&amp;L23&amp;"*",'V14'!B$300:B$400,0)),"  ")</f>
        <v>5</v>
      </c>
      <c r="AN23" s="702">
        <f>IFERROR(INDEX('V15'!C$300:C$400,MATCH("*"&amp;L23&amp;"*",'V15'!B$300:B$400,0)),"  ")</f>
        <v>15</v>
      </c>
      <c r="AO23" s="703">
        <f t="shared" si="10"/>
        <v>17</v>
      </c>
      <c r="AP23" s="704" t="str">
        <f>IFERROR("edasi "&amp;RANK(AO23,AO$7:AO$66,1),K23)</f>
        <v>edasi 17</v>
      </c>
      <c r="AQ23" s="705">
        <f>IFERROR(INDEX('V-fin'!A$300:A$401,MATCH("*"&amp;L23&amp;"*",'V-fin'!B$300:B$401,0)),"  ")</f>
        <v>7</v>
      </c>
      <c r="AR23" s="706">
        <f t="shared" si="8"/>
        <v>15</v>
      </c>
      <c r="AS23" s="707">
        <f>IFERROR(IF(Z23+1&gt;LARGE(Z$7:Z$66,1)-2,1),0)+IFERROR(IF(AA23+1&gt;LARGE(AA$7:AA$66,1)-2,1),0)+IFERROR(IF(AB23+1&gt;LARGE(AB$7:AB$66,1)-2,1),0)+IFERROR(IF(AC23+1&gt;LARGE(AC$7:AC$66,1)-2,1),0)+IFERROR(IF(AD23+1&gt;LARGE(AD$7:AD$66,1)-2,1),0)+IFERROR(IF(AE23+1&gt;LARGE(AE$7:AE$66,1)-2,1),0)+IFERROR(IF(AF23+1&gt;LARGE(AF$7:AF$66,1)-2,1),0)+IFERROR(IF(AG23+1&gt;LARGE(AG$7:AG$66,1)-2,1),0)+IFERROR(IF(AH23+1&gt;LARGE(AH$7:AH$66,1)-2,1),0)+IFERROR(IF(AI23+1&gt;LARGE(AI$7:AI$66,1)-2,1),0)+IFERROR(IF(AJ23+1&gt;LARGE(AJ$7:AJ$66,1)-2,1),0)+IFERROR(IF(AK23+1&gt;LARGE(AK$7:AK$66,1)-2,1),0)+IFERROR(IF(AL23+1&gt;LARGE(AL$7:AL$66,1)-2,1),0)+IFERROR(IF(AM23+1&gt;LARGE(AM$7:AM$66,1)-2,1),0)+IFERROR(IF(AN23+1&gt;LARGE(AN$7:AN$66,1)-2,1),0)</f>
        <v>1</v>
      </c>
      <c r="AT23" s="707">
        <f>IF(Z23=0,0,IF(Z23=IFERROR(LARGE(Z$7:Z$66,1),0),1,0))+IF(AA23=0,0,IF(AA23=IFERROR(LARGE(AA$7:AA$66,1),0),1,0))+IF(AB23=0,0,IF(AB23=IFERROR(LARGE(AB$7:AB$66,1),0),1,0))+IF(AC23=0,0,IF(AC23=IFERROR(LARGE(AC$7:AC$66,1),0),1,0))+IF(AD23=0,0,IF(AD23=IFERROR(LARGE(AD$7:AD$66,1),0),1,0))+IF(AE23=0,0,IF(AE23=IFERROR(LARGE(AE$7:AE$66,1),0),1,0))+IF(AF23=0,0,IF(AF23=IFERROR(LARGE(AF$7:AF$66,1),0),1,0))+IF(AG23=0,0,IF(AG23=IFERROR(LARGE(AG$7:AG$66,1),0),1,0))+IF(AH23=0,0,IF(AH23=IFERROR(LARGE(AH$7:AH$66,1),0),1,0))+IF(AI23=0,0,IF(AI23=IFERROR(LARGE(AI$7:AI$66,1),0),1,0))+IF(AJ23=0,0,IF(AJ23=IFERROR(LARGE(AJ$7:AJ$66,1),0),1,0))+IF(AK23=0,0,IF(AK23=IFERROR(LARGE(AK$7:AK$66,1),0),1,0))+IF(AL23=0,0,IF(AL23=IFERROR(LARGE(AL$7:AL$66,1),0),1,0))+IF(AM23=0,0,IF(AM23=IFERROR(LARGE(AM$7:AM$66,1),0),1,0))+IF(AN23=0,0,IF(AN23=IFERROR(LARGE(AN$7:AN$66,1),0),1,0))</f>
        <v>1</v>
      </c>
      <c r="AU23" s="629"/>
      <c r="AV23" s="708">
        <f t="shared" si="11"/>
        <v>4.0011999999999999</v>
      </c>
      <c r="AW23" s="709">
        <f t="shared" si="9"/>
        <v>12.0001</v>
      </c>
      <c r="AX23" s="709">
        <f t="shared" si="9"/>
        <v>3.0002</v>
      </c>
      <c r="AY23" s="709">
        <f t="shared" si="9"/>
        <v>5.0003000000000002</v>
      </c>
      <c r="AZ23" s="709">
        <f t="shared" si="9"/>
        <v>6.5004</v>
      </c>
      <c r="BA23" s="709">
        <f t="shared" si="9"/>
        <v>6.0004999999999997</v>
      </c>
      <c r="BB23" s="709">
        <f t="shared" si="9"/>
        <v>7.0006000000000004</v>
      </c>
      <c r="BC23" s="709">
        <f t="shared" si="9"/>
        <v>9.5007000000000001</v>
      </c>
      <c r="BD23" s="709">
        <f t="shared" si="9"/>
        <v>3.0007999999999999</v>
      </c>
      <c r="BE23" s="709">
        <f t="shared" si="9"/>
        <v>4.0008999999999997</v>
      </c>
      <c r="BF23" s="709">
        <f t="shared" si="9"/>
        <v>5.0010000000000003</v>
      </c>
      <c r="BG23" s="709">
        <f t="shared" si="9"/>
        <v>5.0011000000000001</v>
      </c>
      <c r="BH23" s="709">
        <f t="shared" si="9"/>
        <v>4.0011999999999999</v>
      </c>
      <c r="BI23" s="709">
        <f t="shared" si="9"/>
        <v>12.001300000000001</v>
      </c>
      <c r="BJ23" s="709">
        <f t="shared" si="9"/>
        <v>5.0014000000000003</v>
      </c>
      <c r="BK23" s="709">
        <f t="shared" si="9"/>
        <v>15.0015</v>
      </c>
      <c r="BL23" s="629"/>
    </row>
    <row r="24" spans="1:64" x14ac:dyDescent="0.2">
      <c r="A24" s="686" t="str">
        <f>IF(R24&gt;0,IF(Q24="v",RANK(B24,B$7:B$66,1)-COUNTBLANK(Q$7:Q$66),""),"")</f>
        <v/>
      </c>
      <c r="B24" s="687">
        <f t="shared" si="0"/>
        <v>-982</v>
      </c>
      <c r="C24" s="688" t="str">
        <f>IF(R24&gt;0,IF(P24="k",RANK(D24,D$7:D$66,1)-COUNTBLANK(P$7:P$66),""),"")</f>
        <v/>
      </c>
      <c r="D24" s="687">
        <f t="shared" si="1"/>
        <v>-982</v>
      </c>
      <c r="E24" s="689">
        <f>IF(R24&gt;0,IF(N24="m",RANK(F24,F$7:F$66,1)-COUNTBLANK(N$7:N$66),""),"")</f>
        <v>17</v>
      </c>
      <c r="F24" s="687">
        <f t="shared" si="2"/>
        <v>18</v>
      </c>
      <c r="G24" s="690" t="str">
        <f>IF(R24&gt;0,IF(M24="n",RANK(H24,H$7:H$66,1)-COUNTBLANK(M$7:M$66),""),"")</f>
        <v/>
      </c>
      <c r="H24" s="687">
        <f t="shared" si="3"/>
        <v>-982</v>
      </c>
      <c r="I24" s="691" t="str">
        <f>IF(R24&gt;0,IF(O24="j",RANK(J24,J$7:J$66,1)-COUNTBLANK(O$7:O$66),""),"")</f>
        <v/>
      </c>
      <c r="J24" s="692">
        <f t="shared" si="4"/>
        <v>-982</v>
      </c>
      <c r="K24" s="654">
        <f>IF(R24&gt;0,RANK(U24,U$7:U$66,1),"")</f>
        <v>18</v>
      </c>
      <c r="L24" s="713" t="s">
        <v>283</v>
      </c>
      <c r="M24" s="694"/>
      <c r="N24" s="695" t="str">
        <f t="shared" si="12"/>
        <v>m</v>
      </c>
      <c r="O24" s="696"/>
      <c r="P24" s="697"/>
      <c r="Q24" s="698"/>
      <c r="R24" s="699">
        <f>(IF(COUNT(Z24,AA24,AB24,AC24,AD24,AE24,AF24,AG24,AH24,AI24,AJ24,AK24,AL24,AM24,AN24)&lt;11,SUM(Z24,AA24,AB24,AC24,AD24,AE24,AF24,AG24,AH24,AI24,AJ24,AK24,AL24,AM24,AN24),SUM(LARGE((Z24,AA24,AB24,AC24,AD24,AE24,AF24,AG24,AH24,AI24,AJ24,AK24,AL24,AM24,AN24),{1;2;3;4;5;6;7;8;9;10;11}))))</f>
        <v>76.5</v>
      </c>
      <c r="S24" s="700" t="str">
        <f>INDEX(ETAPP!B$1:B$32,MATCH(COUNTIF(Z24:AN24,PVO!A$1),ETAPP!A$1:A$32,0))&amp;INDEX(ETAPP!B$1:B$32,MATCH(COUNTIF(Z24:AN24,PVO!A$2),ETAPP!A$1:A$32,0))&amp;INDEX(ETAPP!B$1:B$32,MATCH(COUNTIF(Z24:AN24,PVO!A$3),ETAPP!A$1:A$32,0))&amp;INDEX(ETAPP!B$1:B$32,MATCH(COUNTIF(Z24:AN24,PVO!A$4),ETAPP!A$1:A$32,0))&amp;INDEX(ETAPP!B$1:B$32,MATCH(COUNTIF(Z24:AN24,PVO!A$5),ETAPP!A$1:A$32,0))&amp;INDEX(ETAPP!B$1:B$32,MATCH(COUNTIF(Z24:AN24,PVO!A$6),ETAPP!A$1:A$32,0))&amp;INDEX(ETAPP!B$1:B$32,MATCH(COUNTIF(Z24:AN24,PVO!A$7),ETAPP!A$1:A$32,0))&amp;INDEX(ETAPP!B$1:B$32,MATCH(COUNTIF(Z24:AN24,PVO!A$8),ETAPP!A$1:A$32,0))&amp;INDEX(ETAPP!B$1:B$32,MATCH(COUNTIF(Z24:AN24,PVO!A$9),ETAPP!A$1:A$32,0))&amp;INDEX(ETAPP!B$1:B$32,MATCH(COUNTIF(Z24:AN24,PVO!A$10),ETAPP!A$1:A$32,0))&amp;INDEX(ETAPP!B$1:B$32,MATCH(COUNTIF(Z24:AN24,PVO!A$11),ETAPP!A$1:A$32,0))&amp;INDEX(ETAPP!B$1:B$32,MATCH(COUNTIF(Z24:AN24,PVO!A$12),ETAPP!A$1:A$32,0))&amp;INDEX(ETAPP!B$1:B$32,MATCH(COUNTIF(Z24:AN24,PVO!A$13),ETAPP!A$1:A$32,0))&amp;INDEX(ETAPP!B$1:B$32,MATCH(COUNTIF(Z24:AN24,PVO!A$14),ETAPP!A$1:A$32,0))&amp;INDEX(ETAPP!B$1:B$32,MATCH(COUNTIF(Z24:AN24,PVO!A$15),ETAPP!A$1:A$32,0))&amp;INDEX(ETAPP!B$1:B$32,MATCH(COUNTIF(Z24:AN24,PVO!A$16),ETAPP!A$1:A$32,0))&amp;INDEX(ETAPP!B$1:B$32,MATCH(COUNTIF(Z24:AN24,PVO!A$17),ETAPP!A$1:A$32,0))&amp;INDEX(ETAPP!B$1:B$32,MATCH(COUNTIF(Z24:AN24,PVO!A$18),ETAPP!A$1:A$32,0))&amp;INDEX(ETAPP!B$1:B$32,MATCH(COUNTIF(Z24:AN24,PVO!A$19),ETAPP!A$1:A$32,0))</f>
        <v>000A0A00A0AA000000G</v>
      </c>
      <c r="T24" s="700" t="str">
        <f t="shared" si="6"/>
        <v>076,5-000A0A00A0AA000000G</v>
      </c>
      <c r="U24" s="700">
        <f>COUNTIF(T$7:T$66,"&gt;="&amp;T24)</f>
        <v>18</v>
      </c>
      <c r="V24" s="700">
        <f>COUNTIF(L$7:L$66,"&gt;="&amp;L24)</f>
        <v>31</v>
      </c>
      <c r="W24" s="700" t="str">
        <f t="shared" si="7"/>
        <v>076,5-000A0A00A0AA000000G-031</v>
      </c>
      <c r="X24" s="700">
        <f>COUNTIF(W$7:W$66,"&gt;="&amp;W24)</f>
        <v>18</v>
      </c>
      <c r="Y24" s="701">
        <f>RANK(X24,X$7:X$66,0)</f>
        <v>43</v>
      </c>
      <c r="Z24" s="702" t="str">
        <f>IFERROR(INDEX('V1'!C$300:C$400,MATCH("*"&amp;L24&amp;"*",'V1'!B$300:B$400,0)),"  ")</f>
        <v xml:space="preserve">  </v>
      </c>
      <c r="AA24" s="702">
        <f>IFERROR(INDEX('V2'!C$300:C$400,MATCH("*"&amp;L24&amp;"*",'V2'!B$300:B$400,0)),"  ")</f>
        <v>6</v>
      </c>
      <c r="AB24" s="702">
        <f>IFERROR(INDEX('V3'!C$300:C$400,MATCH("*"&amp;L24&amp;"*",'V3'!B$300:B$400,0)),"  ")</f>
        <v>14</v>
      </c>
      <c r="AC24" s="702">
        <f>IFERROR(INDEX('V4'!C$300:C$400,MATCH("*"&amp;L24&amp;"*",'V4'!B$300:B$400,0)),"  ")</f>
        <v>6.5</v>
      </c>
      <c r="AD24" s="702" t="str">
        <f>IFERROR(INDEX('V5'!C$300:C$400,MATCH("*"&amp;L24&amp;"*",'V5'!B$300:B$400,0)),"  ")</f>
        <v xml:space="preserve">  </v>
      </c>
      <c r="AE24" s="702" t="str">
        <f>IFERROR(INDEX('V6'!C$300:C$400,MATCH("*"&amp;L24&amp;"*",'V6'!B$300:B$400,0)),"  ")</f>
        <v xml:space="preserve">  </v>
      </c>
      <c r="AF24" s="702" t="str">
        <f>IFERROR(INDEX('V7'!C$300:C$400,MATCH("*"&amp;L24&amp;"*",'V7'!B$300:B$400,0)),"  ")</f>
        <v xml:space="preserve">  </v>
      </c>
      <c r="AG24" s="702">
        <f>IFERROR(INDEX('V8'!C$300:C$400,MATCH("*"&amp;L24&amp;"*",'V8'!B$300:B$400,0)),"  ")</f>
        <v>10.5</v>
      </c>
      <c r="AH24" s="702">
        <f>IFERROR(INDEX('V9'!C$300:C$400,MATCH("*"&amp;L24&amp;"*",'V9'!B$300:B$400,0)),"  ")</f>
        <v>11.5</v>
      </c>
      <c r="AI24" s="702">
        <f>IFERROR(INDEX('V10'!C$300:C$400,MATCH("*"&amp;L24&amp;"*",'V10'!B$300:B$400,0)),"  ")</f>
        <v>12</v>
      </c>
      <c r="AJ24" s="702">
        <f>IFERROR(INDEX('V11'!C$300:C$400,MATCH("*"&amp;L24&amp;"*",'V11'!B$300:B$400,0)),"  ")</f>
        <v>7</v>
      </c>
      <c r="AK24" s="702">
        <f>IFERROR(INDEX('V12'!C$300:C$400,MATCH("*"&amp;L24&amp;"*",'V12'!B$300:B$400,0)),"  ")</f>
        <v>9</v>
      </c>
      <c r="AL24" s="702" t="str">
        <f>IFERROR(INDEX('V13'!C$300:C$400,MATCH("*"&amp;L24&amp;"*",'V13'!B$300:B$400,0)),"  ")</f>
        <v xml:space="preserve">  </v>
      </c>
      <c r="AM24" s="702" t="str">
        <f>IFERROR(INDEX('V14'!C$300:C$400,MATCH("*"&amp;L24&amp;"*",'V14'!B$300:B$400,0)),"  ")</f>
        <v xml:space="preserve">  </v>
      </c>
      <c r="AN24" s="702" t="str">
        <f>IFERROR(INDEX('V15'!C$300:C$400,MATCH("*"&amp;L24&amp;"*",'V15'!B$300:B$400,0)),"  ")</f>
        <v xml:space="preserve">  </v>
      </c>
      <c r="AO24" s="703">
        <f t="shared" si="10"/>
        <v>18</v>
      </c>
      <c r="AP24" s="704" t="str">
        <f>IFERROR("edasi "&amp;RANK(AO24,AO$7:AO$66,1),K24)</f>
        <v>edasi 18</v>
      </c>
      <c r="AQ24" s="705" t="str">
        <f>IFERROR(INDEX('V-fin'!A$300:A$401,MATCH("*"&amp;L24&amp;"*",'V-fin'!B$300:B$401,0)),"  ")</f>
        <v xml:space="preserve">  </v>
      </c>
      <c r="AR24" s="706">
        <f t="shared" si="8"/>
        <v>8</v>
      </c>
      <c r="AS24" s="707">
        <f>IFERROR(IF(Z24+1&gt;LARGE(Z$7:Z$66,1)-2,1),0)+IFERROR(IF(AA24+1&gt;LARGE(AA$7:AA$66,1)-2,1),0)+IFERROR(IF(AB24+1&gt;LARGE(AB$7:AB$66,1)-2,1),0)+IFERROR(IF(AC24+1&gt;LARGE(AC$7:AC$66,1)-2,1),0)+IFERROR(IF(AD24+1&gt;LARGE(AD$7:AD$66,1)-2,1),0)+IFERROR(IF(AE24+1&gt;LARGE(AE$7:AE$66,1)-2,1),0)+IFERROR(IF(AF24+1&gt;LARGE(AF$7:AF$66,1)-2,1),0)+IFERROR(IF(AG24+1&gt;LARGE(AG$7:AG$66,1)-2,1),0)+IFERROR(IF(AH24+1&gt;LARGE(AH$7:AH$66,1)-2,1),0)+IFERROR(IF(AI24+1&gt;LARGE(AI$7:AI$66,1)-2,1),0)+IFERROR(IF(AJ24+1&gt;LARGE(AJ$7:AJ$66,1)-2,1),0)+IFERROR(IF(AK24+1&gt;LARGE(AK$7:AK$66,1)-2,1),0)+IFERROR(IF(AL24+1&gt;LARGE(AL$7:AL$66,1)-2,1),0)+IFERROR(IF(AM24+1&gt;LARGE(AM$7:AM$66,1)-2,1),0)+IFERROR(IF(AN24+1&gt;LARGE(AN$7:AN$66,1)-2,1),0)</f>
        <v>1</v>
      </c>
      <c r="AT24" s="707">
        <f>IF(Z24=0,0,IF(Z24=IFERROR(LARGE(Z$7:Z$66,1),0),1,0))+IF(AA24=0,0,IF(AA24=IFERROR(LARGE(AA$7:AA$66,1),0),1,0))+IF(AB24=0,0,IF(AB24=IFERROR(LARGE(AB$7:AB$66,1),0),1,0))+IF(AC24=0,0,IF(AC24=IFERROR(LARGE(AC$7:AC$66,1),0),1,0))+IF(AD24=0,0,IF(AD24=IFERROR(LARGE(AD$7:AD$66,1),0),1,0))+IF(AE24=0,0,IF(AE24=IFERROR(LARGE(AE$7:AE$66,1),0),1,0))+IF(AF24=0,0,IF(AF24=IFERROR(LARGE(AF$7:AF$66,1),0),1,0))+IF(AG24=0,0,IF(AG24=IFERROR(LARGE(AG$7:AG$66,1),0),1,0))+IF(AH24=0,0,IF(AH24=IFERROR(LARGE(AH$7:AH$66,1),0),1,0))+IF(AI24=0,0,IF(AI24=IFERROR(LARGE(AI$7:AI$66,1),0),1,0))+IF(AJ24=0,0,IF(AJ24=IFERROR(LARGE(AJ$7:AJ$66,1),0),1,0))+IF(AK24=0,0,IF(AK24=IFERROR(LARGE(AK$7:AK$66,1),0),1,0))+IF(AL24=0,0,IF(AL24=IFERROR(LARGE(AL$7:AL$66,1),0),1,0))+IF(AM24=0,0,IF(AM24=IFERROR(LARGE(AM$7:AM$66,1),0),1,0))+IF(AN24=0,0,IF(AN24=IFERROR(LARGE(AN$7:AN$66,1),0),1,0))</f>
        <v>0</v>
      </c>
      <c r="AU24" s="629"/>
      <c r="AV24" s="708">
        <f t="shared" si="11"/>
        <v>6.9999999999999999E-4</v>
      </c>
      <c r="AW24" s="709">
        <f t="shared" ref="AW24:BK40" si="13">IF(Z24="  ",0+MID(Z$6,FIND("V",Z$6)+1,256)/10000,Z24+MID(Z$6,FIND("V",Z$6)+1,256)/10000)</f>
        <v>1E-4</v>
      </c>
      <c r="AX24" s="709">
        <f t="shared" si="13"/>
        <v>6.0002000000000004</v>
      </c>
      <c r="AY24" s="709">
        <f t="shared" si="13"/>
        <v>14.000299999999999</v>
      </c>
      <c r="AZ24" s="709">
        <f t="shared" si="13"/>
        <v>6.5004</v>
      </c>
      <c r="BA24" s="709">
        <f t="shared" si="13"/>
        <v>5.0000000000000001E-4</v>
      </c>
      <c r="BB24" s="709">
        <f t="shared" si="13"/>
        <v>5.9999999999999995E-4</v>
      </c>
      <c r="BC24" s="709">
        <f t="shared" si="13"/>
        <v>6.9999999999999999E-4</v>
      </c>
      <c r="BD24" s="709">
        <f t="shared" si="13"/>
        <v>10.5008</v>
      </c>
      <c r="BE24" s="709">
        <f t="shared" si="13"/>
        <v>11.5009</v>
      </c>
      <c r="BF24" s="709">
        <f t="shared" si="13"/>
        <v>12.000999999999999</v>
      </c>
      <c r="BG24" s="709">
        <f t="shared" si="13"/>
        <v>7.0011000000000001</v>
      </c>
      <c r="BH24" s="709">
        <f t="shared" si="13"/>
        <v>9.0012000000000008</v>
      </c>
      <c r="BI24" s="709">
        <f t="shared" si="13"/>
        <v>1.2999999999999999E-3</v>
      </c>
      <c r="BJ24" s="709">
        <f t="shared" si="13"/>
        <v>1.4E-3</v>
      </c>
      <c r="BK24" s="709">
        <f t="shared" si="13"/>
        <v>1.5E-3</v>
      </c>
      <c r="BL24" s="629"/>
    </row>
    <row r="25" spans="1:64" x14ac:dyDescent="0.2">
      <c r="A25" s="686">
        <f>IF(R25&gt;0,IF(Q25="v",RANK(B25,B$7:B$66,1)-COUNTBLANK(Q$7:Q$66),""),"")</f>
        <v>10</v>
      </c>
      <c r="B25" s="687">
        <f t="shared" si="0"/>
        <v>19</v>
      </c>
      <c r="C25" s="688">
        <f>IF(R25&gt;0,IF(P25="k",RANK(D25,D$7:D$66,1)-COUNTBLANK(P$7:P$66),""),"")</f>
        <v>7</v>
      </c>
      <c r="D25" s="687">
        <f t="shared" si="1"/>
        <v>19</v>
      </c>
      <c r="E25" s="689">
        <f>IF(R25&gt;0,IF(N25="m",RANK(F25,F$7:F$66,1)-COUNTBLANK(N$7:N$66),""),"")</f>
        <v>18</v>
      </c>
      <c r="F25" s="687">
        <f t="shared" si="2"/>
        <v>19</v>
      </c>
      <c r="G25" s="690" t="str">
        <f>IF(R25&gt;0,IF(M25="n",RANK(H25,H$7:H$66,1)-COUNTBLANK(M$7:M$66),""),"")</f>
        <v/>
      </c>
      <c r="H25" s="687">
        <f t="shared" si="3"/>
        <v>-981</v>
      </c>
      <c r="I25" s="691" t="str">
        <f>IF(R25&gt;0,IF(O25="j",RANK(J25,J$7:J$66,1)-COUNTBLANK(O$7:O$66),""),"")</f>
        <v/>
      </c>
      <c r="J25" s="692">
        <f t="shared" si="4"/>
        <v>-981</v>
      </c>
      <c r="K25" s="654">
        <f>IF(R25&gt;0,RANK(U25,U$7:U$66,1),"")</f>
        <v>19</v>
      </c>
      <c r="L25" s="723" t="s">
        <v>284</v>
      </c>
      <c r="M25" s="694"/>
      <c r="N25" s="695" t="str">
        <f t="shared" si="12"/>
        <v>m</v>
      </c>
      <c r="O25" s="696"/>
      <c r="P25" s="697" t="s">
        <v>268</v>
      </c>
      <c r="Q25" s="698" t="s">
        <v>269</v>
      </c>
      <c r="R25" s="699">
        <f>(IF(COUNT(Z25,AA25,AB25,AC25,AD25,AE25,AF25,AG25,AH25,AI25,AJ25,AK25,AL25,AM25,AN25)&lt;11,SUM(Z25,AA25,AB25,AC25,AD25,AE25,AF25,AG25,AH25,AI25,AJ25,AK25,AL25,AM25,AN25),SUM(LARGE((Z25,AA25,AB25,AC25,AD25,AE25,AF25,AG25,AH25,AI25,AJ25,AK25,AL25,AM25,AN25),{1;2;3;4;5;6;7;8;9;10;11}))))</f>
        <v>76</v>
      </c>
      <c r="S25" s="700" t="str">
        <f>INDEX(ETAPP!B$1:B$32,MATCH(COUNTIF(Z25:AN25,PVO!A$1),ETAPP!A$1:A$32,0))&amp;INDEX(ETAPP!B$1:B$32,MATCH(COUNTIF(Z25:AN25,PVO!A$2),ETAPP!A$1:A$32,0))&amp;INDEX(ETAPP!B$1:B$32,MATCH(COUNTIF(Z25:AN25,PVO!A$3),ETAPP!A$1:A$32,0))&amp;INDEX(ETAPP!B$1:B$32,MATCH(COUNTIF(Z25:AN25,PVO!A$4),ETAPP!A$1:A$32,0))&amp;INDEX(ETAPP!B$1:B$32,MATCH(COUNTIF(Z25:AN25,PVO!A$5),ETAPP!A$1:A$32,0))&amp;INDEX(ETAPP!B$1:B$32,MATCH(COUNTIF(Z25:AN25,PVO!A$6),ETAPP!A$1:A$32,0))&amp;INDEX(ETAPP!B$1:B$32,MATCH(COUNTIF(Z25:AN25,PVO!A$7),ETAPP!A$1:A$32,0))&amp;INDEX(ETAPP!B$1:B$32,MATCH(COUNTIF(Z25:AN25,PVO!A$8),ETAPP!A$1:A$32,0))&amp;INDEX(ETAPP!B$1:B$32,MATCH(COUNTIF(Z25:AN25,PVO!A$9),ETAPP!A$1:A$32,0))&amp;INDEX(ETAPP!B$1:B$32,MATCH(COUNTIF(Z25:AN25,PVO!A$10),ETAPP!A$1:A$32,0))&amp;INDEX(ETAPP!B$1:B$32,MATCH(COUNTIF(Z25:AN25,PVO!A$11),ETAPP!A$1:A$32,0))&amp;INDEX(ETAPP!B$1:B$32,MATCH(COUNTIF(Z25:AN25,PVO!A$12),ETAPP!A$1:A$32,0))&amp;INDEX(ETAPP!B$1:B$32,MATCH(COUNTIF(Z25:AN25,PVO!A$13),ETAPP!A$1:A$32,0))&amp;INDEX(ETAPP!B$1:B$32,MATCH(COUNTIF(Z25:AN25,PVO!A$14),ETAPP!A$1:A$32,0))&amp;INDEX(ETAPP!B$1:B$32,MATCH(COUNTIF(Z25:AN25,PVO!A$15),ETAPP!A$1:A$32,0))&amp;INDEX(ETAPP!B$1:B$32,MATCH(COUNTIF(Z25:AN25,PVO!A$16),ETAPP!A$1:A$32,0))&amp;INDEX(ETAPP!B$1:B$32,MATCH(COUNTIF(Z25:AN25,PVO!A$17),ETAPP!A$1:A$32,0))&amp;INDEX(ETAPP!B$1:B$32,MATCH(COUNTIF(Z25:AN25,PVO!A$18),ETAPP!A$1:A$32,0))&amp;INDEX(ETAPP!B$1:B$32,MATCH(COUNTIF(Z25:AN25,PVO!A$19),ETAPP!A$1:A$32,0))</f>
        <v>00000AA000AADAB000B</v>
      </c>
      <c r="T25" s="700" t="str">
        <f t="shared" si="6"/>
        <v>076,0-00000AA000AADAB000B</v>
      </c>
      <c r="U25" s="700">
        <f>COUNTIF(T$7:T$66,"&gt;="&amp;T25)</f>
        <v>19</v>
      </c>
      <c r="V25" s="700">
        <f>COUNTIF(L$7:L$66,"&gt;="&amp;L25)</f>
        <v>13</v>
      </c>
      <c r="W25" s="700" t="str">
        <f t="shared" si="7"/>
        <v>076,0-00000AA000AADAB000B-013</v>
      </c>
      <c r="X25" s="700">
        <f>COUNTIF(W$7:W$66,"&gt;="&amp;W25)</f>
        <v>19</v>
      </c>
      <c r="Y25" s="701">
        <f>RANK(X25,X$7:X$66,0)</f>
        <v>42</v>
      </c>
      <c r="Z25" s="702">
        <f>IFERROR(INDEX('V1'!C$300:C$400,MATCH("*"&amp;L25&amp;"*",'V1'!B$300:B$400,0)),"  ")</f>
        <v>12</v>
      </c>
      <c r="AA25" s="702">
        <f>IFERROR(INDEX('V2'!C$300:C$400,MATCH("*"&amp;L25&amp;"*",'V2'!B$300:B$400,0)),"  ")</f>
        <v>3</v>
      </c>
      <c r="AB25" s="702">
        <f>IFERROR(INDEX('V3'!C$300:C$400,MATCH("*"&amp;L25&amp;"*",'V3'!B$300:B$400,0)),"  ")</f>
        <v>5</v>
      </c>
      <c r="AC25" s="702">
        <f>IFERROR(INDEX('V4'!C$300:C$400,MATCH("*"&amp;L25&amp;"*",'V4'!B$300:B$400,0)),"  ")</f>
        <v>6.5</v>
      </c>
      <c r="AD25" s="702">
        <f>IFERROR(INDEX('V5'!C$300:C$400,MATCH("*"&amp;L25&amp;"*",'V5'!B$300:B$400,0)),"  ")</f>
        <v>6</v>
      </c>
      <c r="AE25" s="702">
        <f>IFERROR(INDEX('V6'!C$300:C$400,MATCH("*"&amp;L25&amp;"*",'V6'!B$300:B$400,0)),"  ")</f>
        <v>7</v>
      </c>
      <c r="AF25" s="702">
        <f>IFERROR(INDEX('V7'!C$300:C$400,MATCH("*"&amp;L25&amp;"*",'V7'!B$300:B$400,0)),"  ")</f>
        <v>9.5</v>
      </c>
      <c r="AG25" s="702">
        <f>IFERROR(INDEX('V8'!C$300:C$400,MATCH("*"&amp;L25&amp;"*",'V8'!B$300:B$400,0)),"  ")</f>
        <v>3</v>
      </c>
      <c r="AH25" s="702" t="str">
        <f>IFERROR(INDEX('V9'!C$300:C$400,MATCH("*"&amp;L25&amp;"*",'V9'!B$300:B$400,0)),"  ")</f>
        <v xml:space="preserve">  </v>
      </c>
      <c r="AI25" s="702">
        <f>IFERROR(INDEX('V10'!C$300:C$400,MATCH("*"&amp;L25&amp;"*",'V10'!B$300:B$400,0)),"  ")</f>
        <v>5</v>
      </c>
      <c r="AJ25" s="702">
        <f>IFERROR(INDEX('V11'!C$300:C$400,MATCH("*"&amp;L25&amp;"*",'V11'!B$300:B$400,0)),"  ")</f>
        <v>5</v>
      </c>
      <c r="AK25" s="702">
        <f>IFERROR(INDEX('V12'!C$300:C$400,MATCH("*"&amp;L25&amp;"*",'V12'!B$300:B$400,0)),"  ")</f>
        <v>4</v>
      </c>
      <c r="AL25" s="702">
        <f>IFERROR(INDEX('V13'!C$300:C$400,MATCH("*"&amp;L25&amp;"*",'V13'!B$300:B$400,0)),"  ")</f>
        <v>11</v>
      </c>
      <c r="AM25" s="702">
        <f>IFERROR(INDEX('V14'!C$300:C$400,MATCH("*"&amp;L25&amp;"*",'V14'!B$300:B$400,0)),"  ")</f>
        <v>5</v>
      </c>
      <c r="AN25" s="702" t="str">
        <f>IFERROR(INDEX('V15'!C$300:C$400,MATCH("*"&amp;L25&amp;"*",'V15'!B$300:B$400,0)),"  ")</f>
        <v xml:space="preserve">  </v>
      </c>
      <c r="AO25" s="703">
        <f t="shared" si="10"/>
        <v>19</v>
      </c>
      <c r="AP25" s="704" t="str">
        <f>IFERROR("edasi "&amp;RANK(AO25,AO$7:AO$66,1),K25)</f>
        <v>edasi 19</v>
      </c>
      <c r="AQ25" s="705" t="str">
        <f>IFERROR(INDEX('V-fin'!A$300:A$401,MATCH("*"&amp;L25&amp;"*",'V-fin'!B$300:B$401,0)),"  ")</f>
        <v xml:space="preserve">  </v>
      </c>
      <c r="AR25" s="706">
        <f t="shared" si="8"/>
        <v>13</v>
      </c>
      <c r="AS25" s="707">
        <f>IFERROR(IF(Z25+1&gt;LARGE(Z$7:Z$66,1)-2,1),0)+IFERROR(IF(AA25+1&gt;LARGE(AA$7:AA$66,1)-2,1),0)+IFERROR(IF(AB25+1&gt;LARGE(AB$7:AB$66,1)-2,1),0)+IFERROR(IF(AC25+1&gt;LARGE(AC$7:AC$66,1)-2,1),0)+IFERROR(IF(AD25+1&gt;LARGE(AD$7:AD$66,1)-2,1),0)+IFERROR(IF(AE25+1&gt;LARGE(AE$7:AE$66,1)-2,1),0)+IFERROR(IF(AF25+1&gt;LARGE(AF$7:AF$66,1)-2,1),0)+IFERROR(IF(AG25+1&gt;LARGE(AG$7:AG$66,1)-2,1),0)+IFERROR(IF(AH25+1&gt;LARGE(AH$7:AH$66,1)-2,1),0)+IFERROR(IF(AI25+1&gt;LARGE(AI$7:AI$66,1)-2,1),0)+IFERROR(IF(AJ25+1&gt;LARGE(AJ$7:AJ$66,1)-2,1),0)+IFERROR(IF(AK25+1&gt;LARGE(AK$7:AK$66,1)-2,1),0)+IFERROR(IF(AL25+1&gt;LARGE(AL$7:AL$66,1)-2,1),0)+IFERROR(IF(AM25+1&gt;LARGE(AM$7:AM$66,1)-2,1),0)+IFERROR(IF(AN25+1&gt;LARGE(AN$7:AN$66,1)-2,1),0)</f>
        <v>0</v>
      </c>
      <c r="AT25" s="707">
        <f>IF(Z25=0,0,IF(Z25=IFERROR(LARGE(Z$7:Z$66,1),0),1,0))+IF(AA25=0,0,IF(AA25=IFERROR(LARGE(AA$7:AA$66,1),0),1,0))+IF(AB25=0,0,IF(AB25=IFERROR(LARGE(AB$7:AB$66,1),0),1,0))+IF(AC25=0,0,IF(AC25=IFERROR(LARGE(AC$7:AC$66,1),0),1,0))+IF(AD25=0,0,IF(AD25=IFERROR(LARGE(AD$7:AD$66,1),0),1,0))+IF(AE25=0,0,IF(AE25=IFERROR(LARGE(AE$7:AE$66,1),0),1,0))+IF(AF25=0,0,IF(AF25=IFERROR(LARGE(AF$7:AF$66,1),0),1,0))+IF(AG25=0,0,IF(AG25=IFERROR(LARGE(AG$7:AG$66,1),0),1,0))+IF(AH25=0,0,IF(AH25=IFERROR(LARGE(AH$7:AH$66,1),0),1,0))+IF(AI25=0,0,IF(AI25=IFERROR(LARGE(AI$7:AI$66,1),0),1,0))+IF(AJ25=0,0,IF(AJ25=IFERROR(LARGE(AJ$7:AJ$66,1),0),1,0))+IF(AK25=0,0,IF(AK25=IFERROR(LARGE(AK$7:AK$66,1),0),1,0))+IF(AL25=0,0,IF(AL25=IFERROR(LARGE(AL$7:AL$66,1),0),1,0))+IF(AM25=0,0,IF(AM25=IFERROR(LARGE(AM$7:AM$66,1),0),1,0))+IF(AN25=0,0,IF(AN25=IFERROR(LARGE(AN$7:AN$66,1),0),1,0))</f>
        <v>0</v>
      </c>
      <c r="AU25" s="629"/>
      <c r="AV25" s="708">
        <f t="shared" si="11"/>
        <v>3.0007999999999999</v>
      </c>
      <c r="AW25" s="709">
        <f t="shared" si="13"/>
        <v>12.0001</v>
      </c>
      <c r="AX25" s="709">
        <f t="shared" si="13"/>
        <v>3.0002</v>
      </c>
      <c r="AY25" s="709">
        <f t="shared" si="13"/>
        <v>5.0003000000000002</v>
      </c>
      <c r="AZ25" s="709">
        <f t="shared" si="13"/>
        <v>6.5004</v>
      </c>
      <c r="BA25" s="709">
        <f t="shared" si="13"/>
        <v>6.0004999999999997</v>
      </c>
      <c r="BB25" s="709">
        <f t="shared" si="13"/>
        <v>7.0006000000000004</v>
      </c>
      <c r="BC25" s="709">
        <f t="shared" si="13"/>
        <v>9.5007000000000001</v>
      </c>
      <c r="BD25" s="709">
        <f t="shared" si="13"/>
        <v>3.0007999999999999</v>
      </c>
      <c r="BE25" s="709">
        <f t="shared" si="13"/>
        <v>8.9999999999999998E-4</v>
      </c>
      <c r="BF25" s="709">
        <f t="shared" si="13"/>
        <v>5.0010000000000003</v>
      </c>
      <c r="BG25" s="709">
        <f t="shared" si="13"/>
        <v>5.0011000000000001</v>
      </c>
      <c r="BH25" s="709">
        <f t="shared" si="13"/>
        <v>4.0011999999999999</v>
      </c>
      <c r="BI25" s="709">
        <f t="shared" si="13"/>
        <v>11.001300000000001</v>
      </c>
      <c r="BJ25" s="709">
        <f t="shared" si="13"/>
        <v>5.0014000000000003</v>
      </c>
      <c r="BK25" s="709">
        <f t="shared" si="13"/>
        <v>1.5E-3</v>
      </c>
      <c r="BL25" s="629"/>
    </row>
    <row r="26" spans="1:64" x14ac:dyDescent="0.2">
      <c r="A26" s="686">
        <f>IF(R26&gt;0,IF(Q26="v",RANK(B26,B$7:B$66,1)-COUNTBLANK(Q$7:Q$66),""),"")</f>
        <v>11</v>
      </c>
      <c r="B26" s="687">
        <f t="shared" si="0"/>
        <v>20</v>
      </c>
      <c r="C26" s="688" t="str">
        <f>IF(R26&gt;0,IF(P26="k",RANK(D26,D$7:D$66,1)-COUNTBLANK(P$7:P$66),""),"")</f>
        <v/>
      </c>
      <c r="D26" s="687">
        <f t="shared" si="1"/>
        <v>-980</v>
      </c>
      <c r="E26" s="689">
        <f>IF(R26&gt;0,IF(N26="m",RANK(F26,F$7:F$66,1)-COUNTBLANK(N$7:N$66),""),"")</f>
        <v>19</v>
      </c>
      <c r="F26" s="687">
        <f t="shared" si="2"/>
        <v>20</v>
      </c>
      <c r="G26" s="690" t="str">
        <f>IF(R26&gt;0,IF(M26="n",RANK(H26,H$7:H$66,1)-COUNTBLANK(M$7:M$66),""),"")</f>
        <v/>
      </c>
      <c r="H26" s="687">
        <f t="shared" si="3"/>
        <v>-980</v>
      </c>
      <c r="I26" s="691" t="str">
        <f>IF(R26&gt;0,IF(O26="j",RANK(J26,J$7:J$66,1)-COUNTBLANK(O$7:O$66),""),"")</f>
        <v/>
      </c>
      <c r="J26" s="692">
        <f t="shared" si="4"/>
        <v>-980</v>
      </c>
      <c r="K26" s="654">
        <f>IF(R26&gt;0,RANK(U26,U$7:U$66,1),"")</f>
        <v>20</v>
      </c>
      <c r="L26" s="713" t="s">
        <v>285</v>
      </c>
      <c r="M26" s="694"/>
      <c r="N26" s="695" t="str">
        <f t="shared" si="12"/>
        <v>m</v>
      </c>
      <c r="O26" s="696"/>
      <c r="P26" s="697"/>
      <c r="Q26" s="698" t="s">
        <v>269</v>
      </c>
      <c r="R26" s="699">
        <f>(IF(COUNT(Z26,AA26,AB26,AC26,AD26,AE26,AF26,AG26,AH26,AI26,AJ26,AK26,AL26,AM26,AN26)&lt;11,SUM(Z26,AA26,AB26,AC26,AD26,AE26,AF26,AG26,AH26,AI26,AJ26,AK26,AL26,AM26,AN26),SUM(LARGE((Z26,AA26,AB26,AC26,AD26,AE26,AF26,AG26,AH26,AI26,AJ26,AK26,AL26,AM26,AN26),{1;2;3;4;5;6;7;8;9;10;11}))))</f>
        <v>66.5</v>
      </c>
      <c r="S26" s="700" t="str">
        <f>INDEX(ETAPP!B$1:B$32,MATCH(COUNTIF(Z26:AN26,PVO!A$1),ETAPP!A$1:A$32,0))&amp;INDEX(ETAPP!B$1:B$32,MATCH(COUNTIF(Z26:AN26,PVO!A$2),ETAPP!A$1:A$32,0))&amp;INDEX(ETAPP!B$1:B$32,MATCH(COUNTIF(Z26:AN26,PVO!A$3),ETAPP!A$1:A$32,0))&amp;INDEX(ETAPP!B$1:B$32,MATCH(COUNTIF(Z26:AN26,PVO!A$4),ETAPP!A$1:A$32,0))&amp;INDEX(ETAPP!B$1:B$32,MATCH(COUNTIF(Z26:AN26,PVO!A$5),ETAPP!A$1:A$32,0))&amp;INDEX(ETAPP!B$1:B$32,MATCH(COUNTIF(Z26:AN26,PVO!A$6),ETAPP!A$1:A$32,0))&amp;INDEX(ETAPP!B$1:B$32,MATCH(COUNTIF(Z26:AN26,PVO!A$7),ETAPP!A$1:A$32,0))&amp;INDEX(ETAPP!B$1:B$32,MATCH(COUNTIF(Z26:AN26,PVO!A$8),ETAPP!A$1:A$32,0))&amp;INDEX(ETAPP!B$1:B$32,MATCH(COUNTIF(Z26:AN26,PVO!A$9),ETAPP!A$1:A$32,0))&amp;INDEX(ETAPP!B$1:B$32,MATCH(COUNTIF(Z26:AN26,PVO!A$10),ETAPP!A$1:A$32,0))&amp;INDEX(ETAPP!B$1:B$32,MATCH(COUNTIF(Z26:AN26,PVO!A$11),ETAPP!A$1:A$32,0))&amp;INDEX(ETAPP!B$1:B$32,MATCH(COUNTIF(Z26:AN26,PVO!A$12),ETAPP!A$1:A$32,0))&amp;INDEX(ETAPP!B$1:B$32,MATCH(COUNTIF(Z26:AN26,PVO!A$13),ETAPP!A$1:A$32,0))&amp;INDEX(ETAPP!B$1:B$32,MATCH(COUNTIF(Z26:AN26,PVO!A$14),ETAPP!A$1:A$32,0))&amp;INDEX(ETAPP!B$1:B$32,MATCH(COUNTIF(Z26:AN26,PVO!A$15),ETAPP!A$1:A$32,0))&amp;INDEX(ETAPP!B$1:B$32,MATCH(COUNTIF(Z26:AN26,PVO!A$16),ETAPP!A$1:A$32,0))&amp;INDEX(ETAPP!B$1:B$32,MATCH(COUNTIF(Z26:AN26,PVO!A$17),ETAPP!A$1:A$32,0))&amp;INDEX(ETAPP!B$1:B$32,MATCH(COUNTIF(Z26:AN26,PVO!A$18),ETAPP!A$1:A$32,0))&amp;INDEX(ETAPP!B$1:B$32,MATCH(COUNTIF(Z26:AN26,PVO!A$19),ETAPP!A$1:A$32,0))</f>
        <v>0000AAA00BA0000000C</v>
      </c>
      <c r="T26" s="700" t="str">
        <f t="shared" si="6"/>
        <v>066,5-0000AAA00BA0000000C</v>
      </c>
      <c r="U26" s="700">
        <f>COUNTIF(T$7:T$66,"&gt;="&amp;T26)</f>
        <v>20</v>
      </c>
      <c r="V26" s="700">
        <f>COUNTIF(L$7:L$66,"&gt;="&amp;L26)</f>
        <v>23</v>
      </c>
      <c r="W26" s="700" t="str">
        <f t="shared" si="7"/>
        <v>066,5-0000AAA00BA0000000C-023</v>
      </c>
      <c r="X26" s="700">
        <f>COUNTIF(W$7:W$66,"&gt;="&amp;W26)</f>
        <v>20</v>
      </c>
      <c r="Y26" s="701">
        <f>RANK(X26,X$7:X$66,0)</f>
        <v>41</v>
      </c>
      <c r="Z26" s="702" t="str">
        <f>IFERROR(INDEX('V1'!C$300:C$400,MATCH("*"&amp;L26&amp;"*",'V1'!B$300:B$400,0)),"  ")</f>
        <v xml:space="preserve">  </v>
      </c>
      <c r="AA26" s="702">
        <f>IFERROR(INDEX('V2'!C$300:C$400,MATCH("*"&amp;L26&amp;"*",'V2'!B$300:B$400,0)),"  ")</f>
        <v>8</v>
      </c>
      <c r="AB26" s="702">
        <f>IFERROR(INDEX('V3'!C$300:C$400,MATCH("*"&amp;L26&amp;"*",'V3'!B$300:B$400,0)),"  ")</f>
        <v>13</v>
      </c>
      <c r="AC26" s="702">
        <f>IFERROR(INDEX('V4'!C$300:C$400,MATCH("*"&amp;L26&amp;"*",'V4'!B$300:B$400,0)),"  ")</f>
        <v>12</v>
      </c>
      <c r="AD26" s="702" t="str">
        <f>IFERROR(INDEX('V5'!C$300:C$400,MATCH("*"&amp;L26&amp;"*",'V5'!B$300:B$400,0)),"  ")</f>
        <v xml:space="preserve">  </v>
      </c>
      <c r="AE26" s="702">
        <f>IFERROR(INDEX('V6'!C$300:C$400,MATCH("*"&amp;L26&amp;"*",'V6'!B$300:B$400,0)),"  ")</f>
        <v>8</v>
      </c>
      <c r="AF26" s="702">
        <f>IFERROR(INDEX('V7'!C$300:C$400,MATCH("*"&amp;L26&amp;"*",'V7'!B$300:B$400,0)),"  ")</f>
        <v>11</v>
      </c>
      <c r="AG26" s="702">
        <f>IFERROR(INDEX('V8'!C$300:C$400,MATCH("*"&amp;L26&amp;"*",'V8'!B$300:B$400,0)),"  ")</f>
        <v>7.5</v>
      </c>
      <c r="AH26" s="702" t="str">
        <f>IFERROR(INDEX('V9'!C$300:C$400,MATCH("*"&amp;L26&amp;"*",'V9'!B$300:B$400,0)),"  ")</f>
        <v xml:space="preserve">  </v>
      </c>
      <c r="AI26" s="702">
        <f>IFERROR(INDEX('V10'!C$300:C$400,MATCH("*"&amp;L26&amp;"*",'V10'!B$300:B$400,0)),"  ")</f>
        <v>7</v>
      </c>
      <c r="AJ26" s="702" t="str">
        <f>IFERROR(INDEX('V11'!C$300:C$400,MATCH("*"&amp;L26&amp;"*",'V11'!B$300:B$400,0)),"  ")</f>
        <v xml:space="preserve">  </v>
      </c>
      <c r="AK26" s="702" t="str">
        <f>IFERROR(INDEX('V12'!C$300:C$400,MATCH("*"&amp;L26&amp;"*",'V12'!B$300:B$400,0)),"  ")</f>
        <v xml:space="preserve">  </v>
      </c>
      <c r="AL26" s="702" t="str">
        <f>IFERROR(INDEX('V13'!C$300:C$400,MATCH("*"&amp;L26&amp;"*",'V13'!B$300:B$400,0)),"  ")</f>
        <v xml:space="preserve">  </v>
      </c>
      <c r="AM26" s="702" t="str">
        <f>IFERROR(INDEX('V14'!C$300:C$400,MATCH("*"&amp;L26&amp;"*",'V14'!B$300:B$400,0)),"  ")</f>
        <v xml:space="preserve">  </v>
      </c>
      <c r="AN26" s="702" t="str">
        <f>IFERROR(INDEX('V15'!C$300:C$400,MATCH("*"&amp;L26&amp;"*",'V15'!B$300:B$400,0)),"  ")</f>
        <v xml:space="preserve">  </v>
      </c>
      <c r="AO26" s="703">
        <f t="shared" si="10"/>
        <v>20</v>
      </c>
      <c r="AP26" s="704" t="str">
        <f>IFERROR("edasi "&amp;RANK(AO26,AO$7:AO$66,1),K26)</f>
        <v>edasi 20</v>
      </c>
      <c r="AQ26" s="705">
        <f>IFERROR(INDEX('V-fin'!A$300:A$401,MATCH("*"&amp;L26&amp;"*",'V-fin'!B$300:B$401,0)),"  ")</f>
        <v>2</v>
      </c>
      <c r="AR26" s="706">
        <f t="shared" si="8"/>
        <v>7</v>
      </c>
      <c r="AS26" s="707">
        <f>IFERROR(IF(Z26+1&gt;LARGE(Z$7:Z$66,1)-2,1),0)+IFERROR(IF(AA26+1&gt;LARGE(AA$7:AA$66,1)-2,1),0)+IFERROR(IF(AB26+1&gt;LARGE(AB$7:AB$66,1)-2,1),0)+IFERROR(IF(AC26+1&gt;LARGE(AC$7:AC$66,1)-2,1),0)+IFERROR(IF(AD26+1&gt;LARGE(AD$7:AD$66,1)-2,1),0)+IFERROR(IF(AE26+1&gt;LARGE(AE$7:AE$66,1)-2,1),0)+IFERROR(IF(AF26+1&gt;LARGE(AF$7:AF$66,1)-2,1),0)+IFERROR(IF(AG26+1&gt;LARGE(AG$7:AG$66,1)-2,1),0)+IFERROR(IF(AH26+1&gt;LARGE(AH$7:AH$66,1)-2,1),0)+IFERROR(IF(AI26+1&gt;LARGE(AI$7:AI$66,1)-2,1),0)+IFERROR(IF(AJ26+1&gt;LARGE(AJ$7:AJ$66,1)-2,1),0)+IFERROR(IF(AK26+1&gt;LARGE(AK$7:AK$66,1)-2,1),0)+IFERROR(IF(AL26+1&gt;LARGE(AL$7:AL$66,1)-2,1),0)+IFERROR(IF(AM26+1&gt;LARGE(AM$7:AM$66,1)-2,1),0)+IFERROR(IF(AN26+1&gt;LARGE(AN$7:AN$66,1)-2,1),0)</f>
        <v>1</v>
      </c>
      <c r="AT26" s="707">
        <f>IF(Z26=0,0,IF(Z26=IFERROR(LARGE(Z$7:Z$66,1),0),1,0))+IF(AA26=0,0,IF(AA26=IFERROR(LARGE(AA$7:AA$66,1),0),1,0))+IF(AB26=0,0,IF(AB26=IFERROR(LARGE(AB$7:AB$66,1),0),1,0))+IF(AC26=0,0,IF(AC26=IFERROR(LARGE(AC$7:AC$66,1),0),1,0))+IF(AD26=0,0,IF(AD26=IFERROR(LARGE(AD$7:AD$66,1),0),1,0))+IF(AE26=0,0,IF(AE26=IFERROR(LARGE(AE$7:AE$66,1),0),1,0))+IF(AF26=0,0,IF(AF26=IFERROR(LARGE(AF$7:AF$66,1),0),1,0))+IF(AG26=0,0,IF(AG26=IFERROR(LARGE(AG$7:AG$66,1),0),1,0))+IF(AH26=0,0,IF(AH26=IFERROR(LARGE(AH$7:AH$66,1),0),1,0))+IF(AI26=0,0,IF(AI26=IFERROR(LARGE(AI$7:AI$66,1),0),1,0))+IF(AJ26=0,0,IF(AJ26=IFERROR(LARGE(AJ$7:AJ$66,1),0),1,0))+IF(AK26=0,0,IF(AK26=IFERROR(LARGE(AK$7:AK$66,1),0),1,0))+IF(AL26=0,0,IF(AL26=IFERROR(LARGE(AL$7:AL$66,1),0),1,0))+IF(AM26=0,0,IF(AM26=IFERROR(LARGE(AM$7:AM$66,1),0),1,0))+IF(AN26=0,0,IF(AN26=IFERROR(LARGE(AN$7:AN$66,1),0),1,0))</f>
        <v>0</v>
      </c>
      <c r="AU26" s="629"/>
      <c r="AV26" s="708">
        <f t="shared" si="11"/>
        <v>1.1000000000000001E-3</v>
      </c>
      <c r="AW26" s="709">
        <f t="shared" si="13"/>
        <v>1E-4</v>
      </c>
      <c r="AX26" s="709">
        <f t="shared" si="13"/>
        <v>8.0001999999999995</v>
      </c>
      <c r="AY26" s="709">
        <f t="shared" si="13"/>
        <v>13.000299999999999</v>
      </c>
      <c r="AZ26" s="709">
        <f t="shared" si="13"/>
        <v>12.000400000000001</v>
      </c>
      <c r="BA26" s="709">
        <f t="shared" si="13"/>
        <v>5.0000000000000001E-4</v>
      </c>
      <c r="BB26" s="709">
        <f t="shared" si="13"/>
        <v>8.0006000000000004</v>
      </c>
      <c r="BC26" s="709">
        <f t="shared" si="13"/>
        <v>11.0007</v>
      </c>
      <c r="BD26" s="709">
        <f t="shared" si="13"/>
        <v>7.5007999999999999</v>
      </c>
      <c r="BE26" s="709">
        <f t="shared" si="13"/>
        <v>8.9999999999999998E-4</v>
      </c>
      <c r="BF26" s="709">
        <f t="shared" si="13"/>
        <v>7.0010000000000003</v>
      </c>
      <c r="BG26" s="709">
        <f t="shared" si="13"/>
        <v>1.1000000000000001E-3</v>
      </c>
      <c r="BH26" s="709">
        <f t="shared" si="13"/>
        <v>1.1999999999999999E-3</v>
      </c>
      <c r="BI26" s="709">
        <f t="shared" si="13"/>
        <v>1.2999999999999999E-3</v>
      </c>
      <c r="BJ26" s="709">
        <f t="shared" si="13"/>
        <v>1.4E-3</v>
      </c>
      <c r="BK26" s="709">
        <f t="shared" si="13"/>
        <v>1.5E-3</v>
      </c>
      <c r="BL26" s="629"/>
    </row>
    <row r="27" spans="1:64" x14ac:dyDescent="0.2">
      <c r="A27" s="686" t="str">
        <f>IF(R27&gt;0,IF(Q27="v",RANK(B27,B$7:B$66,1)-COUNTBLANK(Q$7:Q$66),""),"")</f>
        <v/>
      </c>
      <c r="B27" s="687">
        <f t="shared" si="0"/>
        <v>-979</v>
      </c>
      <c r="C27" s="688" t="str">
        <f>IF(R27&gt;0,IF(P27="k",RANK(D27,D$7:D$66,1)-COUNTBLANK(P$7:P$66),""),"")</f>
        <v/>
      </c>
      <c r="D27" s="687">
        <f t="shared" si="1"/>
        <v>-979</v>
      </c>
      <c r="E27" s="689" t="str">
        <f>IF(R27&gt;0,IF(N27="m",RANK(F27,F$7:F$66,1)-COUNTBLANK(N$7:N$66),""),"")</f>
        <v/>
      </c>
      <c r="F27" s="687">
        <f t="shared" si="2"/>
        <v>-979</v>
      </c>
      <c r="G27" s="690">
        <f>IF(R27&gt;0,IF(M27="n",RANK(H27,H$7:H$66,1)-COUNTBLANK(M$7:M$66),""),"")</f>
        <v>2</v>
      </c>
      <c r="H27" s="687">
        <f t="shared" si="3"/>
        <v>21</v>
      </c>
      <c r="I27" s="691" t="str">
        <f>IF(R27&gt;0,IF(O27="j",RANK(J27,J$7:J$66,1)-COUNTBLANK(O$7:O$66),""),"")</f>
        <v/>
      </c>
      <c r="J27" s="692">
        <f t="shared" si="4"/>
        <v>-979</v>
      </c>
      <c r="K27" s="654">
        <f>IF(R27&gt;0,RANK(U27,U$7:U$66,1),"")</f>
        <v>21</v>
      </c>
      <c r="L27" s="693" t="s">
        <v>226</v>
      </c>
      <c r="M27" s="694" t="s">
        <v>280</v>
      </c>
      <c r="N27" s="695"/>
      <c r="O27" s="696"/>
      <c r="P27" s="697"/>
      <c r="Q27" s="698"/>
      <c r="R27" s="699">
        <f>(IF(COUNT(Z27,AA27,AB27,AC27,AD27,AE27,AF27,AG27,AH27,AI27,AJ27,AK27,AL27,AM27,AN27)&lt;11,SUM(Z27,AA27,AB27,AC27,AD27,AE27,AF27,AG27,AH27,AI27,AJ27,AK27,AL27,AM27,AN27),SUM(LARGE((Z27,AA27,AB27,AC27,AD27,AE27,AF27,AG27,AH27,AI27,AJ27,AK27,AL27,AM27,AN27),{1;2;3;4;5;6;7;8;9;10;11}))))</f>
        <v>66</v>
      </c>
      <c r="S27" s="700" t="str">
        <f>INDEX(ETAPP!B$1:B$32,MATCH(COUNTIF(Z27:AN27,PVO!A$1),ETAPP!A$1:A$32,0))&amp;INDEX(ETAPP!B$1:B$32,MATCH(COUNTIF(Z27:AN27,PVO!A$2),ETAPP!A$1:A$32,0))&amp;INDEX(ETAPP!B$1:B$32,MATCH(COUNTIF(Z27:AN27,PVO!A$3),ETAPP!A$1:A$32,0))&amp;INDEX(ETAPP!B$1:B$32,MATCH(COUNTIF(Z27:AN27,PVO!A$4),ETAPP!A$1:A$32,0))&amp;INDEX(ETAPP!B$1:B$32,MATCH(COUNTIF(Z27:AN27,PVO!A$5),ETAPP!A$1:A$32,0))&amp;INDEX(ETAPP!B$1:B$32,MATCH(COUNTIF(Z27:AN27,PVO!A$6),ETAPP!A$1:A$32,0))&amp;INDEX(ETAPP!B$1:B$32,MATCH(COUNTIF(Z27:AN27,PVO!A$7),ETAPP!A$1:A$32,0))&amp;INDEX(ETAPP!B$1:B$32,MATCH(COUNTIF(Z27:AN27,PVO!A$8),ETAPP!A$1:A$32,0))&amp;INDEX(ETAPP!B$1:B$32,MATCH(COUNTIF(Z27:AN27,PVO!A$9),ETAPP!A$1:A$32,0))&amp;INDEX(ETAPP!B$1:B$32,MATCH(COUNTIF(Z27:AN27,PVO!A$10),ETAPP!A$1:A$32,0))&amp;INDEX(ETAPP!B$1:B$32,MATCH(COUNTIF(Z27:AN27,PVO!A$11),ETAPP!A$1:A$32,0))&amp;INDEX(ETAPP!B$1:B$32,MATCH(COUNTIF(Z27:AN27,PVO!A$12),ETAPP!A$1:A$32,0))&amp;INDEX(ETAPP!B$1:B$32,MATCH(COUNTIF(Z27:AN27,PVO!A$13),ETAPP!A$1:A$32,0))&amp;INDEX(ETAPP!B$1:B$32,MATCH(COUNTIF(Z27:AN27,PVO!A$14),ETAPP!A$1:A$32,0))&amp;INDEX(ETAPP!B$1:B$32,MATCH(COUNTIF(Z27:AN27,PVO!A$15),ETAPP!A$1:A$32,0))&amp;INDEX(ETAPP!B$1:B$32,MATCH(COUNTIF(Z27:AN27,PVO!A$16),ETAPP!A$1:A$32,0))&amp;INDEX(ETAPP!B$1:B$32,MATCH(COUNTIF(Z27:AN27,PVO!A$17),ETAPP!A$1:A$32,0))&amp;INDEX(ETAPP!B$1:B$32,MATCH(COUNTIF(Z27:AN27,PVO!A$18),ETAPP!A$1:A$32,0))&amp;INDEX(ETAPP!B$1:B$32,MATCH(COUNTIF(Z27:AN27,PVO!A$19),ETAPP!A$1:A$32,0))</f>
        <v>00B0B00A0000000000E</v>
      </c>
      <c r="T27" s="700" t="str">
        <f t="shared" si="6"/>
        <v>066,0-00B0B00A0000000000E</v>
      </c>
      <c r="U27" s="700">
        <f>COUNTIF(T$7:T$66,"&gt;="&amp;T27)</f>
        <v>21</v>
      </c>
      <c r="V27" s="700">
        <f>COUNTIF(L$7:L$66,"&gt;="&amp;L27)</f>
        <v>15</v>
      </c>
      <c r="W27" s="700" t="str">
        <f t="shared" si="7"/>
        <v>066,0-00B0B00A0000000000E-015</v>
      </c>
      <c r="X27" s="700">
        <f>COUNTIF(W$7:W$66,"&gt;="&amp;W27)</f>
        <v>21</v>
      </c>
      <c r="Y27" s="701">
        <f>RANK(X27,X$7:X$66,0)</f>
        <v>40</v>
      </c>
      <c r="Z27" s="702" t="str">
        <f>IFERROR(INDEX('V1'!C$300:C$400,MATCH("*"&amp;L27&amp;"*",'V1'!B$300:B$400,0)),"  ")</f>
        <v xml:space="preserve">  </v>
      </c>
      <c r="AA27" s="702">
        <f>IFERROR(INDEX('V2'!C$300:C$400,MATCH("*"&amp;L27&amp;"*",'V2'!B$300:B$400,0)),"  ")</f>
        <v>15</v>
      </c>
      <c r="AB27" s="702">
        <f>IFERROR(INDEX('V3'!C$300:C$400,MATCH("*"&amp;L27&amp;"*",'V3'!B$300:B$400,0)),"  ")</f>
        <v>10</v>
      </c>
      <c r="AC27" s="702" t="str">
        <f>IFERROR(INDEX('V4'!C$300:C$400,MATCH("*"&amp;L27&amp;"*",'V4'!B$300:B$400,0)),"  ")</f>
        <v xml:space="preserve">  </v>
      </c>
      <c r="AD27" s="702" t="str">
        <f>IFERROR(INDEX('V5'!C$300:C$400,MATCH("*"&amp;L27&amp;"*",'V5'!B$300:B$400,0)),"  ")</f>
        <v xml:space="preserve">  </v>
      </c>
      <c r="AE27" s="702" t="str">
        <f>IFERROR(INDEX('V6'!C$300:C$400,MATCH("*"&amp;L27&amp;"*",'V6'!B$300:B$400,0)),"  ")</f>
        <v xml:space="preserve">  </v>
      </c>
      <c r="AF27" s="702" t="str">
        <f>IFERROR(INDEX('V7'!C$300:C$400,MATCH("*"&amp;L27&amp;"*",'V7'!B$300:B$400,0)),"  ")</f>
        <v xml:space="preserve">  </v>
      </c>
      <c r="AG27" s="702" t="str">
        <f>IFERROR(INDEX('V8'!C$300:C$400,MATCH("*"&amp;L27&amp;"*",'V8'!B$300:B$400,0)),"  ")</f>
        <v xml:space="preserve">  </v>
      </c>
      <c r="AH27" s="702" t="str">
        <f>IFERROR(INDEX('V9'!C$300:C$400,MATCH("*"&amp;L27&amp;"*",'V9'!B$300:B$400,0)),"  ")</f>
        <v xml:space="preserve">  </v>
      </c>
      <c r="AI27" s="702">
        <f>IFERROR(INDEX('V10'!C$300:C$400,MATCH("*"&amp;L27&amp;"*",'V10'!B$300:B$400,0)),"  ")</f>
        <v>13</v>
      </c>
      <c r="AJ27" s="702" t="str">
        <f>IFERROR(INDEX('V11'!C$300:C$400,MATCH("*"&amp;L27&amp;"*",'V11'!B$300:B$400,0)),"  ")</f>
        <v xml:space="preserve">  </v>
      </c>
      <c r="AK27" s="702">
        <f>IFERROR(INDEX('V12'!C$300:C$400,MATCH("*"&amp;L27&amp;"*",'V12'!B$300:B$400,0)),"  ")</f>
        <v>15</v>
      </c>
      <c r="AL27" s="702" t="str">
        <f>IFERROR(INDEX('V13'!C$300:C$400,MATCH("*"&amp;L27&amp;"*",'V13'!B$300:B$400,0)),"  ")</f>
        <v xml:space="preserve">  </v>
      </c>
      <c r="AM27" s="702">
        <f>IFERROR(INDEX('V14'!C$300:C$400,MATCH("*"&amp;L27&amp;"*",'V14'!B$300:B$400,0)),"  ")</f>
        <v>13</v>
      </c>
      <c r="AN27" s="702" t="str">
        <f>IFERROR(INDEX('V15'!C$300:C$400,MATCH("*"&amp;L27&amp;"*",'V15'!B$300:B$400,0)),"  ")</f>
        <v xml:space="preserve">  </v>
      </c>
      <c r="AO27" s="703">
        <f t="shared" si="10"/>
        <v>21</v>
      </c>
      <c r="AP27" s="704" t="str">
        <f>IFERROR("edasi "&amp;RANK(AO27,AO$7:AO$66,1),K27)</f>
        <v>edasi 21</v>
      </c>
      <c r="AQ27" s="705" t="str">
        <f>IFERROR(INDEX('V-fin'!A$300:A$401,MATCH("*"&amp;L27&amp;"*",'V-fin'!B$300:B$401,0)),"  ")</f>
        <v xml:space="preserve">  </v>
      </c>
      <c r="AR27" s="706">
        <f t="shared" si="8"/>
        <v>5</v>
      </c>
      <c r="AS27" s="707">
        <f>IFERROR(IF(Z27+1&gt;LARGE(Z$7:Z$66,1)-2,1),0)+IFERROR(IF(AA27+1&gt;LARGE(AA$7:AA$66,1)-2,1),0)+IFERROR(IF(AB27+1&gt;LARGE(AB$7:AB$66,1)-2,1),0)+IFERROR(IF(AC27+1&gt;LARGE(AC$7:AC$66,1)-2,1),0)+IFERROR(IF(AD27+1&gt;LARGE(AD$7:AD$66,1)-2,1),0)+IFERROR(IF(AE27+1&gt;LARGE(AE$7:AE$66,1)-2,1),0)+IFERROR(IF(AF27+1&gt;LARGE(AF$7:AF$66,1)-2,1),0)+IFERROR(IF(AG27+1&gt;LARGE(AG$7:AG$66,1)-2,1),0)+IFERROR(IF(AH27+1&gt;LARGE(AH$7:AH$66,1)-2,1),0)+IFERROR(IF(AI27+1&gt;LARGE(AI$7:AI$66,1)-2,1),0)+IFERROR(IF(AJ27+1&gt;LARGE(AJ$7:AJ$66,1)-2,1),0)+IFERROR(IF(AK27+1&gt;LARGE(AK$7:AK$66,1)-2,1),0)+IFERROR(IF(AL27+1&gt;LARGE(AL$7:AL$66,1)-2,1),0)+IFERROR(IF(AM27+1&gt;LARGE(AM$7:AM$66,1)-2,1),0)+IFERROR(IF(AN27+1&gt;LARGE(AN$7:AN$66,1)-2,1),0)</f>
        <v>4</v>
      </c>
      <c r="AT27" s="707">
        <f>IF(Z27=0,0,IF(Z27=IFERROR(LARGE(Z$7:Z$66,1),0),1,0))+IF(AA27=0,0,IF(AA27=IFERROR(LARGE(AA$7:AA$66,1),0),1,0))+IF(AB27=0,0,IF(AB27=IFERROR(LARGE(AB$7:AB$66,1),0),1,0))+IF(AC27=0,0,IF(AC27=IFERROR(LARGE(AC$7:AC$66,1),0),1,0))+IF(AD27=0,0,IF(AD27=IFERROR(LARGE(AD$7:AD$66,1),0),1,0))+IF(AE27=0,0,IF(AE27=IFERROR(LARGE(AE$7:AE$66,1),0),1,0))+IF(AF27=0,0,IF(AF27=IFERROR(LARGE(AF$7:AF$66,1),0),1,0))+IF(AG27=0,0,IF(AG27=IFERROR(LARGE(AG$7:AG$66,1),0),1,0))+IF(AH27=0,0,IF(AH27=IFERROR(LARGE(AH$7:AH$66,1),0),1,0))+IF(AI27=0,0,IF(AI27=IFERROR(LARGE(AI$7:AI$66,1),0),1,0))+IF(AJ27=0,0,IF(AJ27=IFERROR(LARGE(AJ$7:AJ$66,1),0),1,0))+IF(AK27=0,0,IF(AK27=IFERROR(LARGE(AK$7:AK$66,1),0),1,0))+IF(AL27=0,0,IF(AL27=IFERROR(LARGE(AL$7:AL$66,1),0),1,0))+IF(AM27=0,0,IF(AM27=IFERROR(LARGE(AM$7:AM$66,1),0),1,0))+IF(AN27=0,0,IF(AN27=IFERROR(LARGE(AN$7:AN$66,1),0),1,0))</f>
        <v>2</v>
      </c>
      <c r="AU27" s="712"/>
      <c r="AV27" s="708">
        <f t="shared" si="11"/>
        <v>5.9999999999999995E-4</v>
      </c>
      <c r="AW27" s="709">
        <f t="shared" si="13"/>
        <v>1E-4</v>
      </c>
      <c r="AX27" s="709">
        <f t="shared" si="13"/>
        <v>15.0002</v>
      </c>
      <c r="AY27" s="709">
        <f t="shared" si="13"/>
        <v>10.000299999999999</v>
      </c>
      <c r="AZ27" s="709">
        <f t="shared" si="13"/>
        <v>4.0000000000000002E-4</v>
      </c>
      <c r="BA27" s="709">
        <f t="shared" si="13"/>
        <v>5.0000000000000001E-4</v>
      </c>
      <c r="BB27" s="709">
        <f t="shared" si="13"/>
        <v>5.9999999999999995E-4</v>
      </c>
      <c r="BC27" s="709">
        <f t="shared" si="13"/>
        <v>6.9999999999999999E-4</v>
      </c>
      <c r="BD27" s="709">
        <f t="shared" si="13"/>
        <v>8.0000000000000004E-4</v>
      </c>
      <c r="BE27" s="709">
        <f t="shared" si="13"/>
        <v>8.9999999999999998E-4</v>
      </c>
      <c r="BF27" s="709">
        <f t="shared" si="13"/>
        <v>13.000999999999999</v>
      </c>
      <c r="BG27" s="709">
        <f t="shared" si="13"/>
        <v>1.1000000000000001E-3</v>
      </c>
      <c r="BH27" s="709">
        <f t="shared" si="13"/>
        <v>15.001200000000001</v>
      </c>
      <c r="BI27" s="709">
        <f t="shared" si="13"/>
        <v>1.2999999999999999E-3</v>
      </c>
      <c r="BJ27" s="709">
        <f t="shared" si="13"/>
        <v>13.0014</v>
      </c>
      <c r="BK27" s="709">
        <f t="shared" si="13"/>
        <v>1.5E-3</v>
      </c>
      <c r="BL27" s="629"/>
    </row>
    <row r="28" spans="1:64" x14ac:dyDescent="0.2">
      <c r="A28" s="686">
        <f>IF(R28&gt;0,IF(Q28="v",RANK(B28,B$7:B$66,1)-COUNTBLANK(Q$7:Q$66),""),"")</f>
        <v>12</v>
      </c>
      <c r="B28" s="687">
        <f t="shared" si="0"/>
        <v>22</v>
      </c>
      <c r="C28" s="688">
        <f>IF(R28&gt;0,IF(P28="k",RANK(D28,D$7:D$66,1)-COUNTBLANK(P$7:P$66),""),"")</f>
        <v>8</v>
      </c>
      <c r="D28" s="687">
        <f t="shared" si="1"/>
        <v>22</v>
      </c>
      <c r="E28" s="689">
        <f>IF(R28&gt;0,IF(N28="m",RANK(F28,F$7:F$66,1)-COUNTBLANK(N$7:N$66),""),"")</f>
        <v>20</v>
      </c>
      <c r="F28" s="687">
        <f t="shared" si="2"/>
        <v>22</v>
      </c>
      <c r="G28" s="690" t="str">
        <f>IF(R28&gt;0,IF(M28="n",RANK(H28,H$7:H$66,1)-COUNTBLANK(M$7:M$66),""),"")</f>
        <v/>
      </c>
      <c r="H28" s="687">
        <f t="shared" si="3"/>
        <v>-978</v>
      </c>
      <c r="I28" s="691">
        <f>IF(R28&gt;0,IF(O28="j",RANK(J28,J$7:J$66,1)-COUNTBLANK(O$7:O$66),""),"")</f>
        <v>1</v>
      </c>
      <c r="J28" s="692">
        <f t="shared" si="4"/>
        <v>22</v>
      </c>
      <c r="K28" s="654">
        <f>IF(R28&gt;0,RANK(U28,U$7:U$66,1),"")</f>
        <v>22</v>
      </c>
      <c r="L28" s="693" t="s">
        <v>286</v>
      </c>
      <c r="M28" s="694"/>
      <c r="N28" s="695" t="str">
        <f t="shared" ref="N28:N37" si="14">IF(M28="","m","")</f>
        <v>m</v>
      </c>
      <c r="O28" s="696" t="s">
        <v>287</v>
      </c>
      <c r="P28" s="697" t="s">
        <v>268</v>
      </c>
      <c r="Q28" s="698" t="s">
        <v>269</v>
      </c>
      <c r="R28" s="699">
        <f>(IF(COUNT(Z28,AA28,AB28,AC28,AD28,AE28,AF28,AG28,AH28,AI28,AJ28,AK28,AL28,AM28,AN28)&lt;11,SUM(Z28,AA28,AB28,AC28,AD28,AE28,AF28,AG28,AH28,AI28,AJ28,AK28,AL28,AM28,AN28),SUM(LARGE((Z28,AA28,AB28,AC28,AD28,AE28,AF28,AG28,AH28,AI28,AJ28,AK28,AL28,AM28,AN28),{1;2;3;4;5;6;7;8;9;10;11}))))</f>
        <v>61</v>
      </c>
      <c r="S28" s="700" t="str">
        <f>INDEX(ETAPP!B$1:B$32,MATCH(COUNTIF(Z28:AN28,PVO!A$1),ETAPP!A$1:A$32,0))&amp;INDEX(ETAPP!B$1:B$32,MATCH(COUNTIF(Z28:AN28,PVO!A$2),ETAPP!A$1:A$32,0))&amp;INDEX(ETAPP!B$1:B$32,MATCH(COUNTIF(Z28:AN28,PVO!A$3),ETAPP!A$1:A$32,0))&amp;INDEX(ETAPP!B$1:B$32,MATCH(COUNTIF(Z28:AN28,PVO!A$4),ETAPP!A$1:A$32,0))&amp;INDEX(ETAPP!B$1:B$32,MATCH(COUNTIF(Z28:AN28,PVO!A$5),ETAPP!A$1:A$32,0))&amp;INDEX(ETAPP!B$1:B$32,MATCH(COUNTIF(Z28:AN28,PVO!A$6),ETAPP!A$1:A$32,0))&amp;INDEX(ETAPP!B$1:B$32,MATCH(COUNTIF(Z28:AN28,PVO!A$7),ETAPP!A$1:A$32,0))&amp;INDEX(ETAPP!B$1:B$32,MATCH(COUNTIF(Z28:AN28,PVO!A$8),ETAPP!A$1:A$32,0))&amp;INDEX(ETAPP!B$1:B$32,MATCH(COUNTIF(Z28:AN28,PVO!A$9),ETAPP!A$1:A$32,0))&amp;INDEX(ETAPP!B$1:B$32,MATCH(COUNTIF(Z28:AN28,PVO!A$10),ETAPP!A$1:A$32,0))&amp;INDEX(ETAPP!B$1:B$32,MATCH(COUNTIF(Z28:AN28,PVO!A$11),ETAPP!A$1:A$32,0))&amp;INDEX(ETAPP!B$1:B$32,MATCH(COUNTIF(Z28:AN28,PVO!A$12),ETAPP!A$1:A$32,0))&amp;INDEX(ETAPP!B$1:B$32,MATCH(COUNTIF(Z28:AN28,PVO!A$13),ETAPP!A$1:A$32,0))&amp;INDEX(ETAPP!B$1:B$32,MATCH(COUNTIF(Z28:AN28,PVO!A$14),ETAPP!A$1:A$32,0))&amp;INDEX(ETAPP!B$1:B$32,MATCH(COUNTIF(Z28:AN28,PVO!A$15),ETAPP!A$1:A$32,0))&amp;INDEX(ETAPP!B$1:B$32,MATCH(COUNTIF(Z28:AN28,PVO!A$16),ETAPP!A$1:A$32,0))&amp;INDEX(ETAPP!B$1:B$32,MATCH(COUNTIF(Z28:AN28,PVO!A$17),ETAPP!A$1:A$32,0))&amp;INDEX(ETAPP!B$1:B$32,MATCH(COUNTIF(Z28:AN28,PVO!A$18),ETAPP!A$1:A$32,0))&amp;INDEX(ETAPP!B$1:B$32,MATCH(COUNTIF(Z28:AN28,PVO!A$19),ETAPP!A$1:A$32,0))</f>
        <v>000A0A0A0AAA0A0000C</v>
      </c>
      <c r="T28" s="700" t="str">
        <f t="shared" si="6"/>
        <v>061,0-000A0A0A0AAA0A0000C</v>
      </c>
      <c r="U28" s="700">
        <f>COUNTIF(T$7:T$66,"&gt;="&amp;T28)</f>
        <v>22</v>
      </c>
      <c r="V28" s="700">
        <f>COUNTIF(L$7:L$66,"&gt;="&amp;L28)</f>
        <v>47</v>
      </c>
      <c r="W28" s="700" t="str">
        <f t="shared" si="7"/>
        <v>061,0-000A0A0A0AAA0A0000C-047</v>
      </c>
      <c r="X28" s="700">
        <f>COUNTIF(W$7:W$66,"&gt;="&amp;W28)</f>
        <v>22</v>
      </c>
      <c r="Y28" s="701">
        <f>RANK(X28,X$7:X$66,0)</f>
        <v>39</v>
      </c>
      <c r="Z28" s="702" t="str">
        <f>IFERROR(INDEX('V1'!C$300:C$400,MATCH("*"&amp;L28&amp;"*",'V1'!B$300:B$400,0)),"  ")</f>
        <v xml:space="preserve">  </v>
      </c>
      <c r="AA28" s="702">
        <f>IFERROR(INDEX('V2'!C$300:C$400,MATCH("*"&amp;L28&amp;"*",'V2'!B$300:B$400,0)),"  ")</f>
        <v>4</v>
      </c>
      <c r="AB28" s="702" t="str">
        <f>IFERROR(INDEX('V3'!C$300:C$400,MATCH("*"&amp;L28&amp;"*",'V3'!B$300:B$400,0)),"  ")</f>
        <v xml:space="preserve">  </v>
      </c>
      <c r="AC28" s="702" t="str">
        <f>IFERROR(INDEX('V4'!C$300:C$400,MATCH("*"&amp;L28&amp;"*",'V4'!B$300:B$400,0)),"  ")</f>
        <v xml:space="preserve">  </v>
      </c>
      <c r="AD28" s="702" t="str">
        <f>IFERROR(INDEX('V5'!C$300:C$400,MATCH("*"&amp;L28&amp;"*",'V5'!B$300:B$400,0)),"  ")</f>
        <v xml:space="preserve">  </v>
      </c>
      <c r="AE28" s="702" t="str">
        <f>IFERROR(INDEX('V6'!C$300:C$400,MATCH("*"&amp;L28&amp;"*",'V6'!B$300:B$400,0)),"  ")</f>
        <v xml:space="preserve">  </v>
      </c>
      <c r="AF28" s="702">
        <f>IFERROR(INDEX('V7'!C$300:C$400,MATCH("*"&amp;L28&amp;"*",'V7'!B$300:B$400,0)),"  ")</f>
        <v>7</v>
      </c>
      <c r="AG28" s="702" t="str">
        <f>IFERROR(INDEX('V8'!C$300:C$400,MATCH("*"&amp;L28&amp;"*",'V8'!B$300:B$400,0)),"  ")</f>
        <v xml:space="preserve">  </v>
      </c>
      <c r="AH28" s="702">
        <f>IFERROR(INDEX('V9'!C$300:C$400,MATCH("*"&amp;L28&amp;"*",'V9'!B$300:B$400,0)),"  ")</f>
        <v>14</v>
      </c>
      <c r="AI28" s="702">
        <f>IFERROR(INDEX('V10'!C$300:C$400,MATCH("*"&amp;L28&amp;"*",'V10'!B$300:B$400,0)),"  ")</f>
        <v>6</v>
      </c>
      <c r="AJ28" s="702">
        <f>IFERROR(INDEX('V11'!C$300:C$400,MATCH("*"&amp;L28&amp;"*",'V11'!B$300:B$400,0)),"  ")</f>
        <v>12</v>
      </c>
      <c r="AK28" s="702" t="str">
        <f>IFERROR(INDEX('V12'!C$300:C$400,MATCH("*"&amp;L28&amp;"*",'V12'!B$300:B$400,0)),"  ")</f>
        <v xml:space="preserve">  </v>
      </c>
      <c r="AL28" s="702" t="str">
        <f>IFERROR(INDEX('V13'!C$300:C$400,MATCH("*"&amp;L28&amp;"*",'V13'!B$300:B$400,0)),"  ")</f>
        <v xml:space="preserve">  </v>
      </c>
      <c r="AM28" s="702">
        <f>IFERROR(INDEX('V14'!C$300:C$400,MATCH("*"&amp;L28&amp;"*",'V14'!B$300:B$400,0)),"  ")</f>
        <v>8</v>
      </c>
      <c r="AN28" s="702">
        <f>IFERROR(INDEX('V15'!C$300:C$400,MATCH("*"&amp;L28&amp;"*",'V15'!B$300:B$400,0)),"  ")</f>
        <v>10</v>
      </c>
      <c r="AO28" s="703">
        <f t="shared" si="10"/>
        <v>22</v>
      </c>
      <c r="AP28" s="704" t="str">
        <f>IFERROR("edasi "&amp;RANK(AO28,AO$7:AO$66,1),K28)</f>
        <v>edasi 22</v>
      </c>
      <c r="AQ28" s="705">
        <f>IFERROR(INDEX('V-fin'!A$300:A$401,MATCH("*"&amp;L28&amp;"*",'V-fin'!B$300:B$401,0)),"  ")</f>
        <v>4</v>
      </c>
      <c r="AR28" s="706">
        <f t="shared" si="8"/>
        <v>7</v>
      </c>
      <c r="AS28" s="707">
        <f>IFERROR(IF(Z28+1&gt;LARGE(Z$7:Z$66,1)-2,1),0)+IFERROR(IF(AA28+1&gt;LARGE(AA$7:AA$66,1)-2,1),0)+IFERROR(IF(AB28+1&gt;LARGE(AB$7:AB$66,1)-2,1),0)+IFERROR(IF(AC28+1&gt;LARGE(AC$7:AC$66,1)-2,1),0)+IFERROR(IF(AD28+1&gt;LARGE(AD$7:AD$66,1)-2,1),0)+IFERROR(IF(AE28+1&gt;LARGE(AE$7:AE$66,1)-2,1),0)+IFERROR(IF(AF28+1&gt;LARGE(AF$7:AF$66,1)-2,1),0)+IFERROR(IF(AG28+1&gt;LARGE(AG$7:AG$66,1)-2,1),0)+IFERROR(IF(AH28+1&gt;LARGE(AH$7:AH$66,1)-2,1),0)+IFERROR(IF(AI28+1&gt;LARGE(AI$7:AI$66,1)-2,1),0)+IFERROR(IF(AJ28+1&gt;LARGE(AJ$7:AJ$66,1)-2,1),0)+IFERROR(IF(AK28+1&gt;LARGE(AK$7:AK$66,1)-2,1),0)+IFERROR(IF(AL28+1&gt;LARGE(AL$7:AL$66,1)-2,1),0)+IFERROR(IF(AM28+1&gt;LARGE(AM$7:AM$66,1)-2,1),0)+IFERROR(IF(AN28+1&gt;LARGE(AN$7:AN$66,1)-2,1),0)</f>
        <v>1</v>
      </c>
      <c r="AT28" s="707">
        <f>IF(Z28=0,0,IF(Z28=IFERROR(LARGE(Z$7:Z$66,1),0),1,0))+IF(AA28=0,0,IF(AA28=IFERROR(LARGE(AA$7:AA$66,1),0),1,0))+IF(AB28=0,0,IF(AB28=IFERROR(LARGE(AB$7:AB$66,1),0),1,0))+IF(AC28=0,0,IF(AC28=IFERROR(LARGE(AC$7:AC$66,1),0),1,0))+IF(AD28=0,0,IF(AD28=IFERROR(LARGE(AD$7:AD$66,1),0),1,0))+IF(AE28=0,0,IF(AE28=IFERROR(LARGE(AE$7:AE$66,1),0),1,0))+IF(AF28=0,0,IF(AF28=IFERROR(LARGE(AF$7:AF$66,1),0),1,0))+IF(AG28=0,0,IF(AG28=IFERROR(LARGE(AG$7:AG$66,1),0),1,0))+IF(AH28=0,0,IF(AH28=IFERROR(LARGE(AH$7:AH$66,1),0),1,0))+IF(AI28=0,0,IF(AI28=IFERROR(LARGE(AI$7:AI$66,1),0),1,0))+IF(AJ28=0,0,IF(AJ28=IFERROR(LARGE(AJ$7:AJ$66,1),0),1,0))+IF(AK28=0,0,IF(AK28=IFERROR(LARGE(AK$7:AK$66,1),0),1,0))+IF(AL28=0,0,IF(AL28=IFERROR(LARGE(AL$7:AL$66,1),0),1,0))+IF(AM28=0,0,IF(AM28=IFERROR(LARGE(AM$7:AM$66,1),0),1,0))+IF(AN28=0,0,IF(AN28=IFERROR(LARGE(AN$7:AN$66,1),0),1,0))</f>
        <v>0</v>
      </c>
      <c r="AU28" s="629"/>
      <c r="AV28" s="708">
        <f t="shared" si="11"/>
        <v>5.0000000000000001E-4</v>
      </c>
      <c r="AW28" s="709">
        <f t="shared" si="13"/>
        <v>1E-4</v>
      </c>
      <c r="AX28" s="709">
        <f t="shared" si="13"/>
        <v>4.0002000000000004</v>
      </c>
      <c r="AY28" s="709">
        <f t="shared" si="13"/>
        <v>2.9999999999999997E-4</v>
      </c>
      <c r="AZ28" s="709">
        <f t="shared" si="13"/>
        <v>4.0000000000000002E-4</v>
      </c>
      <c r="BA28" s="709">
        <f t="shared" si="13"/>
        <v>5.0000000000000001E-4</v>
      </c>
      <c r="BB28" s="709">
        <f t="shared" si="13"/>
        <v>5.9999999999999995E-4</v>
      </c>
      <c r="BC28" s="709">
        <f t="shared" si="13"/>
        <v>7.0007000000000001</v>
      </c>
      <c r="BD28" s="709">
        <f t="shared" si="13"/>
        <v>8.0000000000000004E-4</v>
      </c>
      <c r="BE28" s="709">
        <f t="shared" si="13"/>
        <v>14.0009</v>
      </c>
      <c r="BF28" s="709">
        <f t="shared" si="13"/>
        <v>6.0010000000000003</v>
      </c>
      <c r="BG28" s="709">
        <f t="shared" si="13"/>
        <v>12.001099999999999</v>
      </c>
      <c r="BH28" s="709">
        <f t="shared" si="13"/>
        <v>1.1999999999999999E-3</v>
      </c>
      <c r="BI28" s="709">
        <f t="shared" si="13"/>
        <v>1.2999999999999999E-3</v>
      </c>
      <c r="BJ28" s="709">
        <f t="shared" si="13"/>
        <v>8.0014000000000003</v>
      </c>
      <c r="BK28" s="709">
        <f t="shared" si="13"/>
        <v>10.0015</v>
      </c>
      <c r="BL28" s="629"/>
    </row>
    <row r="29" spans="1:64" x14ac:dyDescent="0.2">
      <c r="A29" s="686" t="str">
        <f>IF(R29&gt;0,IF(Q29="v",RANK(B29,B$7:B$66,1)-COUNTBLANK(Q$7:Q$66),""),"")</f>
        <v/>
      </c>
      <c r="B29" s="687">
        <f t="shared" si="0"/>
        <v>-977</v>
      </c>
      <c r="C29" s="688" t="str">
        <f>IF(R29&gt;0,IF(P29="k",RANK(D29,D$7:D$66,1)-COUNTBLANK(P$7:P$66),""),"")</f>
        <v/>
      </c>
      <c r="D29" s="687">
        <f t="shared" si="1"/>
        <v>-977</v>
      </c>
      <c r="E29" s="689">
        <f>IF(R29&gt;0,IF(N29="m",RANK(F29,F$7:F$66,1)-COUNTBLANK(N$7:N$66),""),"")</f>
        <v>21</v>
      </c>
      <c r="F29" s="687">
        <f t="shared" si="2"/>
        <v>23</v>
      </c>
      <c r="G29" s="690" t="str">
        <f>IF(R29&gt;0,IF(M29="n",RANK(H29,H$7:H$66,1)-COUNTBLANK(M$7:M$66),""),"")</f>
        <v/>
      </c>
      <c r="H29" s="687">
        <f t="shared" si="3"/>
        <v>-977</v>
      </c>
      <c r="I29" s="691" t="str">
        <f>IF(R29&gt;0,IF(O29="j",RANK(J29,J$7:J$66,1)-COUNTBLANK(O$7:O$66),""),"")</f>
        <v/>
      </c>
      <c r="J29" s="692">
        <f t="shared" si="4"/>
        <v>-977</v>
      </c>
      <c r="K29" s="724">
        <f>IF(R29&gt;0,RANK(U29,U$7:U$66,1),"")</f>
        <v>23</v>
      </c>
      <c r="L29" s="725" t="s">
        <v>288</v>
      </c>
      <c r="M29" s="726"/>
      <c r="N29" s="727" t="str">
        <f t="shared" si="14"/>
        <v>m</v>
      </c>
      <c r="O29" s="728"/>
      <c r="P29" s="729"/>
      <c r="Q29" s="698"/>
      <c r="R29" s="699">
        <f>(IF(COUNT(Z29,AA29,AB29,AC29,AD29,AE29,AF29,AG29,AH29,AI29,AJ29,AK29,AL29,AM29,AN29)&lt;11,SUM(Z29,AA29,AB29,AC29,AD29,AE29,AF29,AG29,AH29,AI29,AJ29,AK29,AL29,AM29,AN29),SUM(LARGE((Z29,AA29,AB29,AC29,AD29,AE29,AF29,AG29,AH29,AI29,AJ29,AK29,AL29,AM29,AN29),{1;2;3;4;5;6;7;8;9;10;11}))))</f>
        <v>57</v>
      </c>
      <c r="S29" s="730" t="str">
        <f>INDEX(ETAPP!B$1:B$32,MATCH(COUNTIF(Z29:AN29,PVO!A$1),ETAPP!A$1:A$32,0))&amp;INDEX(ETAPP!B$1:B$32,MATCH(COUNTIF(Z29:AN29,PVO!A$2),ETAPP!A$1:A$32,0))&amp;INDEX(ETAPP!B$1:B$32,MATCH(COUNTIF(Z29:AN29,PVO!A$3),ETAPP!A$1:A$32,0))&amp;INDEX(ETAPP!B$1:B$32,MATCH(COUNTIF(Z29:AN29,PVO!A$4),ETAPP!A$1:A$32,0))&amp;INDEX(ETAPP!B$1:B$32,MATCH(COUNTIF(Z29:AN29,PVO!A$5),ETAPP!A$1:A$32,0))&amp;INDEX(ETAPP!B$1:B$32,MATCH(COUNTIF(Z29:AN29,PVO!A$6),ETAPP!A$1:A$32,0))&amp;INDEX(ETAPP!B$1:B$32,MATCH(COUNTIF(Z29:AN29,PVO!A$7),ETAPP!A$1:A$32,0))&amp;INDEX(ETAPP!B$1:B$32,MATCH(COUNTIF(Z29:AN29,PVO!A$8),ETAPP!A$1:A$32,0))&amp;INDEX(ETAPP!B$1:B$32,MATCH(COUNTIF(Z29:AN29,PVO!A$9),ETAPP!A$1:A$32,0))&amp;INDEX(ETAPP!B$1:B$32,MATCH(COUNTIF(Z29:AN29,PVO!A$10),ETAPP!A$1:A$32,0))&amp;INDEX(ETAPP!B$1:B$32,MATCH(COUNTIF(Z29:AN29,PVO!A$11),ETAPP!A$1:A$32,0))&amp;INDEX(ETAPP!B$1:B$32,MATCH(COUNTIF(Z29:AN29,PVO!A$12),ETAPP!A$1:A$32,0))&amp;INDEX(ETAPP!B$1:B$32,MATCH(COUNTIF(Z29:AN29,PVO!A$13),ETAPP!A$1:A$32,0))&amp;INDEX(ETAPP!B$1:B$32,MATCH(COUNTIF(Z29:AN29,PVO!A$14),ETAPP!A$1:A$32,0))&amp;INDEX(ETAPP!B$1:B$32,MATCH(COUNTIF(Z29:AN29,PVO!A$15),ETAPP!A$1:A$32,0))&amp;INDEX(ETAPP!B$1:B$32,MATCH(COUNTIF(Z29:AN29,PVO!A$16),ETAPP!A$1:A$32,0))&amp;INDEX(ETAPP!B$1:B$32,MATCH(COUNTIF(Z29:AN29,PVO!A$17),ETAPP!A$1:A$32,0))&amp;INDEX(ETAPP!B$1:B$32,MATCH(COUNTIF(Z29:AN29,PVO!A$18),ETAPP!A$1:A$32,0))&amp;INDEX(ETAPP!B$1:B$32,MATCH(COUNTIF(Z29:AN29,PVO!A$19),ETAPP!A$1:A$32,0))</f>
        <v>0000B000A000000000E</v>
      </c>
      <c r="T29" s="730" t="str">
        <f t="shared" si="6"/>
        <v>057,0-0000B000A000000000E</v>
      </c>
      <c r="U29" s="730">
        <f>COUNTIF(T$7:T$66,"&gt;="&amp;T29)</f>
        <v>23</v>
      </c>
      <c r="V29" s="730">
        <f>COUNTIF(L$7:L$66,"&gt;="&amp;L29)</f>
        <v>10</v>
      </c>
      <c r="W29" s="730" t="str">
        <f t="shared" si="7"/>
        <v>057,0-0000B000A000000000E-010</v>
      </c>
      <c r="X29" s="730">
        <f>COUNTIF(W$7:W$66,"&gt;="&amp;W29)</f>
        <v>23</v>
      </c>
      <c r="Y29" s="731">
        <f>RANK(X29,X$7:X$66,0)</f>
        <v>38</v>
      </c>
      <c r="Z29" s="702" t="str">
        <f>IFERROR(INDEX('V1'!C$300:C$400,MATCH("*"&amp;L29&amp;"*",'V1'!B$300:B$400,0)),"  ")</f>
        <v xml:space="preserve">  </v>
      </c>
      <c r="AA29" s="702">
        <f>IFERROR(INDEX('V2'!C$300:C$400,MATCH("*"&amp;L29&amp;"*",'V2'!B$300:B$400,0)),"  ")</f>
        <v>13</v>
      </c>
      <c r="AB29" s="702" t="str">
        <f>IFERROR(INDEX('V3'!C$300:C$400,MATCH("*"&amp;L29&amp;"*",'V3'!B$300:B$400,0)),"  ")</f>
        <v xml:space="preserve">  </v>
      </c>
      <c r="AC29" s="702" t="str">
        <f>IFERROR(INDEX('V4'!C$300:C$400,MATCH("*"&amp;L29&amp;"*",'V4'!B$300:B$400,0)),"  ")</f>
        <v xml:space="preserve">  </v>
      </c>
      <c r="AD29" s="702" t="str">
        <f>IFERROR(INDEX('V5'!C$300:C$400,MATCH("*"&amp;L29&amp;"*",'V5'!B$300:B$400,0)),"  ")</f>
        <v xml:space="preserve">  </v>
      </c>
      <c r="AE29" s="702" t="str">
        <f>IFERROR(INDEX('V6'!C$300:C$400,MATCH("*"&amp;L29&amp;"*",'V6'!B$300:B$400,0)),"  ")</f>
        <v xml:space="preserve">  </v>
      </c>
      <c r="AF29" s="702">
        <f>IFERROR(INDEX('V7'!C$300:C$400,MATCH("*"&amp;L29&amp;"*",'V7'!B$300:B$400,0)),"  ")</f>
        <v>13</v>
      </c>
      <c r="AG29" s="702">
        <f>IFERROR(INDEX('V8'!C$300:C$400,MATCH("*"&amp;L29&amp;"*",'V8'!B$300:B$400,0)),"  ")</f>
        <v>9</v>
      </c>
      <c r="AH29" s="702">
        <f>IFERROR(INDEX('V9'!C$300:C$400,MATCH("*"&amp;L29&amp;"*",'V9'!B$300:B$400,0)),"  ")</f>
        <v>11.5</v>
      </c>
      <c r="AI29" s="702" t="str">
        <f>IFERROR(INDEX('V10'!C$300:C$400,MATCH("*"&amp;L29&amp;"*",'V10'!B$300:B$400,0)),"  ")</f>
        <v xml:space="preserve">  </v>
      </c>
      <c r="AJ29" s="702">
        <f>IFERROR(INDEX('V11'!C$300:C$400,MATCH("*"&amp;L29&amp;"*",'V11'!B$300:B$400,0)),"  ")</f>
        <v>10.5</v>
      </c>
      <c r="AK29" s="702" t="str">
        <f>IFERROR(INDEX('V12'!C$300:C$400,MATCH("*"&amp;L29&amp;"*",'V12'!B$300:B$400,0)),"  ")</f>
        <v xml:space="preserve">  </v>
      </c>
      <c r="AL29" s="702" t="str">
        <f>IFERROR(INDEX('V13'!C$300:C$400,MATCH("*"&amp;L29&amp;"*",'V13'!B$300:B$400,0)),"  ")</f>
        <v xml:space="preserve">  </v>
      </c>
      <c r="AM29" s="702" t="str">
        <f>IFERROR(INDEX('V14'!C$300:C$400,MATCH("*"&amp;L29&amp;"*",'V14'!B$300:B$400,0)),"  ")</f>
        <v xml:space="preserve">  </v>
      </c>
      <c r="AN29" s="702" t="str">
        <f>IFERROR(INDEX('V15'!C$300:C$400,MATCH("*"&amp;L29&amp;"*",'V15'!B$300:B$400,0)),"  ")</f>
        <v xml:space="preserve">  </v>
      </c>
      <c r="AO29" s="703">
        <f t="shared" si="10"/>
        <v>23</v>
      </c>
      <c r="AP29" s="704" t="str">
        <f>IFERROR("edasi "&amp;RANK(AO29,AO$7:AO$66,1),K29)</f>
        <v>edasi 23</v>
      </c>
      <c r="AQ29" s="705">
        <f>IFERROR(INDEX('V-fin'!A$300:A$401,MATCH("*"&amp;L29&amp;"*",'V-fin'!B$300:B$401,0)),"  ")</f>
        <v>6</v>
      </c>
      <c r="AR29" s="706">
        <f t="shared" si="8"/>
        <v>5</v>
      </c>
      <c r="AS29" s="707">
        <f>IFERROR(IF(Z29+1&gt;LARGE(Z$7:Z$66,1)-2,1),0)+IFERROR(IF(AA29+1&gt;LARGE(AA$7:AA$66,1)-2,1),0)+IFERROR(IF(AB29+1&gt;LARGE(AB$7:AB$66,1)-2,1),0)+IFERROR(IF(AC29+1&gt;LARGE(AC$7:AC$66,1)-2,1),0)+IFERROR(IF(AD29+1&gt;LARGE(AD$7:AD$66,1)-2,1),0)+IFERROR(IF(AE29+1&gt;LARGE(AE$7:AE$66,1)-2,1),0)+IFERROR(IF(AF29+1&gt;LARGE(AF$7:AF$66,1)-2,1),0)+IFERROR(IF(AG29+1&gt;LARGE(AG$7:AG$66,1)-2,1),0)+IFERROR(IF(AH29+1&gt;LARGE(AH$7:AH$66,1)-2,1),0)+IFERROR(IF(AI29+1&gt;LARGE(AI$7:AI$66,1)-2,1),0)+IFERROR(IF(AJ29+1&gt;LARGE(AJ$7:AJ$66,1)-2,1),0)+IFERROR(IF(AK29+1&gt;LARGE(AK$7:AK$66,1)-2,1),0)+IFERROR(IF(AL29+1&gt;LARGE(AL$7:AL$66,1)-2,1),0)+IFERROR(IF(AM29+1&gt;LARGE(AM$7:AM$66,1)-2,1),0)+IFERROR(IF(AN29+1&gt;LARGE(AN$7:AN$66,1)-2,1),0)</f>
        <v>2</v>
      </c>
      <c r="AT29" s="707">
        <f>IF(Z29=0,0,IF(Z29=IFERROR(LARGE(Z$7:Z$66,1),0),1,0))+IF(AA29=0,0,IF(AA29=IFERROR(LARGE(AA$7:AA$66,1),0),1,0))+IF(AB29=0,0,IF(AB29=IFERROR(LARGE(AB$7:AB$66,1),0),1,0))+IF(AC29=0,0,IF(AC29=IFERROR(LARGE(AC$7:AC$66,1),0),1,0))+IF(AD29=0,0,IF(AD29=IFERROR(LARGE(AD$7:AD$66,1),0),1,0))+IF(AE29=0,0,IF(AE29=IFERROR(LARGE(AE$7:AE$66,1),0),1,0))+IF(AF29=0,0,IF(AF29=IFERROR(LARGE(AF$7:AF$66,1),0),1,0))+IF(AG29=0,0,IF(AG29=IFERROR(LARGE(AG$7:AG$66,1),0),1,0))+IF(AH29=0,0,IF(AH29=IFERROR(LARGE(AH$7:AH$66,1),0),1,0))+IF(AI29=0,0,IF(AI29=IFERROR(LARGE(AI$7:AI$66,1),0),1,0))+IF(AJ29=0,0,IF(AJ29=IFERROR(LARGE(AJ$7:AJ$66,1),0),1,0))+IF(AK29=0,0,IF(AK29=IFERROR(LARGE(AK$7:AK$66,1),0),1,0))+IF(AL29=0,0,IF(AL29=IFERROR(LARGE(AL$7:AL$66,1),0),1,0))+IF(AM29=0,0,IF(AM29=IFERROR(LARGE(AM$7:AM$66,1),0),1,0))+IF(AN29=0,0,IF(AN29=IFERROR(LARGE(AN$7:AN$66,1),0),1,0))</f>
        <v>0</v>
      </c>
      <c r="AU29" s="629"/>
      <c r="AV29" s="708">
        <f t="shared" si="11"/>
        <v>5.0000000000000001E-4</v>
      </c>
      <c r="AW29" s="709">
        <f t="shared" si="13"/>
        <v>1E-4</v>
      </c>
      <c r="AX29" s="709">
        <f t="shared" si="13"/>
        <v>13.0002</v>
      </c>
      <c r="AY29" s="709">
        <f t="shared" si="13"/>
        <v>2.9999999999999997E-4</v>
      </c>
      <c r="AZ29" s="709">
        <f t="shared" si="13"/>
        <v>4.0000000000000002E-4</v>
      </c>
      <c r="BA29" s="709">
        <f t="shared" si="13"/>
        <v>5.0000000000000001E-4</v>
      </c>
      <c r="BB29" s="709">
        <f t="shared" si="13"/>
        <v>5.9999999999999995E-4</v>
      </c>
      <c r="BC29" s="709">
        <f t="shared" si="13"/>
        <v>13.0007</v>
      </c>
      <c r="BD29" s="709">
        <f t="shared" si="13"/>
        <v>9.0007999999999999</v>
      </c>
      <c r="BE29" s="709">
        <f t="shared" si="13"/>
        <v>11.5009</v>
      </c>
      <c r="BF29" s="709">
        <f t="shared" si="13"/>
        <v>1E-3</v>
      </c>
      <c r="BG29" s="709">
        <f t="shared" si="13"/>
        <v>10.501099999999999</v>
      </c>
      <c r="BH29" s="709">
        <f t="shared" si="13"/>
        <v>1.1999999999999999E-3</v>
      </c>
      <c r="BI29" s="709">
        <f t="shared" si="13"/>
        <v>1.2999999999999999E-3</v>
      </c>
      <c r="BJ29" s="709">
        <f t="shared" si="13"/>
        <v>1.4E-3</v>
      </c>
      <c r="BK29" s="709">
        <f t="shared" si="13"/>
        <v>1.5E-3</v>
      </c>
      <c r="BL29" s="629"/>
    </row>
    <row r="30" spans="1:64" x14ac:dyDescent="0.2">
      <c r="A30" s="686" t="str">
        <f>IF(R30&gt;0,IF(Q30="v",RANK(B30,B$7:B$66,1)-COUNTBLANK(Q$7:Q$66),""),"")</f>
        <v/>
      </c>
      <c r="B30" s="687">
        <f t="shared" si="0"/>
        <v>-976</v>
      </c>
      <c r="C30" s="688" t="str">
        <f>IF(R30&gt;0,IF(P30="k",RANK(D30,D$7:D$66,1)-COUNTBLANK(P$7:P$66),""),"")</f>
        <v/>
      </c>
      <c r="D30" s="687">
        <f t="shared" si="1"/>
        <v>-976</v>
      </c>
      <c r="E30" s="689">
        <f>IF(R30&gt;0,IF(N30="m",RANK(F30,F$7:F$66,1)-COUNTBLANK(N$7:N$66),""),"")</f>
        <v>22</v>
      </c>
      <c r="F30" s="687">
        <f t="shared" si="2"/>
        <v>24</v>
      </c>
      <c r="G30" s="690" t="str">
        <f>IF(R30&gt;0,IF(M30="n",RANK(H30,H$7:H$66,1)-COUNTBLANK(M$7:M$66),""),"")</f>
        <v/>
      </c>
      <c r="H30" s="687">
        <f t="shared" si="3"/>
        <v>-976</v>
      </c>
      <c r="I30" s="691" t="str">
        <f>IF(R30&gt;0,IF(O30="j",RANK(J30,J$7:J$66,1)-COUNTBLANK(O$7:O$66),""),"")</f>
        <v/>
      </c>
      <c r="J30" s="692">
        <f t="shared" si="4"/>
        <v>-976</v>
      </c>
      <c r="K30" s="654">
        <f>IF(R30&gt;0,RANK(U30,U$7:U$66,1),"")</f>
        <v>24</v>
      </c>
      <c r="L30" s="713" t="s">
        <v>220</v>
      </c>
      <c r="M30" s="694"/>
      <c r="N30" s="695" t="str">
        <f t="shared" si="14"/>
        <v>m</v>
      </c>
      <c r="O30" s="696"/>
      <c r="P30" s="697"/>
      <c r="Q30" s="698"/>
      <c r="R30" s="699">
        <f>(IF(COUNT(Z30,AA30,AB30,AC30,AD30,AE30,AF30,AG30,AH30,AI30,AJ30,AK30,AL30,AM30,AN30)&lt;11,SUM(Z30,AA30,AB30,AC30,AD30,AE30,AF30,AG30,AH30,AI30,AJ30,AK30,AL30,AM30,AN30),SUM(LARGE((Z30,AA30,AB30,AC30,AD30,AE30,AF30,AG30,AH30,AI30,AJ30,AK30,AL30,AM30,AN30),{1;2;3;4;5;6;7;8;9;10;11}))))</f>
        <v>51</v>
      </c>
      <c r="S30" s="700" t="str">
        <f>INDEX(ETAPP!B$1:B$32,MATCH(COUNTIF(Z30:AN30,PVO!A$1),ETAPP!A$1:A$32,0))&amp;INDEX(ETAPP!B$1:B$32,MATCH(COUNTIF(Z30:AN30,PVO!A$2),ETAPP!A$1:A$32,0))&amp;INDEX(ETAPP!B$1:B$32,MATCH(COUNTIF(Z30:AN30,PVO!A$3),ETAPP!A$1:A$32,0))&amp;INDEX(ETAPP!B$1:B$32,MATCH(COUNTIF(Z30:AN30,PVO!A$4),ETAPP!A$1:A$32,0))&amp;INDEX(ETAPP!B$1:B$32,MATCH(COUNTIF(Z30:AN30,PVO!A$5),ETAPP!A$1:A$32,0))&amp;INDEX(ETAPP!B$1:B$32,MATCH(COUNTIF(Z30:AN30,PVO!A$6),ETAPP!A$1:A$32,0))&amp;INDEX(ETAPP!B$1:B$32,MATCH(COUNTIF(Z30:AN30,PVO!A$7),ETAPP!A$1:A$32,0))&amp;INDEX(ETAPP!B$1:B$32,MATCH(COUNTIF(Z30:AN30,PVO!A$8),ETAPP!A$1:A$32,0))&amp;INDEX(ETAPP!B$1:B$32,MATCH(COUNTIF(Z30:AN30,PVO!A$9),ETAPP!A$1:A$32,0))&amp;INDEX(ETAPP!B$1:B$32,MATCH(COUNTIF(Z30:AN30,PVO!A$10),ETAPP!A$1:A$32,0))&amp;INDEX(ETAPP!B$1:B$32,MATCH(COUNTIF(Z30:AN30,PVO!A$11),ETAPP!A$1:A$32,0))&amp;INDEX(ETAPP!B$1:B$32,MATCH(COUNTIF(Z30:AN30,PVO!A$12),ETAPP!A$1:A$32,0))&amp;INDEX(ETAPP!B$1:B$32,MATCH(COUNTIF(Z30:AN30,PVO!A$13),ETAPP!A$1:A$32,0))&amp;INDEX(ETAPP!B$1:B$32,MATCH(COUNTIF(Z30:AN30,PVO!A$14),ETAPP!A$1:A$32,0))&amp;INDEX(ETAPP!B$1:B$32,MATCH(COUNTIF(Z30:AN30,PVO!A$15),ETAPP!A$1:A$32,0))&amp;INDEX(ETAPP!B$1:B$32,MATCH(COUNTIF(Z30:AN30,PVO!A$16),ETAPP!A$1:A$32,0))&amp;INDEX(ETAPP!B$1:B$32,MATCH(COUNTIF(Z30:AN30,PVO!A$17),ETAPP!A$1:A$32,0))&amp;INDEX(ETAPP!B$1:B$32,MATCH(COUNTIF(Z30:AN30,PVO!A$18),ETAPP!A$1:A$32,0))&amp;INDEX(ETAPP!B$1:B$32,MATCH(COUNTIF(Z30:AN30,PVO!A$19),ETAPP!A$1:A$32,0))</f>
        <v>0000A00AAAA0000B00C</v>
      </c>
      <c r="T30" s="700" t="str">
        <f t="shared" si="6"/>
        <v>051,0-0000A00AAAA0000B00C</v>
      </c>
      <c r="U30" s="700">
        <f>COUNTIF(T$7:T$66,"&gt;="&amp;T30)</f>
        <v>24</v>
      </c>
      <c r="V30" s="700">
        <f>COUNTIF(L$7:L$66,"&gt;="&amp;L30)</f>
        <v>42</v>
      </c>
      <c r="W30" s="700" t="str">
        <f t="shared" si="7"/>
        <v>051,0-0000A00AAAA0000B00C-042</v>
      </c>
      <c r="X30" s="700">
        <f>COUNTIF(W$7:W$66,"&gt;="&amp;W30)</f>
        <v>24</v>
      </c>
      <c r="Y30" s="701">
        <f>RANK(X30,X$7:X$66,0)</f>
        <v>37</v>
      </c>
      <c r="Z30" s="702" t="str">
        <f>IFERROR(INDEX('V1'!C$300:C$400,MATCH("*"&amp;L30&amp;"*",'V1'!B$300:B$400,0)),"  ")</f>
        <v xml:space="preserve">  </v>
      </c>
      <c r="AA30" s="702">
        <f>IFERROR(INDEX('V2'!C$300:C$400,MATCH("*"&amp;L30&amp;"*",'V2'!B$300:B$400,0)),"  ")</f>
        <v>2</v>
      </c>
      <c r="AB30" s="702">
        <f>IFERROR(INDEX('V3'!C$300:C$400,MATCH("*"&amp;L30&amp;"*",'V3'!B$300:B$400,0)),"  ")</f>
        <v>8</v>
      </c>
      <c r="AC30" s="702" t="str">
        <f>IFERROR(INDEX('V4'!C$300:C$400,MATCH("*"&amp;L30&amp;"*",'V4'!B$300:B$400,0)),"  ")</f>
        <v xml:space="preserve">  </v>
      </c>
      <c r="AD30" s="702" t="str">
        <f>IFERROR(INDEX('V5'!C$300:C$400,MATCH("*"&amp;L30&amp;"*",'V5'!B$300:B$400,0)),"  ")</f>
        <v xml:space="preserve">  </v>
      </c>
      <c r="AE30" s="702" t="str">
        <f>IFERROR(INDEX('V6'!C$300:C$400,MATCH("*"&amp;L30&amp;"*",'V6'!B$300:B$400,0)),"  ")</f>
        <v xml:space="preserve">  </v>
      </c>
      <c r="AF30" s="702" t="str">
        <f>IFERROR(INDEX('V7'!C$300:C$400,MATCH("*"&amp;L30&amp;"*",'V7'!B$300:B$400,0)),"  ")</f>
        <v xml:space="preserve">  </v>
      </c>
      <c r="AG30" s="702" t="str">
        <f>IFERROR(INDEX('V8'!C$300:C$400,MATCH("*"&amp;L30&amp;"*",'V8'!B$300:B$400,0)),"  ")</f>
        <v xml:space="preserve">  </v>
      </c>
      <c r="AH30" s="702">
        <f>IFERROR(INDEX('V9'!C$300:C$400,MATCH("*"&amp;L30&amp;"*",'V9'!B$300:B$400,0)),"  ")</f>
        <v>13</v>
      </c>
      <c r="AI30" s="702" t="str">
        <f>IFERROR(INDEX('V10'!C$300:C$400,MATCH("*"&amp;L30&amp;"*",'V10'!B$300:B$400,0)),"  ")</f>
        <v xml:space="preserve">  </v>
      </c>
      <c r="AJ30" s="702">
        <f>IFERROR(INDEX('V11'!C$300:C$400,MATCH("*"&amp;L30&amp;"*",'V11'!B$300:B$400,0)),"  ")</f>
        <v>9</v>
      </c>
      <c r="AK30" s="702">
        <f>IFERROR(INDEX('V12'!C$300:C$400,MATCH("*"&amp;L30&amp;"*",'V12'!B$300:B$400,0)),"  ")</f>
        <v>2</v>
      </c>
      <c r="AL30" s="702">
        <f>IFERROR(INDEX('V13'!C$300:C$400,MATCH("*"&amp;L30&amp;"*",'V13'!B$300:B$400,0)),"  ")</f>
        <v>10</v>
      </c>
      <c r="AM30" s="702">
        <f>IFERROR(INDEX('V14'!C$300:C$400,MATCH("*"&amp;L30&amp;"*",'V14'!B$300:B$400,0)),"  ")</f>
        <v>7</v>
      </c>
      <c r="AN30" s="702" t="str">
        <f>IFERROR(INDEX('V15'!C$300:C$400,MATCH("*"&amp;L30&amp;"*",'V15'!B$300:B$400,0)),"  ")</f>
        <v xml:space="preserve">  </v>
      </c>
      <c r="AO30" s="703">
        <f t="shared" si="10"/>
        <v>24</v>
      </c>
      <c r="AP30" s="704" t="str">
        <f>IFERROR("edasi "&amp;RANK(AO30,AO$7:AO$66,1),K30)</f>
        <v>edasi 24</v>
      </c>
      <c r="AQ30" s="705">
        <f>IFERROR(INDEX('V-fin'!A$300:A$401,MATCH("*"&amp;L30&amp;"*",'V-fin'!B$300:B$401,0)),"  ")</f>
        <v>6</v>
      </c>
      <c r="AR30" s="706">
        <f t="shared" si="8"/>
        <v>7</v>
      </c>
      <c r="AS30" s="707">
        <f>IFERROR(IF(Z30+1&gt;LARGE(Z$7:Z$66,1)-2,1),0)+IFERROR(IF(AA30+1&gt;LARGE(AA$7:AA$66,1)-2,1),0)+IFERROR(IF(AB30+1&gt;LARGE(AB$7:AB$66,1)-2,1),0)+IFERROR(IF(AC30+1&gt;LARGE(AC$7:AC$66,1)-2,1),0)+IFERROR(IF(AD30+1&gt;LARGE(AD$7:AD$66,1)-2,1),0)+IFERROR(IF(AE30+1&gt;LARGE(AE$7:AE$66,1)-2,1),0)+IFERROR(IF(AF30+1&gt;LARGE(AF$7:AF$66,1)-2,1),0)+IFERROR(IF(AG30+1&gt;LARGE(AG$7:AG$66,1)-2,1),0)+IFERROR(IF(AH30+1&gt;LARGE(AH$7:AH$66,1)-2,1),0)+IFERROR(IF(AI30+1&gt;LARGE(AI$7:AI$66,1)-2,1),0)+IFERROR(IF(AJ30+1&gt;LARGE(AJ$7:AJ$66,1)-2,1),0)+IFERROR(IF(AK30+1&gt;LARGE(AK$7:AK$66,1)-2,1),0)+IFERROR(IF(AL30+1&gt;LARGE(AL$7:AL$66,1)-2,1),0)+IFERROR(IF(AM30+1&gt;LARGE(AM$7:AM$66,1)-2,1),0)+IFERROR(IF(AN30+1&gt;LARGE(AN$7:AN$66,1)-2,1),0)</f>
        <v>1</v>
      </c>
      <c r="AT30" s="707">
        <f>IF(Z30=0,0,IF(Z30=IFERROR(LARGE(Z$7:Z$66,1),0),1,0))+IF(AA30=0,0,IF(AA30=IFERROR(LARGE(AA$7:AA$66,1),0),1,0))+IF(AB30=0,0,IF(AB30=IFERROR(LARGE(AB$7:AB$66,1),0),1,0))+IF(AC30=0,0,IF(AC30=IFERROR(LARGE(AC$7:AC$66,1),0),1,0))+IF(AD30=0,0,IF(AD30=IFERROR(LARGE(AD$7:AD$66,1),0),1,0))+IF(AE30=0,0,IF(AE30=IFERROR(LARGE(AE$7:AE$66,1),0),1,0))+IF(AF30=0,0,IF(AF30=IFERROR(LARGE(AF$7:AF$66,1),0),1,0))+IF(AG30=0,0,IF(AG30=IFERROR(LARGE(AG$7:AG$66,1),0),1,0))+IF(AH30=0,0,IF(AH30=IFERROR(LARGE(AH$7:AH$66,1),0),1,0))+IF(AI30=0,0,IF(AI30=IFERROR(LARGE(AI$7:AI$66,1),0),1,0))+IF(AJ30=0,0,IF(AJ30=IFERROR(LARGE(AJ$7:AJ$66,1),0),1,0))+IF(AK30=0,0,IF(AK30=IFERROR(LARGE(AK$7:AK$66,1),0),1,0))+IF(AL30=0,0,IF(AL30=IFERROR(LARGE(AL$7:AL$66,1),0),1,0))+IF(AM30=0,0,IF(AM30=IFERROR(LARGE(AM$7:AM$66,1),0),1,0))+IF(AN30=0,0,IF(AN30=IFERROR(LARGE(AN$7:AN$66,1),0),1,0))</f>
        <v>0</v>
      </c>
      <c r="AU30" s="712"/>
      <c r="AV30" s="708">
        <f t="shared" si="11"/>
        <v>5.9999999999999995E-4</v>
      </c>
      <c r="AW30" s="709">
        <f t="shared" si="13"/>
        <v>1E-4</v>
      </c>
      <c r="AX30" s="709">
        <f t="shared" si="13"/>
        <v>2.0002</v>
      </c>
      <c r="AY30" s="709">
        <f t="shared" si="13"/>
        <v>8.0002999999999993</v>
      </c>
      <c r="AZ30" s="709">
        <f t="shared" si="13"/>
        <v>4.0000000000000002E-4</v>
      </c>
      <c r="BA30" s="709">
        <f t="shared" si="13"/>
        <v>5.0000000000000001E-4</v>
      </c>
      <c r="BB30" s="709">
        <f t="shared" si="13"/>
        <v>5.9999999999999995E-4</v>
      </c>
      <c r="BC30" s="709">
        <f t="shared" si="13"/>
        <v>6.9999999999999999E-4</v>
      </c>
      <c r="BD30" s="709">
        <f t="shared" si="13"/>
        <v>8.0000000000000004E-4</v>
      </c>
      <c r="BE30" s="709">
        <f t="shared" si="13"/>
        <v>13.0009</v>
      </c>
      <c r="BF30" s="709">
        <f t="shared" si="13"/>
        <v>1E-3</v>
      </c>
      <c r="BG30" s="709">
        <f t="shared" si="13"/>
        <v>9.0010999999999992</v>
      </c>
      <c r="BH30" s="709">
        <f t="shared" si="13"/>
        <v>2.0011999999999999</v>
      </c>
      <c r="BI30" s="709">
        <f t="shared" si="13"/>
        <v>10.001300000000001</v>
      </c>
      <c r="BJ30" s="709">
        <f t="shared" si="13"/>
        <v>7.0014000000000003</v>
      </c>
      <c r="BK30" s="709">
        <f t="shared" si="13"/>
        <v>1.5E-3</v>
      </c>
      <c r="BL30" s="629"/>
    </row>
    <row r="31" spans="1:64" x14ac:dyDescent="0.2">
      <c r="A31" s="686">
        <f>IF(R31&gt;0,IF(Q31="v",RANK(B31,B$7:B$66,1)-COUNTBLANK(Q$7:Q$66),""),"")</f>
        <v>13</v>
      </c>
      <c r="B31" s="687">
        <f t="shared" si="0"/>
        <v>25</v>
      </c>
      <c r="C31" s="688">
        <f>IF(R31&gt;0,IF(P31="k",RANK(D31,D$7:D$66,1)-COUNTBLANK(P$7:P$66),""),"")</f>
        <v>9</v>
      </c>
      <c r="D31" s="687">
        <f t="shared" si="1"/>
        <v>25</v>
      </c>
      <c r="E31" s="689">
        <f>IF(R31&gt;0,IF(N31="m",RANK(F31,F$7:F$66,1)-COUNTBLANK(N$7:N$66),""),"")</f>
        <v>23</v>
      </c>
      <c r="F31" s="687">
        <f t="shared" si="2"/>
        <v>25</v>
      </c>
      <c r="G31" s="690" t="str">
        <f>IF(R31&gt;0,IF(M31="n",RANK(H31,H$7:H$66,1)-COUNTBLANK(M$7:M$66),""),"")</f>
        <v/>
      </c>
      <c r="H31" s="687">
        <f t="shared" si="3"/>
        <v>-975</v>
      </c>
      <c r="I31" s="691" t="str">
        <f>IF(R31&gt;0,IF(O31="j",RANK(J31,J$7:J$66,1)-COUNTBLANK(O$7:O$66),""),"")</f>
        <v/>
      </c>
      <c r="J31" s="692">
        <f t="shared" si="4"/>
        <v>-975</v>
      </c>
      <c r="K31" s="654">
        <f>IF(R31&gt;0,RANK(U31,U$7:U$66,1),"")</f>
        <v>25</v>
      </c>
      <c r="L31" s="723" t="s">
        <v>289</v>
      </c>
      <c r="M31" s="694"/>
      <c r="N31" s="695" t="str">
        <f t="shared" si="14"/>
        <v>m</v>
      </c>
      <c r="O31" s="696"/>
      <c r="P31" s="697" t="s">
        <v>268</v>
      </c>
      <c r="Q31" s="698" t="s">
        <v>269</v>
      </c>
      <c r="R31" s="699">
        <f>(IF(COUNT(Z31,AA31,AB31,AC31,AD31,AE31,AF31,AG31,AH31,AI31,AJ31,AK31,AL31,AM31,AN31)&lt;11,SUM(Z31,AA31,AB31,AC31,AD31,AE31,AF31,AG31,AH31,AI31,AJ31,AK31,AL31,AM31,AN31),SUM(LARGE((Z31,AA31,AB31,AC31,AD31,AE31,AF31,AG31,AH31,AI31,AJ31,AK31,AL31,AM31,AN31),{1;2;3;4;5;6;7;8;9;10;11}))))</f>
        <v>48.5</v>
      </c>
      <c r="S31" s="700" t="str">
        <f>INDEX(ETAPP!B$1:B$32,MATCH(COUNTIF(Z31:AN31,PVO!A$1),ETAPP!A$1:A$32,0))&amp;INDEX(ETAPP!B$1:B$32,MATCH(COUNTIF(Z31:AN31,PVO!A$2),ETAPP!A$1:A$32,0))&amp;INDEX(ETAPP!B$1:B$32,MATCH(COUNTIF(Z31:AN31,PVO!A$3),ETAPP!A$1:A$32,0))&amp;INDEX(ETAPP!B$1:B$32,MATCH(COUNTIF(Z31:AN31,PVO!A$4),ETAPP!A$1:A$32,0))&amp;INDEX(ETAPP!B$1:B$32,MATCH(COUNTIF(Z31:AN31,PVO!A$5),ETAPP!A$1:A$32,0))&amp;INDEX(ETAPP!B$1:B$32,MATCH(COUNTIF(Z31:AN31,PVO!A$6),ETAPP!A$1:A$32,0))&amp;INDEX(ETAPP!B$1:B$32,MATCH(COUNTIF(Z31:AN31,PVO!A$7),ETAPP!A$1:A$32,0))&amp;INDEX(ETAPP!B$1:B$32,MATCH(COUNTIF(Z31:AN31,PVO!A$8),ETAPP!A$1:A$32,0))&amp;INDEX(ETAPP!B$1:B$32,MATCH(COUNTIF(Z31:AN31,PVO!A$9),ETAPP!A$1:A$32,0))&amp;INDEX(ETAPP!B$1:B$32,MATCH(COUNTIF(Z31:AN31,PVO!A$10),ETAPP!A$1:A$32,0))&amp;INDEX(ETAPP!B$1:B$32,MATCH(COUNTIF(Z31:AN31,PVO!A$11),ETAPP!A$1:A$32,0))&amp;INDEX(ETAPP!B$1:B$32,MATCH(COUNTIF(Z31:AN31,PVO!A$12),ETAPP!A$1:A$32,0))&amp;INDEX(ETAPP!B$1:B$32,MATCH(COUNTIF(Z31:AN31,PVO!A$13),ETAPP!A$1:A$32,0))&amp;INDEX(ETAPP!B$1:B$32,MATCH(COUNTIF(Z31:AN31,PVO!A$14),ETAPP!A$1:A$32,0))&amp;INDEX(ETAPP!B$1:B$32,MATCH(COUNTIF(Z31:AN31,PVO!A$15),ETAPP!A$1:A$32,0))&amp;INDEX(ETAPP!B$1:B$32,MATCH(COUNTIF(Z31:AN31,PVO!A$16),ETAPP!A$1:A$32,0))&amp;INDEX(ETAPP!B$1:B$32,MATCH(COUNTIF(Z31:AN31,PVO!A$17),ETAPP!A$1:A$32,0))&amp;INDEX(ETAPP!B$1:B$32,MATCH(COUNTIF(Z31:AN31,PVO!A$18),ETAPP!A$1:A$32,0))&amp;INDEX(ETAPP!B$1:B$32,MATCH(COUNTIF(Z31:AN31,PVO!A$19),ETAPP!A$1:A$32,0))</f>
        <v>00A00AA00000000000F</v>
      </c>
      <c r="T31" s="700" t="str">
        <f t="shared" si="6"/>
        <v>048,5-00A00AA00000000000F</v>
      </c>
      <c r="U31" s="700">
        <f>COUNTIF(T$7:T$66,"&gt;="&amp;T31)</f>
        <v>25</v>
      </c>
      <c r="V31" s="700">
        <f>COUNTIF(L$7:L$66,"&gt;="&amp;L31)</f>
        <v>7</v>
      </c>
      <c r="W31" s="700" t="str">
        <f t="shared" si="7"/>
        <v>048,5-00A00AA00000000000F-007</v>
      </c>
      <c r="X31" s="700">
        <f>COUNTIF(W$7:W$66,"&gt;="&amp;W31)</f>
        <v>25</v>
      </c>
      <c r="Y31" s="701">
        <f>RANK(X31,X$7:X$66,0)</f>
        <v>36</v>
      </c>
      <c r="Z31" s="702">
        <f>IFERROR(INDEX('V1'!C$300:C$400,MATCH("*"&amp;L31&amp;"*",'V1'!B$300:B$400,0)),"  ")</f>
        <v>11</v>
      </c>
      <c r="AA31" s="702">
        <f>IFERROR(INDEX('V2'!C$300:C$400,MATCH("*"&amp;L31&amp;"*",'V2'!B$300:B$400,0)),"  ")</f>
        <v>12</v>
      </c>
      <c r="AB31" s="702">
        <f>IFERROR(INDEX('V3'!C$300:C$400,MATCH("*"&amp;L31&amp;"*",'V3'!B$300:B$400,0)),"  ")</f>
        <v>15</v>
      </c>
      <c r="AC31" s="702" t="str">
        <f>IFERROR(INDEX('V4'!C$300:C$400,MATCH("*"&amp;L31&amp;"*",'V4'!B$300:B$400,0)),"  ")</f>
        <v xml:space="preserve">  </v>
      </c>
      <c r="AD31" s="702" t="str">
        <f>IFERROR(INDEX('V5'!C$300:C$400,MATCH("*"&amp;L31&amp;"*",'V5'!B$300:B$400,0)),"  ")</f>
        <v xml:space="preserve">  </v>
      </c>
      <c r="AE31" s="702" t="str">
        <f>IFERROR(INDEX('V6'!C$300:C$400,MATCH("*"&amp;L31&amp;"*",'V6'!B$300:B$400,0)),"  ")</f>
        <v xml:space="preserve">  </v>
      </c>
      <c r="AF31" s="702" t="str">
        <f>IFERROR(INDEX('V7'!C$300:C$400,MATCH("*"&amp;L31&amp;"*",'V7'!B$300:B$400,0)),"  ")</f>
        <v xml:space="preserve">  </v>
      </c>
      <c r="AG31" s="702">
        <f>IFERROR(INDEX('V8'!C$300:C$400,MATCH("*"&amp;L31&amp;"*",'V8'!B$300:B$400,0)),"  ")</f>
        <v>10.5</v>
      </c>
      <c r="AH31" s="702" t="str">
        <f>IFERROR(INDEX('V9'!C$300:C$400,MATCH("*"&amp;L31&amp;"*",'V9'!B$300:B$400,0)),"  ")</f>
        <v xml:space="preserve">  </v>
      </c>
      <c r="AI31" s="702" t="str">
        <f>IFERROR(INDEX('V10'!C$300:C$400,MATCH("*"&amp;L31&amp;"*",'V10'!B$300:B$400,0)),"  ")</f>
        <v xml:space="preserve">  </v>
      </c>
      <c r="AJ31" s="702" t="str">
        <f>IFERROR(INDEX('V11'!C$300:C$400,MATCH("*"&amp;L31&amp;"*",'V11'!B$300:B$400,0)),"  ")</f>
        <v xml:space="preserve">  </v>
      </c>
      <c r="AK31" s="702" t="str">
        <f>IFERROR(INDEX('V12'!C$300:C$400,MATCH("*"&amp;L31&amp;"*",'V12'!B$300:B$400,0)),"  ")</f>
        <v xml:space="preserve">  </v>
      </c>
      <c r="AL31" s="702" t="str">
        <f>IFERROR(INDEX('V13'!C$300:C$400,MATCH("*"&amp;L31&amp;"*",'V13'!B$300:B$400,0)),"  ")</f>
        <v xml:space="preserve">  </v>
      </c>
      <c r="AM31" s="702" t="str">
        <f>IFERROR(INDEX('V14'!C$300:C$400,MATCH("*"&amp;L31&amp;"*",'V14'!B$300:B$400,0)),"  ")</f>
        <v xml:space="preserve">  </v>
      </c>
      <c r="AN31" s="702" t="str">
        <f>IFERROR(INDEX('V15'!C$300:C$400,MATCH("*"&amp;L31&amp;"*",'V15'!B$300:B$400,0)),"  ")</f>
        <v xml:space="preserve">  </v>
      </c>
      <c r="AO31" s="703">
        <f t="shared" si="10"/>
        <v>25</v>
      </c>
      <c r="AP31" s="704" t="str">
        <f>IFERROR("edasi "&amp;RANK(AO31,AO$7:AO$66,1),K31)</f>
        <v>edasi 25</v>
      </c>
      <c r="AQ31" s="705" t="str">
        <f>IFERROR(INDEX('V-fin'!A$300:A$401,MATCH("*"&amp;L31&amp;"*",'V-fin'!B$300:B$401,0)),"  ")</f>
        <v xml:space="preserve">  </v>
      </c>
      <c r="AR31" s="706">
        <f t="shared" si="8"/>
        <v>4</v>
      </c>
      <c r="AS31" s="707">
        <f>IFERROR(IF(Z31+1&gt;LARGE(Z$7:Z$66,1)-2,1),0)+IFERROR(IF(AA31+1&gt;LARGE(AA$7:AA$66,1)-2,1),0)+IFERROR(IF(AB31+1&gt;LARGE(AB$7:AB$66,1)-2,1),0)+IFERROR(IF(AC31+1&gt;LARGE(AC$7:AC$66,1)-2,1),0)+IFERROR(IF(AD31+1&gt;LARGE(AD$7:AD$66,1)-2,1),0)+IFERROR(IF(AE31+1&gt;LARGE(AE$7:AE$66,1)-2,1),0)+IFERROR(IF(AF31+1&gt;LARGE(AF$7:AF$66,1)-2,1),0)+IFERROR(IF(AG31+1&gt;LARGE(AG$7:AG$66,1)-2,1),0)+IFERROR(IF(AH31+1&gt;LARGE(AH$7:AH$66,1)-2,1),0)+IFERROR(IF(AI31+1&gt;LARGE(AI$7:AI$66,1)-2,1),0)+IFERROR(IF(AJ31+1&gt;LARGE(AJ$7:AJ$66,1)-2,1),0)+IFERROR(IF(AK31+1&gt;LARGE(AK$7:AK$66,1)-2,1),0)+IFERROR(IF(AL31+1&gt;LARGE(AL$7:AL$66,1)-2,1),0)+IFERROR(IF(AM31+1&gt;LARGE(AM$7:AM$66,1)-2,1),0)+IFERROR(IF(AN31+1&gt;LARGE(AN$7:AN$66,1)-2,1),0)</f>
        <v>1</v>
      </c>
      <c r="AT31" s="707">
        <f>IF(Z31=0,0,IF(Z31=IFERROR(LARGE(Z$7:Z$66,1),0),1,0))+IF(AA31=0,0,IF(AA31=IFERROR(LARGE(AA$7:AA$66,1),0),1,0))+IF(AB31=0,0,IF(AB31=IFERROR(LARGE(AB$7:AB$66,1),0),1,0))+IF(AC31=0,0,IF(AC31=IFERROR(LARGE(AC$7:AC$66,1),0),1,0))+IF(AD31=0,0,IF(AD31=IFERROR(LARGE(AD$7:AD$66,1),0),1,0))+IF(AE31=0,0,IF(AE31=IFERROR(LARGE(AE$7:AE$66,1),0),1,0))+IF(AF31=0,0,IF(AF31=IFERROR(LARGE(AF$7:AF$66,1),0),1,0))+IF(AG31=0,0,IF(AG31=IFERROR(LARGE(AG$7:AG$66,1),0),1,0))+IF(AH31=0,0,IF(AH31=IFERROR(LARGE(AH$7:AH$66,1),0),1,0))+IF(AI31=0,0,IF(AI31=IFERROR(LARGE(AI$7:AI$66,1),0),1,0))+IF(AJ31=0,0,IF(AJ31=IFERROR(LARGE(AJ$7:AJ$66,1),0),1,0))+IF(AK31=0,0,IF(AK31=IFERROR(LARGE(AK$7:AK$66,1),0),1,0))+IF(AL31=0,0,IF(AL31=IFERROR(LARGE(AL$7:AL$66,1),0),1,0))+IF(AM31=0,0,IF(AM31=IFERROR(LARGE(AM$7:AM$66,1),0),1,0))+IF(AN31=0,0,IF(AN31=IFERROR(LARGE(AN$7:AN$66,1),0),1,0))</f>
        <v>1</v>
      </c>
      <c r="AU31" s="712"/>
      <c r="AV31" s="708">
        <f t="shared" si="11"/>
        <v>6.9999999999999999E-4</v>
      </c>
      <c r="AW31" s="709">
        <f t="shared" si="13"/>
        <v>11.0001</v>
      </c>
      <c r="AX31" s="709">
        <f t="shared" si="13"/>
        <v>12.0002</v>
      </c>
      <c r="AY31" s="709">
        <f t="shared" si="13"/>
        <v>15.000299999999999</v>
      </c>
      <c r="AZ31" s="709">
        <f t="shared" si="13"/>
        <v>4.0000000000000002E-4</v>
      </c>
      <c r="BA31" s="709">
        <f t="shared" si="13"/>
        <v>5.0000000000000001E-4</v>
      </c>
      <c r="BB31" s="709">
        <f t="shared" si="13"/>
        <v>5.9999999999999995E-4</v>
      </c>
      <c r="BC31" s="709">
        <f t="shared" si="13"/>
        <v>6.9999999999999999E-4</v>
      </c>
      <c r="BD31" s="709">
        <f t="shared" si="13"/>
        <v>10.5008</v>
      </c>
      <c r="BE31" s="709">
        <f t="shared" si="13"/>
        <v>8.9999999999999998E-4</v>
      </c>
      <c r="BF31" s="709">
        <f t="shared" si="13"/>
        <v>1E-3</v>
      </c>
      <c r="BG31" s="709">
        <f t="shared" si="13"/>
        <v>1.1000000000000001E-3</v>
      </c>
      <c r="BH31" s="709">
        <f t="shared" si="13"/>
        <v>1.1999999999999999E-3</v>
      </c>
      <c r="BI31" s="709">
        <f t="shared" si="13"/>
        <v>1.2999999999999999E-3</v>
      </c>
      <c r="BJ31" s="709">
        <f t="shared" si="13"/>
        <v>1.4E-3</v>
      </c>
      <c r="BK31" s="709">
        <f t="shared" si="13"/>
        <v>1.5E-3</v>
      </c>
      <c r="BL31" s="629"/>
    </row>
    <row r="32" spans="1:64" x14ac:dyDescent="0.2">
      <c r="A32" s="686">
        <f>IF(R32&gt;0,IF(Q32="v",RANK(B32,B$7:B$66,1)-COUNTBLANK(Q$7:Q$66),""),"")</f>
        <v>14</v>
      </c>
      <c r="B32" s="687">
        <f t="shared" si="0"/>
        <v>26</v>
      </c>
      <c r="C32" s="688" t="str">
        <f>IF(R32&gt;0,IF(P32="k",RANK(D32,D$7:D$66,1)-COUNTBLANK(P$7:P$66),""),"")</f>
        <v/>
      </c>
      <c r="D32" s="687">
        <f t="shared" si="1"/>
        <v>-974</v>
      </c>
      <c r="E32" s="689">
        <f>IF(R32&gt;0,IF(N32="m",RANK(F32,F$7:F$66,1)-COUNTBLANK(N$7:N$66),""),"")</f>
        <v>24</v>
      </c>
      <c r="F32" s="687">
        <f t="shared" si="2"/>
        <v>26</v>
      </c>
      <c r="G32" s="690" t="str">
        <f>IF(R32&gt;0,IF(M32="n",RANK(H32,H$7:H$66,1)-COUNTBLANK(M$7:M$66),""),"")</f>
        <v/>
      </c>
      <c r="H32" s="687">
        <f t="shared" si="3"/>
        <v>-974</v>
      </c>
      <c r="I32" s="691" t="str">
        <f>IF(R32&gt;0,IF(O32="j",RANK(J32,J$7:J$66,1)-COUNTBLANK(O$7:O$66),""),"")</f>
        <v/>
      </c>
      <c r="J32" s="692">
        <f t="shared" si="4"/>
        <v>-974</v>
      </c>
      <c r="K32" s="654">
        <f>IF(R32&gt;0,RANK(U32,U$7:U$66,1),"")</f>
        <v>26</v>
      </c>
      <c r="L32" s="711" t="s">
        <v>290</v>
      </c>
      <c r="M32" s="694"/>
      <c r="N32" s="695" t="str">
        <f t="shared" si="14"/>
        <v>m</v>
      </c>
      <c r="O32" s="696"/>
      <c r="P32" s="697"/>
      <c r="Q32" s="698" t="s">
        <v>269</v>
      </c>
      <c r="R32" s="699">
        <f>(IF(COUNT(Z32,AA32,AB32,AC32,AD32,AE32,AF32,AG32,AH32,AI32,AJ32,AK32,AL32,AM32,AN32)&lt;11,SUM(Z32,AA32,AB32,AC32,AD32,AE32,AF32,AG32,AH32,AI32,AJ32,AK32,AL32,AM32,AN32),SUM(LARGE((Z32,AA32,AB32,AC32,AD32,AE32,AF32,AG32,AH32,AI32,AJ32,AK32,AL32,AM32,AN32),{1;2;3;4;5;6;7;8;9;10;11}))))</f>
        <v>48</v>
      </c>
      <c r="S32" s="700" t="str">
        <f>INDEX(ETAPP!B$1:B$32,MATCH(COUNTIF(Z32:AN32,PVO!A$1),ETAPP!A$1:A$32,0))&amp;INDEX(ETAPP!B$1:B$32,MATCH(COUNTIF(Z32:AN32,PVO!A$2),ETAPP!A$1:A$32,0))&amp;INDEX(ETAPP!B$1:B$32,MATCH(COUNTIF(Z32:AN32,PVO!A$3),ETAPP!A$1:A$32,0))&amp;INDEX(ETAPP!B$1:B$32,MATCH(COUNTIF(Z32:AN32,PVO!A$4),ETAPP!A$1:A$32,0))&amp;INDEX(ETAPP!B$1:B$32,MATCH(COUNTIF(Z32:AN32,PVO!A$5),ETAPP!A$1:A$32,0))&amp;INDEX(ETAPP!B$1:B$32,MATCH(COUNTIF(Z32:AN32,PVO!A$6),ETAPP!A$1:A$32,0))&amp;INDEX(ETAPP!B$1:B$32,MATCH(COUNTIF(Z32:AN32,PVO!A$7),ETAPP!A$1:A$32,0))&amp;INDEX(ETAPP!B$1:B$32,MATCH(COUNTIF(Z32:AN32,PVO!A$8),ETAPP!A$1:A$32,0))&amp;INDEX(ETAPP!B$1:B$32,MATCH(COUNTIF(Z32:AN32,PVO!A$9),ETAPP!A$1:A$32,0))&amp;INDEX(ETAPP!B$1:B$32,MATCH(COUNTIF(Z32:AN32,PVO!A$10),ETAPP!A$1:A$32,0))&amp;INDEX(ETAPP!B$1:B$32,MATCH(COUNTIF(Z32:AN32,PVO!A$11),ETAPP!A$1:A$32,0))&amp;INDEX(ETAPP!B$1:B$32,MATCH(COUNTIF(Z32:AN32,PVO!A$12),ETAPP!A$1:A$32,0))&amp;INDEX(ETAPP!B$1:B$32,MATCH(COUNTIF(Z32:AN32,PVO!A$13),ETAPP!A$1:A$32,0))&amp;INDEX(ETAPP!B$1:B$32,MATCH(COUNTIF(Z32:AN32,PVO!A$14),ETAPP!A$1:A$32,0))&amp;INDEX(ETAPP!B$1:B$32,MATCH(COUNTIF(Z32:AN32,PVO!A$15),ETAPP!A$1:A$32,0))&amp;INDEX(ETAPP!B$1:B$32,MATCH(COUNTIF(Z32:AN32,PVO!A$16),ETAPP!A$1:A$32,0))&amp;INDEX(ETAPP!B$1:B$32,MATCH(COUNTIF(Z32:AN32,PVO!A$17),ETAPP!A$1:A$32,0))&amp;INDEX(ETAPP!B$1:B$32,MATCH(COUNTIF(Z32:AN32,PVO!A$18),ETAPP!A$1:A$32,0))&amp;INDEX(ETAPP!B$1:B$32,MATCH(COUNTIF(Z32:AN32,PVO!A$19),ETAPP!A$1:A$32,0))</f>
        <v>000B00000000ACA000C</v>
      </c>
      <c r="T32" s="700" t="str">
        <f t="shared" si="6"/>
        <v>048,0-000B00000000ACA000C</v>
      </c>
      <c r="U32" s="700">
        <f>COUNTIF(T$7:T$66,"&gt;="&amp;T32)</f>
        <v>26</v>
      </c>
      <c r="V32" s="700">
        <f>COUNTIF(L$7:L$66,"&gt;="&amp;L32)</f>
        <v>56</v>
      </c>
      <c r="W32" s="700" t="str">
        <f t="shared" si="7"/>
        <v>048,0-000B00000000ACA000C-056</v>
      </c>
      <c r="X32" s="700">
        <f>COUNTIF(W$7:W$66,"&gt;="&amp;W32)</f>
        <v>26</v>
      </c>
      <c r="Y32" s="701">
        <f>RANK(X32,X$7:X$66,0)</f>
        <v>35</v>
      </c>
      <c r="Z32" s="702">
        <f>IFERROR(INDEX('V1'!C$300:C$400,MATCH("*"&amp;L32&amp;"*",'V1'!B$300:B$400,0)),"  ")</f>
        <v>14</v>
      </c>
      <c r="AA32" s="702">
        <f>IFERROR(INDEX('V2'!C$300:C$400,MATCH("*"&amp;L32&amp;"*",'V2'!B$300:B$400,0)),"  ")</f>
        <v>14</v>
      </c>
      <c r="AB32" s="702">
        <f>IFERROR(INDEX('V3'!C$300:C$400,MATCH("*"&amp;L32&amp;"*",'V3'!B$300:B$400,0)),"  ")</f>
        <v>4</v>
      </c>
      <c r="AC32" s="702" t="str">
        <f>IFERROR(INDEX('V4'!C$300:C$400,MATCH("*"&amp;L32&amp;"*",'V4'!B$300:B$400,0)),"  ")</f>
        <v xml:space="preserve">  </v>
      </c>
      <c r="AD32" s="702" t="str">
        <f>IFERROR(INDEX('V5'!C$300:C$400,MATCH("*"&amp;L32&amp;"*",'V5'!B$300:B$400,0)),"  ")</f>
        <v xml:space="preserve">  </v>
      </c>
      <c r="AE32" s="702" t="str">
        <f>IFERROR(INDEX('V6'!C$300:C$400,MATCH("*"&amp;L32&amp;"*",'V6'!B$300:B$400,0)),"  ")</f>
        <v xml:space="preserve">  </v>
      </c>
      <c r="AF32" s="702" t="str">
        <f>IFERROR(INDEX('V7'!C$300:C$400,MATCH("*"&amp;L32&amp;"*",'V7'!B$300:B$400,0)),"  ")</f>
        <v xml:space="preserve">  </v>
      </c>
      <c r="AG32" s="702">
        <f>IFERROR(INDEX('V8'!C$300:C$400,MATCH("*"&amp;L32&amp;"*",'V8'!B$300:B$400,0)),"  ")</f>
        <v>4</v>
      </c>
      <c r="AH32" s="702" t="str">
        <f>IFERROR(INDEX('V9'!C$300:C$400,MATCH("*"&amp;L32&amp;"*",'V9'!B$300:B$400,0)),"  ")</f>
        <v xml:space="preserve">  </v>
      </c>
      <c r="AI32" s="702" t="str">
        <f>IFERROR(INDEX('V10'!C$300:C$400,MATCH("*"&amp;L32&amp;"*",'V10'!B$300:B$400,0)),"  ")</f>
        <v xml:space="preserve">  </v>
      </c>
      <c r="AJ32" s="702">
        <f>IFERROR(INDEX('V11'!C$300:C$400,MATCH("*"&amp;L32&amp;"*",'V11'!B$300:B$400,0)),"  ")</f>
        <v>4</v>
      </c>
      <c r="AK32" s="702">
        <f>IFERROR(INDEX('V12'!C$300:C$400,MATCH("*"&amp;L32&amp;"*",'V12'!B$300:B$400,0)),"  ")</f>
        <v>5</v>
      </c>
      <c r="AL32" s="702" t="str">
        <f>IFERROR(INDEX('V13'!C$300:C$400,MATCH("*"&amp;L32&amp;"*",'V13'!B$300:B$400,0)),"  ")</f>
        <v xml:space="preserve">  </v>
      </c>
      <c r="AM32" s="702" t="str">
        <f>IFERROR(INDEX('V14'!C$300:C$400,MATCH("*"&amp;L32&amp;"*",'V14'!B$300:B$400,0)),"  ")</f>
        <v xml:space="preserve">  </v>
      </c>
      <c r="AN32" s="702">
        <f>IFERROR(INDEX('V15'!C$300:C$400,MATCH("*"&amp;L32&amp;"*",'V15'!B$300:B$400,0)),"  ")</f>
        <v>3</v>
      </c>
      <c r="AO32" s="703">
        <f t="shared" si="10"/>
        <v>26</v>
      </c>
      <c r="AP32" s="704" t="str">
        <f>IFERROR("edasi "&amp;RANK(AO32,AO$7:AO$66,1),K32)</f>
        <v>edasi 26</v>
      </c>
      <c r="AQ32" s="705">
        <f>IFERROR(INDEX('V-fin'!A$300:A$401,MATCH("*"&amp;L32&amp;"*",'V-fin'!B$300:B$401,0)),"  ")</f>
        <v>8</v>
      </c>
      <c r="AR32" s="706">
        <f t="shared" si="8"/>
        <v>7</v>
      </c>
      <c r="AS32" s="707">
        <f>IFERROR(IF(Z32+1&gt;LARGE(Z$7:Z$66,1)-2,1),0)+IFERROR(IF(AA32+1&gt;LARGE(AA$7:AA$66,1)-2,1),0)+IFERROR(IF(AB32+1&gt;LARGE(AB$7:AB$66,1)-2,1),0)+IFERROR(IF(AC32+1&gt;LARGE(AC$7:AC$66,1)-2,1),0)+IFERROR(IF(AD32+1&gt;LARGE(AD$7:AD$66,1)-2,1),0)+IFERROR(IF(AE32+1&gt;LARGE(AE$7:AE$66,1)-2,1),0)+IFERROR(IF(AF32+1&gt;LARGE(AF$7:AF$66,1)-2,1),0)+IFERROR(IF(AG32+1&gt;LARGE(AG$7:AG$66,1)-2,1),0)+IFERROR(IF(AH32+1&gt;LARGE(AH$7:AH$66,1)-2,1),0)+IFERROR(IF(AI32+1&gt;LARGE(AI$7:AI$66,1)-2,1),0)+IFERROR(IF(AJ32+1&gt;LARGE(AJ$7:AJ$66,1)-2,1),0)+IFERROR(IF(AK32+1&gt;LARGE(AK$7:AK$66,1)-2,1),0)+IFERROR(IF(AL32+1&gt;LARGE(AL$7:AL$66,1)-2,1),0)+IFERROR(IF(AM32+1&gt;LARGE(AM$7:AM$66,1)-2,1),0)+IFERROR(IF(AN32+1&gt;LARGE(AN$7:AN$66,1)-2,1),0)</f>
        <v>2</v>
      </c>
      <c r="AT32" s="707">
        <f>IF(Z32=0,0,IF(Z32=IFERROR(LARGE(Z$7:Z$66,1),0),1,0))+IF(AA32=0,0,IF(AA32=IFERROR(LARGE(AA$7:AA$66,1),0),1,0))+IF(AB32=0,0,IF(AB32=IFERROR(LARGE(AB$7:AB$66,1),0),1,0))+IF(AC32=0,0,IF(AC32=IFERROR(LARGE(AC$7:AC$66,1),0),1,0))+IF(AD32=0,0,IF(AD32=IFERROR(LARGE(AD$7:AD$66,1),0),1,0))+IF(AE32=0,0,IF(AE32=IFERROR(LARGE(AE$7:AE$66,1),0),1,0))+IF(AF32=0,0,IF(AF32=IFERROR(LARGE(AF$7:AF$66,1),0),1,0))+IF(AG32=0,0,IF(AG32=IFERROR(LARGE(AG$7:AG$66,1),0),1,0))+IF(AH32=0,0,IF(AH32=IFERROR(LARGE(AH$7:AH$66,1),0),1,0))+IF(AI32=0,0,IF(AI32=IFERROR(LARGE(AI$7:AI$66,1),0),1,0))+IF(AJ32=0,0,IF(AJ32=IFERROR(LARGE(AJ$7:AJ$66,1),0),1,0))+IF(AK32=0,0,IF(AK32=IFERROR(LARGE(AK$7:AK$66,1),0),1,0))+IF(AL32=0,0,IF(AL32=IFERROR(LARGE(AL$7:AL$66,1),0),1,0))+IF(AM32=0,0,IF(AM32=IFERROR(LARGE(AM$7:AM$66,1),0),1,0))+IF(AN32=0,0,IF(AN32=IFERROR(LARGE(AN$7:AN$66,1),0),1,0))</f>
        <v>0</v>
      </c>
      <c r="AU32" s="712"/>
      <c r="AV32" s="708">
        <f t="shared" si="11"/>
        <v>6.9999999999999999E-4</v>
      </c>
      <c r="AW32" s="709">
        <f t="shared" si="13"/>
        <v>14.0001</v>
      </c>
      <c r="AX32" s="709">
        <f t="shared" si="13"/>
        <v>14.0002</v>
      </c>
      <c r="AY32" s="709">
        <f t="shared" si="13"/>
        <v>4.0003000000000002</v>
      </c>
      <c r="AZ32" s="709">
        <f t="shared" si="13"/>
        <v>4.0000000000000002E-4</v>
      </c>
      <c r="BA32" s="709">
        <f t="shared" si="13"/>
        <v>5.0000000000000001E-4</v>
      </c>
      <c r="BB32" s="709">
        <f t="shared" si="13"/>
        <v>5.9999999999999995E-4</v>
      </c>
      <c r="BC32" s="709">
        <f t="shared" si="13"/>
        <v>6.9999999999999999E-4</v>
      </c>
      <c r="BD32" s="709">
        <f t="shared" si="13"/>
        <v>4.0007999999999999</v>
      </c>
      <c r="BE32" s="709">
        <f t="shared" si="13"/>
        <v>8.9999999999999998E-4</v>
      </c>
      <c r="BF32" s="709">
        <f t="shared" si="13"/>
        <v>1E-3</v>
      </c>
      <c r="BG32" s="709">
        <f t="shared" si="13"/>
        <v>4.0011000000000001</v>
      </c>
      <c r="BH32" s="709">
        <f t="shared" si="13"/>
        <v>5.0011999999999999</v>
      </c>
      <c r="BI32" s="709">
        <f t="shared" si="13"/>
        <v>1.2999999999999999E-3</v>
      </c>
      <c r="BJ32" s="709">
        <f t="shared" si="13"/>
        <v>1.4E-3</v>
      </c>
      <c r="BK32" s="709">
        <f t="shared" si="13"/>
        <v>3.0015000000000001</v>
      </c>
      <c r="BL32" s="629"/>
    </row>
    <row r="33" spans="1:64" x14ac:dyDescent="0.2">
      <c r="A33" s="686">
        <f>IF(R33&gt;0,IF(Q33="v",RANK(B33,B$7:B$66,1)-COUNTBLANK(Q$7:Q$66),""),"")</f>
        <v>15</v>
      </c>
      <c r="B33" s="687">
        <f t="shared" si="0"/>
        <v>28</v>
      </c>
      <c r="C33" s="688" t="str">
        <f>IF(R33&gt;0,IF(P33="k",RANK(D33,D$7:D$66,1)-COUNTBLANK(P$7:P$66),""),"")</f>
        <v/>
      </c>
      <c r="D33" s="687">
        <f t="shared" si="1"/>
        <v>-972</v>
      </c>
      <c r="E33" s="689" t="str">
        <f>IF(R33&gt;0,IF(N33="m",RANK(F33,F$7:F$66,1)-COUNTBLANK(N$7:N$66),""),"")</f>
        <v/>
      </c>
      <c r="F33" s="687">
        <f t="shared" si="2"/>
        <v>-972</v>
      </c>
      <c r="G33" s="690">
        <f>IF(R33&gt;0,IF(M33="n",RANK(H33,H$7:H$66,1)-COUNTBLANK(M$7:M$66),""),"")</f>
        <v>3</v>
      </c>
      <c r="H33" s="687">
        <f t="shared" si="3"/>
        <v>28</v>
      </c>
      <c r="I33" s="691" t="str">
        <f>IF(R33&gt;0,IF(O33="j",RANK(J33,J$7:J$66,1)-COUNTBLANK(O$7:O$66),""),"")</f>
        <v/>
      </c>
      <c r="J33" s="692">
        <f t="shared" si="4"/>
        <v>-972</v>
      </c>
      <c r="K33" s="654">
        <f>IF(R33&gt;0,RANK(U33,U$7:U$66,1),"")</f>
        <v>27</v>
      </c>
      <c r="L33" s="711" t="s">
        <v>291</v>
      </c>
      <c r="M33" s="694" t="s">
        <v>280</v>
      </c>
      <c r="N33" s="695" t="str">
        <f t="shared" si="14"/>
        <v/>
      </c>
      <c r="O33" s="696"/>
      <c r="P33" s="697"/>
      <c r="Q33" s="698" t="s">
        <v>269</v>
      </c>
      <c r="R33" s="699">
        <f>(IF(COUNT(Z33,AA33,AB33,AC33,AD33,AE33,AF33,AG33,AH33,AI33,AJ33,AK33,AL33,AM33,AN33)&lt;11,SUM(Z33,AA33,AB33,AC33,AD33,AE33,AF33,AG33,AH33,AI33,AJ33,AK33,AL33,AM33,AN33),SUM(LARGE((Z33,AA33,AB33,AC33,AD33,AE33,AF33,AG33,AH33,AI33,AJ33,AK33,AL33,AM33,AN33),{1;2;3;4;5;6;7;8;9;10;11}))))</f>
        <v>46.5</v>
      </c>
      <c r="S33" s="700" t="str">
        <f>INDEX(ETAPP!B$1:B$32,MATCH(COUNTIF(Z33:AN33,PVO!A$1),ETAPP!A$1:A$32,0))&amp;INDEX(ETAPP!B$1:B$32,MATCH(COUNTIF(Z33:AN33,PVO!A$2),ETAPP!A$1:A$32,0))&amp;INDEX(ETAPP!B$1:B$32,MATCH(COUNTIF(Z33:AN33,PVO!A$3),ETAPP!A$1:A$32,0))&amp;INDEX(ETAPP!B$1:B$32,MATCH(COUNTIF(Z33:AN33,PVO!A$4),ETAPP!A$1:A$32,0))&amp;INDEX(ETAPP!B$1:B$32,MATCH(COUNTIF(Z33:AN33,PVO!A$5),ETAPP!A$1:A$32,0))&amp;INDEX(ETAPP!B$1:B$32,MATCH(COUNTIF(Z33:AN33,PVO!A$6),ETAPP!A$1:A$32,0))&amp;INDEX(ETAPP!B$1:B$32,MATCH(COUNTIF(Z33:AN33,PVO!A$7),ETAPP!A$1:A$32,0))&amp;INDEX(ETAPP!B$1:B$32,MATCH(COUNTIF(Z33:AN33,PVO!A$8),ETAPP!A$1:A$32,0))&amp;INDEX(ETAPP!B$1:B$32,MATCH(COUNTIF(Z33:AN33,PVO!A$9),ETAPP!A$1:A$32,0))&amp;INDEX(ETAPP!B$1:B$32,MATCH(COUNTIF(Z33:AN33,PVO!A$10),ETAPP!A$1:A$32,0))&amp;INDEX(ETAPP!B$1:B$32,MATCH(COUNTIF(Z33:AN33,PVO!A$11),ETAPP!A$1:A$32,0))&amp;INDEX(ETAPP!B$1:B$32,MATCH(COUNTIF(Z33:AN33,PVO!A$12),ETAPP!A$1:A$32,0))&amp;INDEX(ETAPP!B$1:B$32,MATCH(COUNTIF(Z33:AN33,PVO!A$13),ETAPP!A$1:A$32,0))&amp;INDEX(ETAPP!B$1:B$32,MATCH(COUNTIF(Z33:AN33,PVO!A$14),ETAPP!A$1:A$32,0))&amp;INDEX(ETAPP!B$1:B$32,MATCH(COUNTIF(Z33:AN33,PVO!A$15),ETAPP!A$1:A$32,0))&amp;INDEX(ETAPP!B$1:B$32,MATCH(COUNTIF(Z33:AN33,PVO!A$16),ETAPP!A$1:A$32,0))&amp;INDEX(ETAPP!B$1:B$32,MATCH(COUNTIF(Z33:AN33,PVO!A$17),ETAPP!A$1:A$32,0))&amp;INDEX(ETAPP!B$1:B$32,MATCH(COUNTIF(Z33:AN33,PVO!A$18),ETAPP!A$1:A$32,0))&amp;INDEX(ETAPP!B$1:B$32,MATCH(COUNTIF(Z33:AN33,PVO!A$19),ETAPP!A$1:A$32,0))</f>
        <v>00000A0A000AA0A000D</v>
      </c>
      <c r="T33" s="700" t="str">
        <f t="shared" si="6"/>
        <v>046,5-00000A0A000AA0A000D</v>
      </c>
      <c r="U33" s="700">
        <f>COUNTIF(T$7:T$66,"&gt;="&amp;T33)</f>
        <v>28</v>
      </c>
      <c r="V33" s="700">
        <f>COUNTIF(L$7:L$66,"&gt;="&amp;L33)</f>
        <v>30</v>
      </c>
      <c r="W33" s="700" t="str">
        <f t="shared" si="7"/>
        <v>046,5-00000A0A000AA0A000D-030</v>
      </c>
      <c r="X33" s="700">
        <f>COUNTIF(W$7:W$66,"&gt;="&amp;W33)</f>
        <v>27</v>
      </c>
      <c r="Y33" s="701">
        <f>RANK(X33,X$7:X$66,0)</f>
        <v>34</v>
      </c>
      <c r="Z33" s="702" t="str">
        <f>IFERROR(INDEX('V1'!C$300:C$400,MATCH("*"&amp;L33&amp;"*",'V1'!B$300:B$400,0)),"  ")</f>
        <v xml:space="preserve">  </v>
      </c>
      <c r="AA33" s="702" t="str">
        <f>IFERROR(INDEX('V2'!C$300:C$400,MATCH("*"&amp;L33&amp;"*",'V2'!B$300:B$400,0)),"  ")</f>
        <v xml:space="preserve">  </v>
      </c>
      <c r="AB33" s="702" t="str">
        <f>IFERROR(INDEX('V3'!C$300:C$400,MATCH("*"&amp;L33&amp;"*",'V3'!B$300:B$400,0)),"  ")</f>
        <v xml:space="preserve">  </v>
      </c>
      <c r="AC33" s="702" t="str">
        <f>IFERROR(INDEX('V4'!C$300:C$400,MATCH("*"&amp;L33&amp;"*",'V4'!B$300:B$400,0)),"  ")</f>
        <v xml:space="preserve">  </v>
      </c>
      <c r="AD33" s="702">
        <f>IFERROR(INDEX('V5'!C$300:C$400,MATCH("*"&amp;L33&amp;"*",'V5'!B$300:B$400,0)),"  ")</f>
        <v>5</v>
      </c>
      <c r="AE33" s="702" t="str">
        <f>IFERROR(INDEX('V6'!C$300:C$400,MATCH("*"&amp;L33&amp;"*",'V6'!B$300:B$400,0)),"  ")</f>
        <v xml:space="preserve">  </v>
      </c>
      <c r="AF33" s="702" t="str">
        <f>IFERROR(INDEX('V7'!C$300:C$400,MATCH("*"&amp;L33&amp;"*",'V7'!B$300:B$400,0)),"  ")</f>
        <v xml:space="preserve">  </v>
      </c>
      <c r="AG33" s="702">
        <f>IFERROR(INDEX('V8'!C$300:C$400,MATCH("*"&amp;L33&amp;"*",'V8'!B$300:B$400,0)),"  ")</f>
        <v>12</v>
      </c>
      <c r="AH33" s="702">
        <f>IFERROR(INDEX('V9'!C$300:C$400,MATCH("*"&amp;L33&amp;"*",'V9'!B$300:B$400,0)),"  ")</f>
        <v>3</v>
      </c>
      <c r="AI33" s="702" t="str">
        <f>IFERROR(INDEX('V10'!C$300:C$400,MATCH("*"&amp;L33&amp;"*",'V10'!B$300:B$400,0)),"  ")</f>
        <v xml:space="preserve">  </v>
      </c>
      <c r="AJ33" s="702">
        <f>IFERROR(INDEX('V11'!C$300:C$400,MATCH("*"&amp;L33&amp;"*",'V11'!B$300:B$400,0)),"  ")</f>
        <v>10.5</v>
      </c>
      <c r="AK33" s="702" t="str">
        <f>IFERROR(INDEX('V12'!C$300:C$400,MATCH("*"&amp;L33&amp;"*",'V12'!B$300:B$400,0)),"  ")</f>
        <v xml:space="preserve">  </v>
      </c>
      <c r="AL33" s="702" t="str">
        <f>IFERROR(INDEX('V13'!C$300:C$400,MATCH("*"&amp;L33&amp;"*",'V13'!B$300:B$400,0)),"  ")</f>
        <v xml:space="preserve">  </v>
      </c>
      <c r="AM33" s="702">
        <f>IFERROR(INDEX('V14'!C$300:C$400,MATCH("*"&amp;L33&amp;"*",'V14'!B$300:B$400,0)),"  ")</f>
        <v>10</v>
      </c>
      <c r="AN33" s="702">
        <f>IFERROR(INDEX('V15'!C$300:C$400,MATCH("*"&amp;L33&amp;"*",'V15'!B$300:B$400,0)),"  ")</f>
        <v>6</v>
      </c>
      <c r="AO33" s="703">
        <f t="shared" si="10"/>
        <v>27</v>
      </c>
      <c r="AP33" s="704" t="str">
        <f>IFERROR("edasi "&amp;RANK(AO33,AO$7:AO$66,1),K33)</f>
        <v>edasi 27</v>
      </c>
      <c r="AQ33" s="705">
        <f>IFERROR(INDEX('V-fin'!A$300:A$401,MATCH("*"&amp;L33&amp;"*",'V-fin'!B$300:B$401,0)),"  ")</f>
        <v>5</v>
      </c>
      <c r="AR33" s="706">
        <f t="shared" si="8"/>
        <v>6</v>
      </c>
      <c r="AS33" s="707">
        <f>IFERROR(IF(Z33+1&gt;LARGE(Z$7:Z$66,1)-2,1),0)+IFERROR(IF(AA33+1&gt;LARGE(AA$7:AA$66,1)-2,1),0)+IFERROR(IF(AB33+1&gt;LARGE(AB$7:AB$66,1)-2,1),0)+IFERROR(IF(AC33+1&gt;LARGE(AC$7:AC$66,1)-2,1),0)+IFERROR(IF(AD33+1&gt;LARGE(AD$7:AD$66,1)-2,1),0)+IFERROR(IF(AE33+1&gt;LARGE(AE$7:AE$66,1)-2,1),0)+IFERROR(IF(AF33+1&gt;LARGE(AF$7:AF$66,1)-2,1),0)+IFERROR(IF(AG33+1&gt;LARGE(AG$7:AG$66,1)-2,1),0)+IFERROR(IF(AH33+1&gt;LARGE(AH$7:AH$66,1)-2,1),0)+IFERROR(IF(AI33+1&gt;LARGE(AI$7:AI$66,1)-2,1),0)+IFERROR(IF(AJ33+1&gt;LARGE(AJ$7:AJ$66,1)-2,1),0)+IFERROR(IF(AK33+1&gt;LARGE(AK$7:AK$66,1)-2,1),0)+IFERROR(IF(AL33+1&gt;LARGE(AL$7:AL$66,1)-2,1),0)+IFERROR(IF(AM33+1&gt;LARGE(AM$7:AM$66,1)-2,1),0)+IFERROR(IF(AN33+1&gt;LARGE(AN$7:AN$66,1)-2,1),0)</f>
        <v>0</v>
      </c>
      <c r="AT33" s="707">
        <f>IF(Z33=0,0,IF(Z33=IFERROR(LARGE(Z$7:Z$66,1),0),1,0))+IF(AA33=0,0,IF(AA33=IFERROR(LARGE(AA$7:AA$66,1),0),1,0))+IF(AB33=0,0,IF(AB33=IFERROR(LARGE(AB$7:AB$66,1),0),1,0))+IF(AC33=0,0,IF(AC33=IFERROR(LARGE(AC$7:AC$66,1),0),1,0))+IF(AD33=0,0,IF(AD33=IFERROR(LARGE(AD$7:AD$66,1),0),1,0))+IF(AE33=0,0,IF(AE33=IFERROR(LARGE(AE$7:AE$66,1),0),1,0))+IF(AF33=0,0,IF(AF33=IFERROR(LARGE(AF$7:AF$66,1),0),1,0))+IF(AG33=0,0,IF(AG33=IFERROR(LARGE(AG$7:AG$66,1),0),1,0))+IF(AH33=0,0,IF(AH33=IFERROR(LARGE(AH$7:AH$66,1),0),1,0))+IF(AI33=0,0,IF(AI33=IFERROR(LARGE(AI$7:AI$66,1),0),1,0))+IF(AJ33=0,0,IF(AJ33=IFERROR(LARGE(AJ$7:AJ$66,1),0),1,0))+IF(AK33=0,0,IF(AK33=IFERROR(LARGE(AK$7:AK$66,1),0),1,0))+IF(AL33=0,0,IF(AL33=IFERROR(LARGE(AL$7:AL$66,1),0),1,0))+IF(AM33=0,0,IF(AM33=IFERROR(LARGE(AM$7:AM$66,1),0),1,0))+IF(AN33=0,0,IF(AN33=IFERROR(LARGE(AN$7:AN$66,1),0),1,0))</f>
        <v>0</v>
      </c>
      <c r="AU33" s="712"/>
      <c r="AV33" s="708">
        <f t="shared" si="11"/>
        <v>4.0000000000000002E-4</v>
      </c>
      <c r="AW33" s="709">
        <f t="shared" si="13"/>
        <v>1E-4</v>
      </c>
      <c r="AX33" s="709">
        <f t="shared" si="13"/>
        <v>2.0000000000000001E-4</v>
      </c>
      <c r="AY33" s="709">
        <f t="shared" si="13"/>
        <v>2.9999999999999997E-4</v>
      </c>
      <c r="AZ33" s="709">
        <f t="shared" si="13"/>
        <v>4.0000000000000002E-4</v>
      </c>
      <c r="BA33" s="709">
        <f t="shared" si="13"/>
        <v>5.0004999999999997</v>
      </c>
      <c r="BB33" s="709">
        <f t="shared" si="13"/>
        <v>5.9999999999999995E-4</v>
      </c>
      <c r="BC33" s="709">
        <f t="shared" si="13"/>
        <v>6.9999999999999999E-4</v>
      </c>
      <c r="BD33" s="709">
        <f t="shared" si="13"/>
        <v>12.0008</v>
      </c>
      <c r="BE33" s="709">
        <f t="shared" si="13"/>
        <v>3.0009000000000001</v>
      </c>
      <c r="BF33" s="709">
        <f t="shared" si="13"/>
        <v>1E-3</v>
      </c>
      <c r="BG33" s="709">
        <f t="shared" si="13"/>
        <v>10.501099999999999</v>
      </c>
      <c r="BH33" s="709">
        <f t="shared" si="13"/>
        <v>1.1999999999999999E-3</v>
      </c>
      <c r="BI33" s="709">
        <f t="shared" si="13"/>
        <v>1.2999999999999999E-3</v>
      </c>
      <c r="BJ33" s="709">
        <f t="shared" si="13"/>
        <v>10.0014</v>
      </c>
      <c r="BK33" s="709">
        <f t="shared" si="13"/>
        <v>6.0015000000000001</v>
      </c>
      <c r="BL33" s="629"/>
    </row>
    <row r="34" spans="1:64" x14ac:dyDescent="0.2">
      <c r="A34" s="686">
        <f>IF(R34&gt;0,IF(Q34="v",RANK(B34,B$7:B$66,1)-COUNTBLANK(Q$7:Q$66),""),"")</f>
        <v>15</v>
      </c>
      <c r="B34" s="687">
        <f t="shared" si="0"/>
        <v>28</v>
      </c>
      <c r="C34" s="688" t="str">
        <f>IF(R34&gt;0,IF(P34="k",RANK(D34,D$7:D$66,1)-COUNTBLANK(P$7:P$66),""),"")</f>
        <v/>
      </c>
      <c r="D34" s="687">
        <f t="shared" si="1"/>
        <v>-972</v>
      </c>
      <c r="E34" s="689">
        <f>IF(R34&gt;0,IF(N34="m",RANK(F34,F$7:F$66,1)-COUNTBLANK(N$7:N$66),""),"")</f>
        <v>25</v>
      </c>
      <c r="F34" s="687">
        <f t="shared" si="2"/>
        <v>28</v>
      </c>
      <c r="G34" s="690" t="str">
        <f>IF(R34&gt;0,IF(M34="n",RANK(H34,H$7:H$66,1)-COUNTBLANK(M$7:M$66),""),"")</f>
        <v/>
      </c>
      <c r="H34" s="687">
        <f t="shared" si="3"/>
        <v>-972</v>
      </c>
      <c r="I34" s="691" t="str">
        <f>IF(R34&gt;0,IF(O34="j",RANK(J34,J$7:J$66,1)-COUNTBLANK(O$7:O$66),""),"")</f>
        <v/>
      </c>
      <c r="J34" s="692">
        <f t="shared" si="4"/>
        <v>-972</v>
      </c>
      <c r="K34" s="654">
        <f>IF(R34&gt;0,RANK(U34,U$7:U$66,1),"")</f>
        <v>27</v>
      </c>
      <c r="L34" s="713" t="s">
        <v>292</v>
      </c>
      <c r="M34" s="694"/>
      <c r="N34" s="695" t="str">
        <f t="shared" si="14"/>
        <v>m</v>
      </c>
      <c r="O34" s="696"/>
      <c r="P34" s="697"/>
      <c r="Q34" s="698" t="s">
        <v>269</v>
      </c>
      <c r="R34" s="699">
        <f>(IF(COUNT(Z34,AA34,AB34,AC34,AD34,AE34,AF34,AG34,AH34,AI34,AJ34,AK34,AL34,AM34,AN34)&lt;11,SUM(Z34,AA34,AB34,AC34,AD34,AE34,AF34,AG34,AH34,AI34,AJ34,AK34,AL34,AM34,AN34),SUM(LARGE((Z34,AA34,AB34,AC34,AD34,AE34,AF34,AG34,AH34,AI34,AJ34,AK34,AL34,AM34,AN34),{1;2;3;4;5;6;7;8;9;10;11}))))</f>
        <v>46.5</v>
      </c>
      <c r="S34" s="700" t="str">
        <f>INDEX(ETAPP!B$1:B$32,MATCH(COUNTIF(Z34:AN34,PVO!A$1),ETAPP!A$1:A$32,0))&amp;INDEX(ETAPP!B$1:B$32,MATCH(COUNTIF(Z34:AN34,PVO!A$2),ETAPP!A$1:A$32,0))&amp;INDEX(ETAPP!B$1:B$32,MATCH(COUNTIF(Z34:AN34,PVO!A$3),ETAPP!A$1:A$32,0))&amp;INDEX(ETAPP!B$1:B$32,MATCH(COUNTIF(Z34:AN34,PVO!A$4),ETAPP!A$1:A$32,0))&amp;INDEX(ETAPP!B$1:B$32,MATCH(COUNTIF(Z34:AN34,PVO!A$5),ETAPP!A$1:A$32,0))&amp;INDEX(ETAPP!B$1:B$32,MATCH(COUNTIF(Z34:AN34,PVO!A$6),ETAPP!A$1:A$32,0))&amp;INDEX(ETAPP!B$1:B$32,MATCH(COUNTIF(Z34:AN34,PVO!A$7),ETAPP!A$1:A$32,0))&amp;INDEX(ETAPP!B$1:B$32,MATCH(COUNTIF(Z34:AN34,PVO!A$8),ETAPP!A$1:A$32,0))&amp;INDEX(ETAPP!B$1:B$32,MATCH(COUNTIF(Z34:AN34,PVO!A$9),ETAPP!A$1:A$32,0))&amp;INDEX(ETAPP!B$1:B$32,MATCH(COUNTIF(Z34:AN34,PVO!A$10),ETAPP!A$1:A$32,0))&amp;INDEX(ETAPP!B$1:B$32,MATCH(COUNTIF(Z34:AN34,PVO!A$11),ETAPP!A$1:A$32,0))&amp;INDEX(ETAPP!B$1:B$32,MATCH(COUNTIF(Z34:AN34,PVO!A$12),ETAPP!A$1:A$32,0))&amp;INDEX(ETAPP!B$1:B$32,MATCH(COUNTIF(Z34:AN34,PVO!A$13),ETAPP!A$1:A$32,0))&amp;INDEX(ETAPP!B$1:B$32,MATCH(COUNTIF(Z34:AN34,PVO!A$14),ETAPP!A$1:A$32,0))&amp;INDEX(ETAPP!B$1:B$32,MATCH(COUNTIF(Z34:AN34,PVO!A$15),ETAPP!A$1:A$32,0))&amp;INDEX(ETAPP!B$1:B$32,MATCH(COUNTIF(Z34:AN34,PVO!A$16),ETAPP!A$1:A$32,0))&amp;INDEX(ETAPP!B$1:B$32,MATCH(COUNTIF(Z34:AN34,PVO!A$17),ETAPP!A$1:A$32,0))&amp;INDEX(ETAPP!B$1:B$32,MATCH(COUNTIF(Z34:AN34,PVO!A$18),ETAPP!A$1:A$32,0))&amp;INDEX(ETAPP!B$1:B$32,MATCH(COUNTIF(Z34:AN34,PVO!A$19),ETAPP!A$1:A$32,0))</f>
        <v>00000A0A000AA0A000D</v>
      </c>
      <c r="T34" s="700" t="str">
        <f t="shared" si="6"/>
        <v>046,5-00000A0A000AA0A000D</v>
      </c>
      <c r="U34" s="700">
        <f>COUNTIF(T$7:T$66,"&gt;="&amp;T34)</f>
        <v>28</v>
      </c>
      <c r="V34" s="700">
        <f>COUNTIF(L$7:L$66,"&gt;="&amp;L34)</f>
        <v>3</v>
      </c>
      <c r="W34" s="700" t="str">
        <f t="shared" si="7"/>
        <v>046,5-00000A0A000AA0A000D-003</v>
      </c>
      <c r="X34" s="700">
        <f>COUNTIF(W$7:W$66,"&gt;="&amp;W34)</f>
        <v>28</v>
      </c>
      <c r="Y34" s="701">
        <f>RANK(X34,X$7:X$66,0)</f>
        <v>33</v>
      </c>
      <c r="Z34" s="702" t="str">
        <f>IFERROR(INDEX('V1'!C$300:C$400,MATCH("*"&amp;L34&amp;"*",'V1'!B$300:B$400,0)),"  ")</f>
        <v xml:space="preserve">  </v>
      </c>
      <c r="AA34" s="702" t="str">
        <f>IFERROR(INDEX('V2'!C$300:C$400,MATCH("*"&amp;L34&amp;"*",'V2'!B$300:B$400,0)),"  ")</f>
        <v xml:space="preserve">  </v>
      </c>
      <c r="AB34" s="702" t="str">
        <f>IFERROR(INDEX('V3'!C$300:C$400,MATCH("*"&amp;L34&amp;"*",'V3'!B$300:B$400,0)),"  ")</f>
        <v xml:space="preserve">  </v>
      </c>
      <c r="AC34" s="702" t="str">
        <f>IFERROR(INDEX('V4'!C$300:C$400,MATCH("*"&amp;L34&amp;"*",'V4'!B$300:B$400,0)),"  ")</f>
        <v xml:space="preserve">  </v>
      </c>
      <c r="AD34" s="702">
        <f>IFERROR(INDEX('V5'!C$300:C$400,MATCH("*"&amp;L34&amp;"*",'V5'!B$300:B$400,0)),"  ")</f>
        <v>5</v>
      </c>
      <c r="AE34" s="702" t="str">
        <f>IFERROR(INDEX('V6'!C$300:C$400,MATCH("*"&amp;L34&amp;"*",'V6'!B$300:B$400,0)),"  ")</f>
        <v xml:space="preserve">  </v>
      </c>
      <c r="AF34" s="702" t="str">
        <f>IFERROR(INDEX('V7'!C$300:C$400,MATCH("*"&amp;L34&amp;"*",'V7'!B$300:B$400,0)),"  ")</f>
        <v xml:space="preserve">  </v>
      </c>
      <c r="AG34" s="702">
        <f>IFERROR(INDEX('V8'!C$300:C$400,MATCH("*"&amp;L34&amp;"*",'V8'!B$300:B$400,0)),"  ")</f>
        <v>12</v>
      </c>
      <c r="AH34" s="702">
        <f>IFERROR(INDEX('V9'!C$300:C$400,MATCH("*"&amp;L34&amp;"*",'V9'!B$300:B$400,0)),"  ")</f>
        <v>3</v>
      </c>
      <c r="AI34" s="702" t="str">
        <f>IFERROR(INDEX('V10'!C$300:C$400,MATCH("*"&amp;L34&amp;"*",'V10'!B$300:B$400,0)),"  ")</f>
        <v xml:space="preserve">  </v>
      </c>
      <c r="AJ34" s="702">
        <f>IFERROR(INDEX('V11'!C$300:C$400,MATCH("*"&amp;L34&amp;"*",'V11'!B$300:B$400,0)),"  ")</f>
        <v>10.5</v>
      </c>
      <c r="AK34" s="702" t="str">
        <f>IFERROR(INDEX('V12'!C$300:C$400,MATCH("*"&amp;L34&amp;"*",'V12'!B$300:B$400,0)),"  ")</f>
        <v xml:space="preserve">  </v>
      </c>
      <c r="AL34" s="702" t="str">
        <f>IFERROR(INDEX('V13'!C$300:C$400,MATCH("*"&amp;L34&amp;"*",'V13'!B$300:B$400,0)),"  ")</f>
        <v xml:space="preserve">  </v>
      </c>
      <c r="AM34" s="702">
        <f>IFERROR(INDEX('V14'!C$300:C$400,MATCH("*"&amp;L34&amp;"*",'V14'!B$300:B$400,0)),"  ")</f>
        <v>10</v>
      </c>
      <c r="AN34" s="702">
        <f>IFERROR(INDEX('V15'!C$300:C$400,MATCH("*"&amp;L34&amp;"*",'V15'!B$300:B$400,0)),"  ")</f>
        <v>6</v>
      </c>
      <c r="AO34" s="703">
        <f t="shared" si="10"/>
        <v>27</v>
      </c>
      <c r="AP34" s="704" t="str">
        <f>IFERROR("edasi "&amp;RANK(AO34,AO$7:AO$66,1),K34)</f>
        <v>edasi 27</v>
      </c>
      <c r="AQ34" s="705">
        <f>IFERROR(INDEX('V-fin'!A$300:A$401,MATCH("*"&amp;L34&amp;"*",'V-fin'!B$300:B$401,0)),"  ")</f>
        <v>2</v>
      </c>
      <c r="AR34" s="706">
        <f t="shared" si="8"/>
        <v>6</v>
      </c>
      <c r="AS34" s="707">
        <f>IFERROR(IF(Z34+1&gt;LARGE(Z$7:Z$66,1)-2,1),0)+IFERROR(IF(AA34+1&gt;LARGE(AA$7:AA$66,1)-2,1),0)+IFERROR(IF(AB34+1&gt;LARGE(AB$7:AB$66,1)-2,1),0)+IFERROR(IF(AC34+1&gt;LARGE(AC$7:AC$66,1)-2,1),0)+IFERROR(IF(AD34+1&gt;LARGE(AD$7:AD$66,1)-2,1),0)+IFERROR(IF(AE34+1&gt;LARGE(AE$7:AE$66,1)-2,1),0)+IFERROR(IF(AF34+1&gt;LARGE(AF$7:AF$66,1)-2,1),0)+IFERROR(IF(AG34+1&gt;LARGE(AG$7:AG$66,1)-2,1),0)+IFERROR(IF(AH34+1&gt;LARGE(AH$7:AH$66,1)-2,1),0)+IFERROR(IF(AI34+1&gt;LARGE(AI$7:AI$66,1)-2,1),0)+IFERROR(IF(AJ34+1&gt;LARGE(AJ$7:AJ$66,1)-2,1),0)+IFERROR(IF(AK34+1&gt;LARGE(AK$7:AK$66,1)-2,1),0)+IFERROR(IF(AL34+1&gt;LARGE(AL$7:AL$66,1)-2,1),0)+IFERROR(IF(AM34+1&gt;LARGE(AM$7:AM$66,1)-2,1),0)+IFERROR(IF(AN34+1&gt;LARGE(AN$7:AN$66,1)-2,1),0)</f>
        <v>0</v>
      </c>
      <c r="AT34" s="707">
        <f>IF(Z34=0,0,IF(Z34=IFERROR(LARGE(Z$7:Z$66,1),0),1,0))+IF(AA34=0,0,IF(AA34=IFERROR(LARGE(AA$7:AA$66,1),0),1,0))+IF(AB34=0,0,IF(AB34=IFERROR(LARGE(AB$7:AB$66,1),0),1,0))+IF(AC34=0,0,IF(AC34=IFERROR(LARGE(AC$7:AC$66,1),0),1,0))+IF(AD34=0,0,IF(AD34=IFERROR(LARGE(AD$7:AD$66,1),0),1,0))+IF(AE34=0,0,IF(AE34=IFERROR(LARGE(AE$7:AE$66,1),0),1,0))+IF(AF34=0,0,IF(AF34=IFERROR(LARGE(AF$7:AF$66,1),0),1,0))+IF(AG34=0,0,IF(AG34=IFERROR(LARGE(AG$7:AG$66,1),0),1,0))+IF(AH34=0,0,IF(AH34=IFERROR(LARGE(AH$7:AH$66,1),0),1,0))+IF(AI34=0,0,IF(AI34=IFERROR(LARGE(AI$7:AI$66,1),0),1,0))+IF(AJ34=0,0,IF(AJ34=IFERROR(LARGE(AJ$7:AJ$66,1),0),1,0))+IF(AK34=0,0,IF(AK34=IFERROR(LARGE(AK$7:AK$66,1),0),1,0))+IF(AL34=0,0,IF(AL34=IFERROR(LARGE(AL$7:AL$66,1),0),1,0))+IF(AM34=0,0,IF(AM34=IFERROR(LARGE(AM$7:AM$66,1),0),1,0))+IF(AN34=0,0,IF(AN34=IFERROR(LARGE(AN$7:AN$66,1),0),1,0))</f>
        <v>0</v>
      </c>
      <c r="AU34" s="712"/>
      <c r="AV34" s="708">
        <f t="shared" si="11"/>
        <v>4.0000000000000002E-4</v>
      </c>
      <c r="AW34" s="709">
        <f t="shared" si="13"/>
        <v>1E-4</v>
      </c>
      <c r="AX34" s="709">
        <f t="shared" si="13"/>
        <v>2.0000000000000001E-4</v>
      </c>
      <c r="AY34" s="709">
        <f t="shared" si="13"/>
        <v>2.9999999999999997E-4</v>
      </c>
      <c r="AZ34" s="709">
        <f t="shared" si="13"/>
        <v>4.0000000000000002E-4</v>
      </c>
      <c r="BA34" s="709">
        <f t="shared" si="13"/>
        <v>5.0004999999999997</v>
      </c>
      <c r="BB34" s="709">
        <f t="shared" si="13"/>
        <v>5.9999999999999995E-4</v>
      </c>
      <c r="BC34" s="709">
        <f t="shared" si="13"/>
        <v>6.9999999999999999E-4</v>
      </c>
      <c r="BD34" s="709">
        <f t="shared" si="13"/>
        <v>12.0008</v>
      </c>
      <c r="BE34" s="709">
        <f t="shared" si="13"/>
        <v>3.0009000000000001</v>
      </c>
      <c r="BF34" s="709">
        <f t="shared" si="13"/>
        <v>1E-3</v>
      </c>
      <c r="BG34" s="709">
        <f t="shared" si="13"/>
        <v>10.501099999999999</v>
      </c>
      <c r="BH34" s="709">
        <f t="shared" si="13"/>
        <v>1.1999999999999999E-3</v>
      </c>
      <c r="BI34" s="709">
        <f t="shared" si="13"/>
        <v>1.2999999999999999E-3</v>
      </c>
      <c r="BJ34" s="709">
        <f t="shared" si="13"/>
        <v>10.0014</v>
      </c>
      <c r="BK34" s="709">
        <f t="shared" si="13"/>
        <v>6.0015000000000001</v>
      </c>
      <c r="BL34" s="629"/>
    </row>
    <row r="35" spans="1:64" x14ac:dyDescent="0.2">
      <c r="A35" s="686">
        <f>IF(R35&gt;0,IF(Q35="v",RANK(B35,B$7:B$66,1)-COUNTBLANK(Q$7:Q$66),""),"")</f>
        <v>17</v>
      </c>
      <c r="B35" s="687">
        <f t="shared" si="0"/>
        <v>29</v>
      </c>
      <c r="C35" s="688" t="str">
        <f>IF(R35&gt;0,IF(P35="k",RANK(D35,D$7:D$66,1)-COUNTBLANK(P$7:P$66),""),"")</f>
        <v/>
      </c>
      <c r="D35" s="687">
        <f t="shared" si="1"/>
        <v>-971</v>
      </c>
      <c r="E35" s="689" t="str">
        <f>IF(R35&gt;0,IF(N35="m",RANK(F35,F$7:F$66,1)-COUNTBLANK(N$7:N$66),""),"")</f>
        <v/>
      </c>
      <c r="F35" s="687">
        <f t="shared" si="2"/>
        <v>-971</v>
      </c>
      <c r="G35" s="690">
        <f>IF(R35&gt;0,IF(M35="n",RANK(H35,H$7:H$66,1)-COUNTBLANK(M$7:M$66),""),"")</f>
        <v>4</v>
      </c>
      <c r="H35" s="687">
        <f t="shared" si="3"/>
        <v>29</v>
      </c>
      <c r="I35" s="691" t="str">
        <f>IF(R35&gt;0,IF(O35="j",RANK(J35,J$7:J$66,1)-COUNTBLANK(O$7:O$66),""),"")</f>
        <v/>
      </c>
      <c r="J35" s="692">
        <f t="shared" si="4"/>
        <v>-971</v>
      </c>
      <c r="K35" s="654">
        <f>IF(R35&gt;0,RANK(U35,U$7:U$66,1),"")</f>
        <v>29</v>
      </c>
      <c r="L35" s="723" t="s">
        <v>293</v>
      </c>
      <c r="M35" s="694" t="s">
        <v>280</v>
      </c>
      <c r="N35" s="695" t="str">
        <f t="shared" si="14"/>
        <v/>
      </c>
      <c r="O35" s="696"/>
      <c r="P35" s="697"/>
      <c r="Q35" s="698" t="s">
        <v>269</v>
      </c>
      <c r="R35" s="699">
        <f>(IF(COUNT(Z35,AA35,AB35,AC35,AD35,AE35,AF35,AG35,AH35,AI35,AJ35,AK35,AL35,AM35,AN35)&lt;11,SUM(Z35,AA35,AB35,AC35,AD35,AE35,AF35,AG35,AH35,AI35,AJ35,AK35,AL35,AM35,AN35),SUM(LARGE((Z35,AA35,AB35,AC35,AD35,AE35,AF35,AG35,AH35,AI35,AJ35,AK35,AL35,AM35,AN35),{1;2;3;4;5;6;7;8;9;10;11}))))</f>
        <v>45</v>
      </c>
      <c r="S35" s="700" t="str">
        <f>INDEX(ETAPP!B$1:B$32,MATCH(COUNTIF(Z35:AN35,PVO!A$1),ETAPP!A$1:A$32,0))&amp;INDEX(ETAPP!B$1:B$32,MATCH(COUNTIF(Z35:AN35,PVO!A$2),ETAPP!A$1:A$32,0))&amp;INDEX(ETAPP!B$1:B$32,MATCH(COUNTIF(Z35:AN35,PVO!A$3),ETAPP!A$1:A$32,0))&amp;INDEX(ETAPP!B$1:B$32,MATCH(COUNTIF(Z35:AN35,PVO!A$4),ETAPP!A$1:A$32,0))&amp;INDEX(ETAPP!B$1:B$32,MATCH(COUNTIF(Z35:AN35,PVO!A$5),ETAPP!A$1:A$32,0))&amp;INDEX(ETAPP!B$1:B$32,MATCH(COUNTIF(Z35:AN35,PVO!A$6),ETAPP!A$1:A$32,0))&amp;INDEX(ETAPP!B$1:B$32,MATCH(COUNTIF(Z35:AN35,PVO!A$7),ETAPP!A$1:A$32,0))&amp;INDEX(ETAPP!B$1:B$32,MATCH(COUNTIF(Z35:AN35,PVO!A$8),ETAPP!A$1:A$32,0))&amp;INDEX(ETAPP!B$1:B$32,MATCH(COUNTIF(Z35:AN35,PVO!A$9),ETAPP!A$1:A$32,0))&amp;INDEX(ETAPP!B$1:B$32,MATCH(COUNTIF(Z35:AN35,PVO!A$10),ETAPP!A$1:A$32,0))&amp;INDEX(ETAPP!B$1:B$32,MATCH(COUNTIF(Z35:AN35,PVO!A$11),ETAPP!A$1:A$32,0))&amp;INDEX(ETAPP!B$1:B$32,MATCH(COUNTIF(Z35:AN35,PVO!A$12),ETAPP!A$1:A$32,0))&amp;INDEX(ETAPP!B$1:B$32,MATCH(COUNTIF(Z35:AN35,PVO!A$13),ETAPP!A$1:A$32,0))&amp;INDEX(ETAPP!B$1:B$32,MATCH(COUNTIF(Z35:AN35,PVO!A$14),ETAPP!A$1:A$32,0))&amp;INDEX(ETAPP!B$1:B$32,MATCH(COUNTIF(Z35:AN35,PVO!A$15),ETAPP!A$1:A$32,0))&amp;INDEX(ETAPP!B$1:B$32,MATCH(COUNTIF(Z35:AN35,PVO!A$16),ETAPP!A$1:A$32,0))&amp;INDEX(ETAPP!B$1:B$32,MATCH(COUNTIF(Z35:AN35,PVO!A$17),ETAPP!A$1:A$32,0))&amp;INDEX(ETAPP!B$1:B$32,MATCH(COUNTIF(Z35:AN35,PVO!A$18),ETAPP!A$1:A$32,0))&amp;INDEX(ETAPP!B$1:B$32,MATCH(COUNTIF(Z35:AN35,PVO!A$19),ETAPP!A$1:A$32,0))</f>
        <v>00AA00000000ABA000D</v>
      </c>
      <c r="T35" s="700" t="str">
        <f t="shared" si="6"/>
        <v>045,0-00AA00000000ABA000D</v>
      </c>
      <c r="U35" s="700">
        <f>COUNTIF(T$7:T$66,"&gt;="&amp;T35)</f>
        <v>29</v>
      </c>
      <c r="V35" s="700">
        <f>COUNTIF(L$7:L$66,"&gt;="&amp;L35)</f>
        <v>14</v>
      </c>
      <c r="W35" s="700" t="str">
        <f t="shared" si="7"/>
        <v>045,0-00AA00000000ABA000D-014</v>
      </c>
      <c r="X35" s="700">
        <f>COUNTIF(W$7:W$66,"&gt;="&amp;W35)</f>
        <v>29</v>
      </c>
      <c r="Y35" s="701">
        <f>RANK(X35,X$7:X$66,0)</f>
        <v>32</v>
      </c>
      <c r="Z35" s="702" t="str">
        <f>IFERROR(INDEX('V1'!C$300:C$400,MATCH("*"&amp;L35&amp;"*",'V1'!B$300:B$400,0)),"  ")</f>
        <v xml:space="preserve">  </v>
      </c>
      <c r="AA35" s="702">
        <f>IFERROR(INDEX('V2'!C$300:C$400,MATCH("*"&amp;L35&amp;"*",'V2'!B$300:B$400,0)),"  ")</f>
        <v>14</v>
      </c>
      <c r="AB35" s="702">
        <f>IFERROR(INDEX('V3'!C$300:C$400,MATCH("*"&amp;L35&amp;"*",'V3'!B$300:B$400,0)),"  ")</f>
        <v>4</v>
      </c>
      <c r="AC35" s="702" t="str">
        <f>IFERROR(INDEX('V4'!C$300:C$400,MATCH("*"&amp;L35&amp;"*",'V4'!B$300:B$400,0)),"  ")</f>
        <v xml:space="preserve">  </v>
      </c>
      <c r="AD35" s="702" t="str">
        <f>IFERROR(INDEX('V5'!C$300:C$400,MATCH("*"&amp;L35&amp;"*",'V5'!B$300:B$400,0)),"  ")</f>
        <v xml:space="preserve">  </v>
      </c>
      <c r="AE35" s="702">
        <f>IFERROR(INDEX('V6'!C$300:C$400,MATCH("*"&amp;L35&amp;"*",'V6'!B$300:B$400,0)),"  ")</f>
        <v>15</v>
      </c>
      <c r="AF35" s="702" t="str">
        <f>IFERROR(INDEX('V7'!C$300:C$400,MATCH("*"&amp;L35&amp;"*",'V7'!B$300:B$400,0)),"  ")</f>
        <v xml:space="preserve">  </v>
      </c>
      <c r="AG35" s="702">
        <f>IFERROR(INDEX('V8'!C$300:C$400,MATCH("*"&amp;L35&amp;"*",'V8'!B$300:B$400,0)),"  ")</f>
        <v>4</v>
      </c>
      <c r="AH35" s="702" t="str">
        <f>IFERROR(INDEX('V9'!C$300:C$400,MATCH("*"&amp;L35&amp;"*",'V9'!B$300:B$400,0)),"  ")</f>
        <v xml:space="preserve">  </v>
      </c>
      <c r="AI35" s="702" t="str">
        <f>IFERROR(INDEX('V10'!C$300:C$400,MATCH("*"&amp;L35&amp;"*",'V10'!B$300:B$400,0)),"  ")</f>
        <v xml:space="preserve">  </v>
      </c>
      <c r="AJ35" s="702" t="str">
        <f>IFERROR(INDEX('V11'!C$300:C$400,MATCH("*"&amp;L35&amp;"*",'V11'!B$300:B$400,0)),"  ")</f>
        <v xml:space="preserve">  </v>
      </c>
      <c r="AK35" s="702">
        <f>IFERROR(INDEX('V12'!C$300:C$400,MATCH("*"&amp;L35&amp;"*",'V12'!B$300:B$400,0)),"  ")</f>
        <v>5</v>
      </c>
      <c r="AL35" s="702" t="str">
        <f>IFERROR(INDEX('V13'!C$300:C$400,MATCH("*"&amp;L35&amp;"*",'V13'!B$300:B$400,0)),"  ")</f>
        <v xml:space="preserve">  </v>
      </c>
      <c r="AM35" s="702" t="str">
        <f>IFERROR(INDEX('V14'!C$300:C$400,MATCH("*"&amp;L35&amp;"*",'V14'!B$300:B$400,0)),"  ")</f>
        <v xml:space="preserve">  </v>
      </c>
      <c r="AN35" s="702">
        <f>IFERROR(INDEX('V15'!C$300:C$400,MATCH("*"&amp;L35&amp;"*",'V15'!B$300:B$400,0)),"  ")</f>
        <v>3</v>
      </c>
      <c r="AO35" s="703">
        <f t="shared" si="10"/>
        <v>29</v>
      </c>
      <c r="AP35" s="704" t="str">
        <f>IFERROR("edasi "&amp;RANK(AO35,AO$7:AO$66,1),K35)</f>
        <v>edasi 29</v>
      </c>
      <c r="AQ35" s="705">
        <f>IFERROR(INDEX('V-fin'!A$300:A$401,MATCH("*"&amp;L35&amp;"*",'V-fin'!B$300:B$401,0)),"  ")</f>
        <v>4</v>
      </c>
      <c r="AR35" s="706">
        <f t="shared" si="8"/>
        <v>6</v>
      </c>
      <c r="AS35" s="707">
        <f>IFERROR(IF(Z35+1&gt;LARGE(Z$7:Z$66,1)-2,1),0)+IFERROR(IF(AA35+1&gt;LARGE(AA$7:AA$66,1)-2,1),0)+IFERROR(IF(AB35+1&gt;LARGE(AB$7:AB$66,1)-2,1),0)+IFERROR(IF(AC35+1&gt;LARGE(AC$7:AC$66,1)-2,1),0)+IFERROR(IF(AD35+1&gt;LARGE(AD$7:AD$66,1)-2,1),0)+IFERROR(IF(AE35+1&gt;LARGE(AE$7:AE$66,1)-2,1),0)+IFERROR(IF(AF35+1&gt;LARGE(AF$7:AF$66,1)-2,1),0)+IFERROR(IF(AG35+1&gt;LARGE(AG$7:AG$66,1)-2,1),0)+IFERROR(IF(AH35+1&gt;LARGE(AH$7:AH$66,1)-2,1),0)+IFERROR(IF(AI35+1&gt;LARGE(AI$7:AI$66,1)-2,1),0)+IFERROR(IF(AJ35+1&gt;LARGE(AJ$7:AJ$66,1)-2,1),0)+IFERROR(IF(AK35+1&gt;LARGE(AK$7:AK$66,1)-2,1),0)+IFERROR(IF(AL35+1&gt;LARGE(AL$7:AL$66,1)-2,1),0)+IFERROR(IF(AM35+1&gt;LARGE(AM$7:AM$66,1)-2,1),0)+IFERROR(IF(AN35+1&gt;LARGE(AN$7:AN$66,1)-2,1),0)</f>
        <v>2</v>
      </c>
      <c r="AT35" s="707">
        <f>IF(Z35=0,0,IF(Z35=IFERROR(LARGE(Z$7:Z$66,1),0),1,0))+IF(AA35=0,0,IF(AA35=IFERROR(LARGE(AA$7:AA$66,1),0),1,0))+IF(AB35=0,0,IF(AB35=IFERROR(LARGE(AB$7:AB$66,1),0),1,0))+IF(AC35=0,0,IF(AC35=IFERROR(LARGE(AC$7:AC$66,1),0),1,0))+IF(AD35=0,0,IF(AD35=IFERROR(LARGE(AD$7:AD$66,1),0),1,0))+IF(AE35=0,0,IF(AE35=IFERROR(LARGE(AE$7:AE$66,1),0),1,0))+IF(AF35=0,0,IF(AF35=IFERROR(LARGE(AF$7:AF$66,1),0),1,0))+IF(AG35=0,0,IF(AG35=IFERROR(LARGE(AG$7:AG$66,1),0),1,0))+IF(AH35=0,0,IF(AH35=IFERROR(LARGE(AH$7:AH$66,1),0),1,0))+IF(AI35=0,0,IF(AI35=IFERROR(LARGE(AI$7:AI$66,1),0),1,0))+IF(AJ35=0,0,IF(AJ35=IFERROR(LARGE(AJ$7:AJ$66,1),0),1,0))+IF(AK35=0,0,IF(AK35=IFERROR(LARGE(AK$7:AK$66,1),0),1,0))+IF(AL35=0,0,IF(AL35=IFERROR(LARGE(AL$7:AL$66,1),0),1,0))+IF(AM35=0,0,IF(AM35=IFERROR(LARGE(AM$7:AM$66,1),0),1,0))+IF(AN35=0,0,IF(AN35=IFERROR(LARGE(AN$7:AN$66,1),0),1,0))</f>
        <v>1</v>
      </c>
      <c r="AU35" s="629"/>
      <c r="AV35" s="708">
        <f t="shared" si="11"/>
        <v>6.9999999999999999E-4</v>
      </c>
      <c r="AW35" s="709">
        <f t="shared" si="13"/>
        <v>1E-4</v>
      </c>
      <c r="AX35" s="709">
        <f t="shared" si="13"/>
        <v>14.0002</v>
      </c>
      <c r="AY35" s="709">
        <f t="shared" si="13"/>
        <v>4.0003000000000002</v>
      </c>
      <c r="AZ35" s="709">
        <f t="shared" si="13"/>
        <v>4.0000000000000002E-4</v>
      </c>
      <c r="BA35" s="709">
        <f t="shared" si="13"/>
        <v>5.0000000000000001E-4</v>
      </c>
      <c r="BB35" s="709">
        <f t="shared" si="13"/>
        <v>15.0006</v>
      </c>
      <c r="BC35" s="709">
        <f t="shared" si="13"/>
        <v>6.9999999999999999E-4</v>
      </c>
      <c r="BD35" s="709">
        <f t="shared" si="13"/>
        <v>4.0007999999999999</v>
      </c>
      <c r="BE35" s="709">
        <f t="shared" si="13"/>
        <v>8.9999999999999998E-4</v>
      </c>
      <c r="BF35" s="709">
        <f t="shared" si="13"/>
        <v>1E-3</v>
      </c>
      <c r="BG35" s="709">
        <f t="shared" si="13"/>
        <v>1.1000000000000001E-3</v>
      </c>
      <c r="BH35" s="709">
        <f t="shared" si="13"/>
        <v>5.0011999999999999</v>
      </c>
      <c r="BI35" s="709">
        <f t="shared" si="13"/>
        <v>1.2999999999999999E-3</v>
      </c>
      <c r="BJ35" s="709">
        <f t="shared" si="13"/>
        <v>1.4E-3</v>
      </c>
      <c r="BK35" s="709">
        <f t="shared" si="13"/>
        <v>3.0015000000000001</v>
      </c>
      <c r="BL35" s="629"/>
    </row>
    <row r="36" spans="1:64" x14ac:dyDescent="0.2">
      <c r="A36" s="686">
        <f>IF(R36&gt;0,IF(Q36="v",RANK(B36,B$7:B$66,1)-COUNTBLANK(Q$7:Q$66),""),"")</f>
        <v>18</v>
      </c>
      <c r="B36" s="687">
        <f t="shared" si="0"/>
        <v>30</v>
      </c>
      <c r="C36" s="688" t="str">
        <f>IF(R36&gt;0,IF(P36="k",RANK(D36,D$7:D$66,1)-COUNTBLANK(P$7:P$66),""),"")</f>
        <v/>
      </c>
      <c r="D36" s="687">
        <f t="shared" si="1"/>
        <v>-970</v>
      </c>
      <c r="E36" s="689" t="str">
        <f>IF(R36&gt;0,IF(N36="m",RANK(F36,F$7:F$66,1)-COUNTBLANK(N$7:N$66),""),"")</f>
        <v/>
      </c>
      <c r="F36" s="687">
        <f t="shared" si="2"/>
        <v>-970</v>
      </c>
      <c r="G36" s="690">
        <f>IF(R36&gt;0,IF(M36="n",RANK(H36,H$7:H$66,1)-COUNTBLANK(M$7:M$66),""),"")</f>
        <v>5</v>
      </c>
      <c r="H36" s="687">
        <f t="shared" si="3"/>
        <v>30</v>
      </c>
      <c r="I36" s="691" t="str">
        <f>IF(R36&gt;0,IF(O36="j",RANK(J36,J$7:J$66,1)-COUNTBLANK(O$7:O$66),""),"")</f>
        <v/>
      </c>
      <c r="J36" s="692">
        <f t="shared" si="4"/>
        <v>-970</v>
      </c>
      <c r="K36" s="654">
        <f>IF(R36&gt;0,RANK(U36,U$7:U$66,1),"")</f>
        <v>30</v>
      </c>
      <c r="L36" s="713" t="s">
        <v>294</v>
      </c>
      <c r="M36" s="694" t="s">
        <v>280</v>
      </c>
      <c r="N36" s="695" t="str">
        <f t="shared" si="14"/>
        <v/>
      </c>
      <c r="O36" s="696"/>
      <c r="P36" s="697"/>
      <c r="Q36" s="698" t="s">
        <v>269</v>
      </c>
      <c r="R36" s="699">
        <f>(IF(COUNT(Z36,AA36,AB36,AC36,AD36,AE36,AF36,AG36,AH36,AI36,AJ36,AK36,AL36,AM36,AN36)&lt;11,SUM(Z36,AA36,AB36,AC36,AD36,AE36,AF36,AG36,AH36,AI36,AJ36,AK36,AL36,AM36,AN36),SUM(LARGE((Z36,AA36,AB36,AC36,AD36,AE36,AF36,AG36,AH36,AI36,AJ36,AK36,AL36,AM36,AN36),{1;2;3;4;5;6;7;8;9;10;11}))))</f>
        <v>40.5</v>
      </c>
      <c r="S36" s="700" t="str">
        <f>INDEX(ETAPP!B$1:B$32,MATCH(COUNTIF(Z36:AN36,PVO!A$1),ETAPP!A$1:A$32,0))&amp;INDEX(ETAPP!B$1:B$32,MATCH(COUNTIF(Z36:AN36,PVO!A$2),ETAPP!A$1:A$32,0))&amp;INDEX(ETAPP!B$1:B$32,MATCH(COUNTIF(Z36:AN36,PVO!A$3),ETAPP!A$1:A$32,0))&amp;INDEX(ETAPP!B$1:B$32,MATCH(COUNTIF(Z36:AN36,PVO!A$4),ETAPP!A$1:A$32,0))&amp;INDEX(ETAPP!B$1:B$32,MATCH(COUNTIF(Z36:AN36,PVO!A$5),ETAPP!A$1:A$32,0))&amp;INDEX(ETAPP!B$1:B$32,MATCH(COUNTIF(Z36:AN36,PVO!A$6),ETAPP!A$1:A$32,0))&amp;INDEX(ETAPP!B$1:B$32,MATCH(COUNTIF(Z36:AN36,PVO!A$7),ETAPP!A$1:A$32,0))&amp;INDEX(ETAPP!B$1:B$32,MATCH(COUNTIF(Z36:AN36,PVO!A$8),ETAPP!A$1:A$32,0))&amp;INDEX(ETAPP!B$1:B$32,MATCH(COUNTIF(Z36:AN36,PVO!A$9),ETAPP!A$1:A$32,0))&amp;INDEX(ETAPP!B$1:B$32,MATCH(COUNTIF(Z36:AN36,PVO!A$10),ETAPP!A$1:A$32,0))&amp;INDEX(ETAPP!B$1:B$32,MATCH(COUNTIF(Z36:AN36,PVO!A$11),ETAPP!A$1:A$32,0))&amp;INDEX(ETAPP!B$1:B$32,MATCH(COUNTIF(Z36:AN36,PVO!A$12),ETAPP!A$1:A$32,0))&amp;INDEX(ETAPP!B$1:B$32,MATCH(COUNTIF(Z36:AN36,PVO!A$13),ETAPP!A$1:A$32,0))&amp;INDEX(ETAPP!B$1:B$32,MATCH(COUNTIF(Z36:AN36,PVO!A$14),ETAPP!A$1:A$32,0))&amp;INDEX(ETAPP!B$1:B$32,MATCH(COUNTIF(Z36:AN36,PVO!A$15),ETAPP!A$1:A$32,0))&amp;INDEX(ETAPP!B$1:B$32,MATCH(COUNTIF(Z36:AN36,PVO!A$16),ETAPP!A$1:A$32,0))&amp;INDEX(ETAPP!B$1:B$32,MATCH(COUNTIF(Z36:AN36,PVO!A$17),ETAPP!A$1:A$32,0))&amp;INDEX(ETAPP!B$1:B$32,MATCH(COUNTIF(Z36:AN36,PVO!A$18),ETAPP!A$1:A$32,0))&amp;INDEX(ETAPP!B$1:B$32,MATCH(COUNTIF(Z36:AN36,PVO!A$19),ETAPP!A$1:A$32,0))</f>
        <v>00AA000000000A0000F</v>
      </c>
      <c r="T36" s="700" t="str">
        <f t="shared" si="6"/>
        <v>040,5-00AA000000000A0000F</v>
      </c>
      <c r="U36" s="700">
        <f>COUNTIF(T$7:T$66,"&gt;="&amp;T36)</f>
        <v>30</v>
      </c>
      <c r="V36" s="700">
        <f>COUNTIF(L$7:L$66,"&gt;="&amp;L36)</f>
        <v>60</v>
      </c>
      <c r="W36" s="700" t="str">
        <f t="shared" si="7"/>
        <v>040,5-00AA000000000A0000F-060</v>
      </c>
      <c r="X36" s="700">
        <f>COUNTIF(W$7:W$66,"&gt;="&amp;W36)</f>
        <v>30</v>
      </c>
      <c r="Y36" s="701">
        <f>RANK(X36,X$7:X$66,0)</f>
        <v>31</v>
      </c>
      <c r="Z36" s="702" t="str">
        <f>IFERROR(INDEX('V1'!C$300:C$400,MATCH("*"&amp;L36&amp;"*",'V1'!B$300:B$400,0)),"  ")</f>
        <v xml:space="preserve">  </v>
      </c>
      <c r="AA36" s="702" t="str">
        <f>IFERROR(INDEX('V2'!C$300:C$400,MATCH("*"&amp;L36&amp;"*",'V2'!B$300:B$400,0)),"  ")</f>
        <v xml:space="preserve">  </v>
      </c>
      <c r="AB36" s="702" t="str">
        <f>IFERROR(INDEX('V3'!C$300:C$400,MATCH("*"&amp;L36&amp;"*",'V3'!B$300:B$400,0)),"  ")</f>
        <v xml:space="preserve">  </v>
      </c>
      <c r="AC36" s="702" t="str">
        <f>IFERROR(INDEX('V4'!C$300:C$400,MATCH("*"&amp;L36&amp;"*",'V4'!B$300:B$400,0)),"  ")</f>
        <v xml:space="preserve">  </v>
      </c>
      <c r="AD36" s="702">
        <f>IFERROR(INDEX('V5'!C$300:C$400,MATCH("*"&amp;L36&amp;"*",'V5'!B$300:B$400,0)),"  ")</f>
        <v>14</v>
      </c>
      <c r="AE36" s="702">
        <f>IFERROR(INDEX('V6'!C$300:C$400,MATCH("*"&amp;L36&amp;"*",'V6'!B$300:B$400,0)),"  ")</f>
        <v>15</v>
      </c>
      <c r="AF36" s="702" t="str">
        <f>IFERROR(INDEX('V7'!C$300:C$400,MATCH("*"&amp;L36&amp;"*",'V7'!B$300:B$400,0)),"  ")</f>
        <v xml:space="preserve">  </v>
      </c>
      <c r="AG36" s="702">
        <f>IFERROR(INDEX('V8'!C$300:C$400,MATCH("*"&amp;L36&amp;"*",'V8'!B$300:B$400,0)),"  ")</f>
        <v>7.5</v>
      </c>
      <c r="AH36" s="702" t="str">
        <f>IFERROR(INDEX('V9'!C$300:C$400,MATCH("*"&amp;L36&amp;"*",'V9'!B$300:B$400,0)),"  ")</f>
        <v xml:space="preserve">  </v>
      </c>
      <c r="AI36" s="702" t="str">
        <f>IFERROR(INDEX('V10'!C$300:C$400,MATCH("*"&amp;L36&amp;"*",'V10'!B$300:B$400,0)),"  ")</f>
        <v xml:space="preserve">  </v>
      </c>
      <c r="AJ36" s="702">
        <f>IFERROR(INDEX('V11'!C$300:C$400,MATCH("*"&amp;L36&amp;"*",'V11'!B$300:B$400,0)),"  ")</f>
        <v>4</v>
      </c>
      <c r="AK36" s="702" t="str">
        <f>IFERROR(INDEX('V12'!C$300:C$400,MATCH("*"&amp;L36&amp;"*",'V12'!B$300:B$400,0)),"  ")</f>
        <v xml:space="preserve">  </v>
      </c>
      <c r="AL36" s="702" t="str">
        <f>IFERROR(INDEX('V13'!C$300:C$400,MATCH("*"&amp;L36&amp;"*",'V13'!B$300:B$400,0)),"  ")</f>
        <v xml:space="preserve">  </v>
      </c>
      <c r="AM36" s="702" t="str">
        <f>IFERROR(INDEX('V14'!C$300:C$400,MATCH("*"&amp;L36&amp;"*",'V14'!B$300:B$400,0)),"  ")</f>
        <v xml:space="preserve">  </v>
      </c>
      <c r="AN36" s="702" t="str">
        <f>IFERROR(INDEX('V15'!C$300:C$400,MATCH("*"&amp;L36&amp;"*",'V15'!B$300:B$400,0)),"  ")</f>
        <v xml:space="preserve">  </v>
      </c>
      <c r="AO36" s="703">
        <f t="shared" si="10"/>
        <v>30</v>
      </c>
      <c r="AP36" s="704" t="str">
        <f>IFERROR("edasi "&amp;RANK(AO36,AO$7:AO$66,1),K36)</f>
        <v>edasi 30</v>
      </c>
      <c r="AQ36" s="705" t="str">
        <f>IFERROR(INDEX('V-fin'!A$300:A$401,MATCH("*"&amp;L36&amp;"*",'V-fin'!B$300:B$401,0)),"  ")</f>
        <v xml:space="preserve">  </v>
      </c>
      <c r="AR36" s="706">
        <f t="shared" si="8"/>
        <v>4</v>
      </c>
      <c r="AS36" s="707">
        <f>IFERROR(IF(Z36+1&gt;LARGE(Z$7:Z$66,1)-2,1),0)+IFERROR(IF(AA36+1&gt;LARGE(AA$7:AA$66,1)-2,1),0)+IFERROR(IF(AB36+1&gt;LARGE(AB$7:AB$66,1)-2,1),0)+IFERROR(IF(AC36+1&gt;LARGE(AC$7:AC$66,1)-2,1),0)+IFERROR(IF(AD36+1&gt;LARGE(AD$7:AD$66,1)-2,1),0)+IFERROR(IF(AE36+1&gt;LARGE(AE$7:AE$66,1)-2,1),0)+IFERROR(IF(AF36+1&gt;LARGE(AF$7:AF$66,1)-2,1),0)+IFERROR(IF(AG36+1&gt;LARGE(AG$7:AG$66,1)-2,1),0)+IFERROR(IF(AH36+1&gt;LARGE(AH$7:AH$66,1)-2,1),0)+IFERROR(IF(AI36+1&gt;LARGE(AI$7:AI$66,1)-2,1),0)+IFERROR(IF(AJ36+1&gt;LARGE(AJ$7:AJ$66,1)-2,1),0)+IFERROR(IF(AK36+1&gt;LARGE(AK$7:AK$66,1)-2,1),0)+IFERROR(IF(AL36+1&gt;LARGE(AL$7:AL$66,1)-2,1),0)+IFERROR(IF(AM36+1&gt;LARGE(AM$7:AM$66,1)-2,1),0)+IFERROR(IF(AN36+1&gt;LARGE(AN$7:AN$66,1)-2,1),0)</f>
        <v>2</v>
      </c>
      <c r="AT36" s="707">
        <f>IF(Z36=0,0,IF(Z36=IFERROR(LARGE(Z$7:Z$66,1),0),1,0))+IF(AA36=0,0,IF(AA36=IFERROR(LARGE(AA$7:AA$66,1),0),1,0))+IF(AB36=0,0,IF(AB36=IFERROR(LARGE(AB$7:AB$66,1),0),1,0))+IF(AC36=0,0,IF(AC36=IFERROR(LARGE(AC$7:AC$66,1),0),1,0))+IF(AD36=0,0,IF(AD36=IFERROR(LARGE(AD$7:AD$66,1),0),1,0))+IF(AE36=0,0,IF(AE36=IFERROR(LARGE(AE$7:AE$66,1),0),1,0))+IF(AF36=0,0,IF(AF36=IFERROR(LARGE(AF$7:AF$66,1),0),1,0))+IF(AG36=0,0,IF(AG36=IFERROR(LARGE(AG$7:AG$66,1),0),1,0))+IF(AH36=0,0,IF(AH36=IFERROR(LARGE(AH$7:AH$66,1),0),1,0))+IF(AI36=0,0,IF(AI36=IFERROR(LARGE(AI$7:AI$66,1),0),1,0))+IF(AJ36=0,0,IF(AJ36=IFERROR(LARGE(AJ$7:AJ$66,1),0),1,0))+IF(AK36=0,0,IF(AK36=IFERROR(LARGE(AK$7:AK$66,1),0),1,0))+IF(AL36=0,0,IF(AL36=IFERROR(LARGE(AL$7:AL$66,1),0),1,0))+IF(AM36=0,0,IF(AM36=IFERROR(LARGE(AM$7:AM$66,1),0),1,0))+IF(AN36=0,0,IF(AN36=IFERROR(LARGE(AN$7:AN$66,1),0),1,0))</f>
        <v>1</v>
      </c>
      <c r="AU36" s="712"/>
      <c r="AV36" s="708">
        <f t="shared" si="11"/>
        <v>4.0000000000000002E-4</v>
      </c>
      <c r="AW36" s="709">
        <f t="shared" si="13"/>
        <v>1E-4</v>
      </c>
      <c r="AX36" s="709">
        <f t="shared" si="13"/>
        <v>2.0000000000000001E-4</v>
      </c>
      <c r="AY36" s="709">
        <f t="shared" si="13"/>
        <v>2.9999999999999997E-4</v>
      </c>
      <c r="AZ36" s="709">
        <f t="shared" si="13"/>
        <v>4.0000000000000002E-4</v>
      </c>
      <c r="BA36" s="709">
        <f t="shared" si="13"/>
        <v>14.000500000000001</v>
      </c>
      <c r="BB36" s="709">
        <f t="shared" si="13"/>
        <v>15.0006</v>
      </c>
      <c r="BC36" s="709">
        <f t="shared" si="13"/>
        <v>6.9999999999999999E-4</v>
      </c>
      <c r="BD36" s="709">
        <f t="shared" si="13"/>
        <v>7.5007999999999999</v>
      </c>
      <c r="BE36" s="709">
        <f t="shared" si="13"/>
        <v>8.9999999999999998E-4</v>
      </c>
      <c r="BF36" s="709">
        <f t="shared" si="13"/>
        <v>1E-3</v>
      </c>
      <c r="BG36" s="709">
        <f t="shared" si="13"/>
        <v>4.0011000000000001</v>
      </c>
      <c r="BH36" s="709">
        <f t="shared" si="13"/>
        <v>1.1999999999999999E-3</v>
      </c>
      <c r="BI36" s="709">
        <f t="shared" si="13"/>
        <v>1.2999999999999999E-3</v>
      </c>
      <c r="BJ36" s="709">
        <f t="shared" si="13"/>
        <v>1.4E-3</v>
      </c>
      <c r="BK36" s="709">
        <f t="shared" si="13"/>
        <v>1.5E-3</v>
      </c>
      <c r="BL36" s="629"/>
    </row>
    <row r="37" spans="1:64" x14ac:dyDescent="0.2">
      <c r="A37" s="686">
        <f>IF(R37&gt;0,IF(Q37="v",RANK(B37,B$7:B$66,1)-COUNTBLANK(Q$7:Q$66),""),"")</f>
        <v>19</v>
      </c>
      <c r="B37" s="687">
        <f t="shared" si="0"/>
        <v>31</v>
      </c>
      <c r="C37" s="688">
        <f>IF(R37&gt;0,IF(P37="k",RANK(D37,D$7:D$66,1)-COUNTBLANK(P$7:P$66),""),"")</f>
        <v>10</v>
      </c>
      <c r="D37" s="687">
        <f t="shared" si="1"/>
        <v>31</v>
      </c>
      <c r="E37" s="689">
        <f>IF(R37&gt;0,IF(N37="m",RANK(F37,F$7:F$66,1)-COUNTBLANK(N$7:N$66),""),"")</f>
        <v>26</v>
      </c>
      <c r="F37" s="687">
        <f t="shared" si="2"/>
        <v>31</v>
      </c>
      <c r="G37" s="690" t="str">
        <f>IF(R37&gt;0,IF(M37="n",RANK(H37,H$7:H$66,1)-COUNTBLANK(M$7:M$66),""),"")</f>
        <v/>
      </c>
      <c r="H37" s="687">
        <f t="shared" si="3"/>
        <v>-969</v>
      </c>
      <c r="I37" s="691" t="str">
        <f>IF(R37&gt;0,IF(O37="j",RANK(J37,J$7:J$66,1)-COUNTBLANK(O$7:O$66),""),"")</f>
        <v/>
      </c>
      <c r="J37" s="692">
        <f t="shared" si="4"/>
        <v>-969</v>
      </c>
      <c r="K37" s="654">
        <f>IF(R37&gt;0,RANK(U37,U$7:U$66,1),"")</f>
        <v>31</v>
      </c>
      <c r="L37" s="711" t="s">
        <v>225</v>
      </c>
      <c r="M37" s="694"/>
      <c r="N37" s="695" t="str">
        <f t="shared" si="14"/>
        <v>m</v>
      </c>
      <c r="O37" s="696"/>
      <c r="P37" s="697" t="s">
        <v>268</v>
      </c>
      <c r="Q37" s="698" t="s">
        <v>269</v>
      </c>
      <c r="R37" s="699">
        <f>(IF(COUNT(Z37,AA37,AB37,AC37,AD37,AE37,AF37,AG37,AH37,AI37,AJ37,AK37,AL37,AM37,AN37)&lt;11,SUM(Z37,AA37,AB37,AC37,AD37,AE37,AF37,AG37,AH37,AI37,AJ37,AK37,AL37,AM37,AN37),SUM(LARGE((Z37,AA37,AB37,AC37,AD37,AE37,AF37,AG37,AH37,AI37,AJ37,AK37,AL37,AM37,AN37),{1;2;3;4;5;6;7;8;9;10;11}))))</f>
        <v>40</v>
      </c>
      <c r="S37" s="700" t="str">
        <f>INDEX(ETAPP!B$1:B$32,MATCH(COUNTIF(Z37:AN37,PVO!A$1),ETAPP!A$1:A$32,0))&amp;INDEX(ETAPP!B$1:B$32,MATCH(COUNTIF(Z37:AN37,PVO!A$2),ETAPP!A$1:A$32,0))&amp;INDEX(ETAPP!B$1:B$32,MATCH(COUNTIF(Z37:AN37,PVO!A$3),ETAPP!A$1:A$32,0))&amp;INDEX(ETAPP!B$1:B$32,MATCH(COUNTIF(Z37:AN37,PVO!A$4),ETAPP!A$1:A$32,0))&amp;INDEX(ETAPP!B$1:B$32,MATCH(COUNTIF(Z37:AN37,PVO!A$5),ETAPP!A$1:A$32,0))&amp;INDEX(ETAPP!B$1:B$32,MATCH(COUNTIF(Z37:AN37,PVO!A$6),ETAPP!A$1:A$32,0))&amp;INDEX(ETAPP!B$1:B$32,MATCH(COUNTIF(Z37:AN37,PVO!A$7),ETAPP!A$1:A$32,0))&amp;INDEX(ETAPP!B$1:B$32,MATCH(COUNTIF(Z37:AN37,PVO!A$8),ETAPP!A$1:A$32,0))&amp;INDEX(ETAPP!B$1:B$32,MATCH(COUNTIF(Z37:AN37,PVO!A$9),ETAPP!A$1:A$32,0))&amp;INDEX(ETAPP!B$1:B$32,MATCH(COUNTIF(Z37:AN37,PVO!A$10),ETAPP!A$1:A$32,0))&amp;INDEX(ETAPP!B$1:B$32,MATCH(COUNTIF(Z37:AN37,PVO!A$11),ETAPP!A$1:A$32,0))&amp;INDEX(ETAPP!B$1:B$32,MATCH(COUNTIF(Z37:AN37,PVO!A$12),ETAPP!A$1:A$32,0))&amp;INDEX(ETAPP!B$1:B$32,MATCH(COUNTIF(Z37:AN37,PVO!A$13),ETAPP!A$1:A$32,0))&amp;INDEX(ETAPP!B$1:B$32,MATCH(COUNTIF(Z37:AN37,PVO!A$14),ETAPP!A$1:A$32,0))&amp;INDEX(ETAPP!B$1:B$32,MATCH(COUNTIF(Z37:AN37,PVO!A$15),ETAPP!A$1:A$32,0))&amp;INDEX(ETAPP!B$1:B$32,MATCH(COUNTIF(Z37:AN37,PVO!A$16),ETAPP!A$1:A$32,0))&amp;INDEX(ETAPP!B$1:B$32,MATCH(COUNTIF(Z37:AN37,PVO!A$17),ETAPP!A$1:A$32,0))&amp;INDEX(ETAPP!B$1:B$32,MATCH(COUNTIF(Z37:AN37,PVO!A$18),ETAPP!A$1:A$32,0))&amp;INDEX(ETAPP!B$1:B$32,MATCH(COUNTIF(Z37:AN37,PVO!A$19),ETAPP!A$1:A$32,0))</f>
        <v>00A00000AB00000000F</v>
      </c>
      <c r="T37" s="700" t="str">
        <f t="shared" si="6"/>
        <v>040,0-00A00000AB00000000F</v>
      </c>
      <c r="U37" s="700">
        <f>COUNTIF(T$7:T$66,"&gt;="&amp;T37)</f>
        <v>31</v>
      </c>
      <c r="V37" s="700">
        <f>COUNTIF(L$7:L$66,"&gt;="&amp;L37)</f>
        <v>21</v>
      </c>
      <c r="W37" s="700" t="str">
        <f t="shared" si="7"/>
        <v>040,0-00A00000AB00000000F-021</v>
      </c>
      <c r="X37" s="700">
        <f>COUNTIF(W$7:W$66,"&gt;="&amp;W37)</f>
        <v>31</v>
      </c>
      <c r="Y37" s="701">
        <f>RANK(X37,X$7:X$66,0)</f>
        <v>30</v>
      </c>
      <c r="Z37" s="702" t="str">
        <f>IFERROR(INDEX('V1'!C$300:C$400,MATCH("*"&amp;L37&amp;"*",'V1'!B$300:B$400,0)),"  ")</f>
        <v xml:space="preserve">  </v>
      </c>
      <c r="AA37" s="702" t="str">
        <f>IFERROR(INDEX('V2'!C$300:C$400,MATCH("*"&amp;L37&amp;"*",'V2'!B$300:B$400,0)),"  ")</f>
        <v xml:space="preserve">  </v>
      </c>
      <c r="AB37" s="702" t="str">
        <f>IFERROR(INDEX('V3'!C$300:C$400,MATCH("*"&amp;L37&amp;"*",'V3'!B$300:B$400,0)),"  ")</f>
        <v xml:space="preserve">  </v>
      </c>
      <c r="AC37" s="702" t="str">
        <f>IFERROR(INDEX('V4'!C$300:C$400,MATCH("*"&amp;L37&amp;"*",'V4'!B$300:B$400,0)),"  ")</f>
        <v xml:space="preserve">  </v>
      </c>
      <c r="AD37" s="702" t="str">
        <f>IFERROR(INDEX('V5'!C$300:C$400,MATCH("*"&amp;L37&amp;"*",'V5'!B$300:B$400,0)),"  ")</f>
        <v xml:space="preserve">  </v>
      </c>
      <c r="AE37" s="702">
        <f>IFERROR(INDEX('V6'!C$300:C$400,MATCH("*"&amp;L37&amp;"*",'V6'!B$300:B$400,0)),"  ")</f>
        <v>8</v>
      </c>
      <c r="AF37" s="702" t="str">
        <f>IFERROR(INDEX('V7'!C$300:C$400,MATCH("*"&amp;L37&amp;"*",'V7'!B$300:B$400,0)),"  ")</f>
        <v xml:space="preserve">  </v>
      </c>
      <c r="AG37" s="702" t="str">
        <f>IFERROR(INDEX('V8'!C$300:C$400,MATCH("*"&amp;L37&amp;"*",'V8'!B$300:B$400,0)),"  ")</f>
        <v xml:space="preserve">  </v>
      </c>
      <c r="AH37" s="702" t="str">
        <f>IFERROR(INDEX('V9'!C$300:C$400,MATCH("*"&amp;L37&amp;"*",'V9'!B$300:B$400,0)),"  ")</f>
        <v xml:space="preserve">  </v>
      </c>
      <c r="AI37" s="702" t="str">
        <f>IFERROR(INDEX('V10'!C$300:C$400,MATCH("*"&amp;L37&amp;"*",'V10'!B$300:B$400,0)),"  ")</f>
        <v xml:space="preserve">  </v>
      </c>
      <c r="AJ37" s="702">
        <f>IFERROR(INDEX('V11'!C$300:C$400,MATCH("*"&amp;L37&amp;"*",'V11'!B$300:B$400,0)),"  ")</f>
        <v>15</v>
      </c>
      <c r="AK37" s="702">
        <f>IFERROR(INDEX('V12'!C$300:C$400,MATCH("*"&amp;L37&amp;"*",'V12'!B$300:B$400,0)),"  ")</f>
        <v>8</v>
      </c>
      <c r="AL37" s="702" t="str">
        <f>IFERROR(INDEX('V13'!C$300:C$400,MATCH("*"&amp;L37&amp;"*",'V13'!B$300:B$400,0)),"  ")</f>
        <v xml:space="preserve">  </v>
      </c>
      <c r="AM37" s="702">
        <f>IFERROR(INDEX('V14'!C$300:C$400,MATCH("*"&amp;L37&amp;"*",'V14'!B$300:B$400,0)),"  ")</f>
        <v>9</v>
      </c>
      <c r="AN37" s="702" t="str">
        <f>IFERROR(INDEX('V15'!C$300:C$400,MATCH("*"&amp;L37&amp;"*",'V15'!B$300:B$400,0)),"  ")</f>
        <v xml:space="preserve">  </v>
      </c>
      <c r="AO37" s="703">
        <f t="shared" si="10"/>
        <v>31</v>
      </c>
      <c r="AP37" s="704" t="str">
        <f>IFERROR("edasi "&amp;RANK(AO37,AO$7:AO$66,1),K37)</f>
        <v>edasi 31</v>
      </c>
      <c r="AQ37" s="705" t="str">
        <f>IFERROR(INDEX('V-fin'!A$300:A$401,MATCH("*"&amp;L37&amp;"*",'V-fin'!B$300:B$401,0)),"  ")</f>
        <v xml:space="preserve">  </v>
      </c>
      <c r="AR37" s="706">
        <f t="shared" si="8"/>
        <v>4</v>
      </c>
      <c r="AS37" s="707">
        <f>IFERROR(IF(Z37+1&gt;LARGE(Z$7:Z$66,1)-2,1),0)+IFERROR(IF(AA37+1&gt;LARGE(AA$7:AA$66,1)-2,1),0)+IFERROR(IF(AB37+1&gt;LARGE(AB$7:AB$66,1)-2,1),0)+IFERROR(IF(AC37+1&gt;LARGE(AC$7:AC$66,1)-2,1),0)+IFERROR(IF(AD37+1&gt;LARGE(AD$7:AD$66,1)-2,1),0)+IFERROR(IF(AE37+1&gt;LARGE(AE$7:AE$66,1)-2,1),0)+IFERROR(IF(AF37+1&gt;LARGE(AF$7:AF$66,1)-2,1),0)+IFERROR(IF(AG37+1&gt;LARGE(AG$7:AG$66,1)-2,1),0)+IFERROR(IF(AH37+1&gt;LARGE(AH$7:AH$66,1)-2,1),0)+IFERROR(IF(AI37+1&gt;LARGE(AI$7:AI$66,1)-2,1),0)+IFERROR(IF(AJ37+1&gt;LARGE(AJ$7:AJ$66,1)-2,1),0)+IFERROR(IF(AK37+1&gt;LARGE(AK$7:AK$66,1)-2,1),0)+IFERROR(IF(AL37+1&gt;LARGE(AL$7:AL$66,1)-2,1),0)+IFERROR(IF(AM37+1&gt;LARGE(AM$7:AM$66,1)-2,1),0)+IFERROR(IF(AN37+1&gt;LARGE(AN$7:AN$66,1)-2,1),0)</f>
        <v>1</v>
      </c>
      <c r="AT37" s="707">
        <f>IF(Z37=0,0,IF(Z37=IFERROR(LARGE(Z$7:Z$66,1),0),1,0))+IF(AA37=0,0,IF(AA37=IFERROR(LARGE(AA$7:AA$66,1),0),1,0))+IF(AB37=0,0,IF(AB37=IFERROR(LARGE(AB$7:AB$66,1),0),1,0))+IF(AC37=0,0,IF(AC37=IFERROR(LARGE(AC$7:AC$66,1),0),1,0))+IF(AD37=0,0,IF(AD37=IFERROR(LARGE(AD$7:AD$66,1),0),1,0))+IF(AE37=0,0,IF(AE37=IFERROR(LARGE(AE$7:AE$66,1),0),1,0))+IF(AF37=0,0,IF(AF37=IFERROR(LARGE(AF$7:AF$66,1),0),1,0))+IF(AG37=0,0,IF(AG37=IFERROR(LARGE(AG$7:AG$66,1),0),1,0))+IF(AH37=0,0,IF(AH37=IFERROR(LARGE(AH$7:AH$66,1),0),1,0))+IF(AI37=0,0,IF(AI37=IFERROR(LARGE(AI$7:AI$66,1),0),1,0))+IF(AJ37=0,0,IF(AJ37=IFERROR(LARGE(AJ$7:AJ$66,1),0),1,0))+IF(AK37=0,0,IF(AK37=IFERROR(LARGE(AK$7:AK$66,1),0),1,0))+IF(AL37=0,0,IF(AL37=IFERROR(LARGE(AL$7:AL$66,1),0),1,0))+IF(AM37=0,0,IF(AM37=IFERROR(LARGE(AM$7:AM$66,1),0),1,0))+IF(AN37=0,0,IF(AN37=IFERROR(LARGE(AN$7:AN$66,1),0),1,0))</f>
        <v>1</v>
      </c>
      <c r="AU37" s="629"/>
      <c r="AV37" s="708">
        <f t="shared" si="11"/>
        <v>4.0000000000000002E-4</v>
      </c>
      <c r="AW37" s="709">
        <f t="shared" si="13"/>
        <v>1E-4</v>
      </c>
      <c r="AX37" s="709">
        <f t="shared" si="13"/>
        <v>2.0000000000000001E-4</v>
      </c>
      <c r="AY37" s="709">
        <f t="shared" si="13"/>
        <v>2.9999999999999997E-4</v>
      </c>
      <c r="AZ37" s="709">
        <f t="shared" si="13"/>
        <v>4.0000000000000002E-4</v>
      </c>
      <c r="BA37" s="709">
        <f t="shared" si="13"/>
        <v>5.0000000000000001E-4</v>
      </c>
      <c r="BB37" s="709">
        <f t="shared" si="13"/>
        <v>8.0006000000000004</v>
      </c>
      <c r="BC37" s="709">
        <f t="shared" si="13"/>
        <v>6.9999999999999999E-4</v>
      </c>
      <c r="BD37" s="709">
        <f t="shared" si="13"/>
        <v>8.0000000000000004E-4</v>
      </c>
      <c r="BE37" s="709">
        <f t="shared" si="13"/>
        <v>8.9999999999999998E-4</v>
      </c>
      <c r="BF37" s="709">
        <f t="shared" si="13"/>
        <v>1E-3</v>
      </c>
      <c r="BG37" s="709">
        <f t="shared" si="13"/>
        <v>15.001099999999999</v>
      </c>
      <c r="BH37" s="709">
        <f t="shared" si="13"/>
        <v>8.0012000000000008</v>
      </c>
      <c r="BI37" s="709">
        <f t="shared" si="13"/>
        <v>1.2999999999999999E-3</v>
      </c>
      <c r="BJ37" s="709">
        <f t="shared" si="13"/>
        <v>9.0014000000000003</v>
      </c>
      <c r="BK37" s="709">
        <f t="shared" si="13"/>
        <v>1.5E-3</v>
      </c>
      <c r="BL37" s="629"/>
    </row>
    <row r="38" spans="1:64" x14ac:dyDescent="0.2">
      <c r="A38" s="686" t="str">
        <f>IF(R38&gt;0,IF(Q38="v",RANK(B38,B$7:B$66,1)-COUNTBLANK(Q$7:Q$66),""),"")</f>
        <v/>
      </c>
      <c r="B38" s="687">
        <f t="shared" si="0"/>
        <v>-968</v>
      </c>
      <c r="C38" s="688" t="str">
        <f>IF(R38&gt;0,IF(P38="k",RANK(D38,D$7:D$66,1)-COUNTBLANK(P$7:P$66),""),"")</f>
        <v/>
      </c>
      <c r="D38" s="687">
        <f t="shared" si="1"/>
        <v>-968</v>
      </c>
      <c r="E38" s="689">
        <f>IF(R38&gt;0,IF(N38="m",RANK(F38,F$7:F$66,1)-COUNTBLANK(N$7:N$66),""),"")</f>
        <v>27</v>
      </c>
      <c r="F38" s="687">
        <f t="shared" si="2"/>
        <v>32</v>
      </c>
      <c r="G38" s="690" t="str">
        <f>IF(R38&gt;0,IF(M38="n",RANK(H38,H$7:H$66,1)-COUNTBLANK(M$7:M$66),""),"")</f>
        <v/>
      </c>
      <c r="H38" s="687">
        <f t="shared" si="3"/>
        <v>-968</v>
      </c>
      <c r="I38" s="691" t="str">
        <f>IF(R38&gt;0,IF(O38="j",RANK(J38,J$7:J$66,1)-COUNTBLANK(O$7:O$66),""),"")</f>
        <v/>
      </c>
      <c r="J38" s="692">
        <f t="shared" si="4"/>
        <v>-968</v>
      </c>
      <c r="K38" s="654">
        <f>IF(R38&gt;0,RANK(U38,U$7:U$66,1),"")</f>
        <v>32</v>
      </c>
      <c r="L38" s="711" t="s">
        <v>295</v>
      </c>
      <c r="M38" s="694"/>
      <c r="N38" s="695" t="s">
        <v>273</v>
      </c>
      <c r="O38" s="696"/>
      <c r="P38" s="697"/>
      <c r="Q38" s="698"/>
      <c r="R38" s="699">
        <f>(IF(COUNT(Z38,AA38,AB38,AC38,AD38,AE38,AF38,AG38,AH38,AI38,AJ38,AK38,AL38,AM38,AN38)&lt;11,SUM(Z38,AA38,AB38,AC38,AD38,AE38,AF38,AG38,AH38,AI38,AJ38,AK38,AL38,AM38,AN38),SUM(LARGE((Z38,AA38,AB38,AC38,AD38,AE38,AF38,AG38,AH38,AI38,AJ38,AK38,AL38,AM38,AN38),{1;2;3;4;5;6;7;8;9;10;11}))))</f>
        <v>38</v>
      </c>
      <c r="S38" s="700" t="str">
        <f>INDEX(ETAPP!B$1:B$32,MATCH(COUNTIF(Z38:AN38,PVO!A$1),ETAPP!A$1:A$32,0))&amp;INDEX(ETAPP!B$1:B$32,MATCH(COUNTIF(Z38:AN38,PVO!A$2),ETAPP!A$1:A$32,0))&amp;INDEX(ETAPP!B$1:B$32,MATCH(COUNTIF(Z38:AN38,PVO!A$3),ETAPP!A$1:A$32,0))&amp;INDEX(ETAPP!B$1:B$32,MATCH(COUNTIF(Z38:AN38,PVO!A$4),ETAPP!A$1:A$32,0))&amp;INDEX(ETAPP!B$1:B$32,MATCH(COUNTIF(Z38:AN38,PVO!A$5),ETAPP!A$1:A$32,0))&amp;INDEX(ETAPP!B$1:B$32,MATCH(COUNTIF(Z38:AN38,PVO!A$6),ETAPP!A$1:A$32,0))&amp;INDEX(ETAPP!B$1:B$32,MATCH(COUNTIF(Z38:AN38,PVO!A$7),ETAPP!A$1:A$32,0))&amp;INDEX(ETAPP!B$1:B$32,MATCH(COUNTIF(Z38:AN38,PVO!A$8),ETAPP!A$1:A$32,0))&amp;INDEX(ETAPP!B$1:B$32,MATCH(COUNTIF(Z38:AN38,PVO!A$9),ETAPP!A$1:A$32,0))&amp;INDEX(ETAPP!B$1:B$32,MATCH(COUNTIF(Z38:AN38,PVO!A$10),ETAPP!A$1:A$32,0))&amp;INDEX(ETAPP!B$1:B$32,MATCH(COUNTIF(Z38:AN38,PVO!A$11),ETAPP!A$1:A$32,0))&amp;INDEX(ETAPP!B$1:B$32,MATCH(COUNTIF(Z38:AN38,PVO!A$12),ETAPP!A$1:A$32,0))&amp;INDEX(ETAPP!B$1:B$32,MATCH(COUNTIF(Z38:AN38,PVO!A$13),ETAPP!A$1:A$32,0))&amp;INDEX(ETAPP!B$1:B$32,MATCH(COUNTIF(Z38:AN38,PVO!A$14),ETAPP!A$1:A$32,0))&amp;INDEX(ETAPP!B$1:B$32,MATCH(COUNTIF(Z38:AN38,PVO!A$15),ETAPP!A$1:A$32,0))&amp;INDEX(ETAPP!B$1:B$32,MATCH(COUNTIF(Z38:AN38,PVO!A$16),ETAPP!A$1:A$32,0))&amp;INDEX(ETAPP!B$1:B$32,MATCH(COUNTIF(Z38:AN38,PVO!A$17),ETAPP!A$1:A$32,0))&amp;INDEX(ETAPP!B$1:B$32,MATCH(COUNTIF(Z38:AN38,PVO!A$18),ETAPP!A$1:A$32,0))&amp;INDEX(ETAPP!B$1:B$32,MATCH(COUNTIF(Z38:AN38,PVO!A$19),ETAPP!A$1:A$32,0))</f>
        <v>00B000000A00000000G</v>
      </c>
      <c r="T38" s="700" t="str">
        <f t="shared" si="6"/>
        <v>038,0-00B000000A00000000G</v>
      </c>
      <c r="U38" s="700">
        <f>COUNTIF(T$7:T$66,"&gt;="&amp;T38)</f>
        <v>32</v>
      </c>
      <c r="V38" s="700">
        <f>COUNTIF(L$7:L$66,"&gt;="&amp;L38)</f>
        <v>11</v>
      </c>
      <c r="W38" s="700" t="str">
        <f t="shared" si="7"/>
        <v>038,0-00B000000A00000000G-011</v>
      </c>
      <c r="X38" s="700">
        <f>COUNTIF(W$7:W$66,"&gt;="&amp;W38)</f>
        <v>32</v>
      </c>
      <c r="Y38" s="701">
        <f>RANK(X38,X$7:X$66,0)</f>
        <v>29</v>
      </c>
      <c r="Z38" s="702" t="str">
        <f>IFERROR(INDEX('V1'!C$300:C$400,MATCH("*"&amp;L38&amp;"*",'V1'!B$300:B$400,0)),"  ")</f>
        <v xml:space="preserve">  </v>
      </c>
      <c r="AA38" s="702" t="str">
        <f>IFERROR(INDEX('V2'!C$300:C$400,MATCH("*"&amp;L38&amp;"*",'V2'!B$300:B$400,0)),"  ")</f>
        <v xml:space="preserve">  </v>
      </c>
      <c r="AB38" s="702" t="str">
        <f>IFERROR(INDEX('V3'!C$300:C$400,MATCH("*"&amp;L38&amp;"*",'V3'!B$300:B$400,0)),"  ")</f>
        <v xml:space="preserve">  </v>
      </c>
      <c r="AC38" s="702">
        <f>IFERROR(INDEX('V4'!C$300:C$400,MATCH("*"&amp;L38&amp;"*",'V4'!B$300:B$400,0)),"  ")</f>
        <v>15</v>
      </c>
      <c r="AD38" s="702" t="str">
        <f>IFERROR(INDEX('V5'!C$300:C$400,MATCH("*"&amp;L38&amp;"*",'V5'!B$300:B$400,0)),"  ")</f>
        <v xml:space="preserve">  </v>
      </c>
      <c r="AE38" s="702" t="str">
        <f>IFERROR(INDEX('V6'!C$300:C$400,MATCH("*"&amp;L38&amp;"*",'V6'!B$300:B$400,0)),"  ")</f>
        <v xml:space="preserve">  </v>
      </c>
      <c r="AF38" s="702" t="str">
        <f>IFERROR(INDEX('V7'!C$300:C$400,MATCH("*"&amp;L38&amp;"*",'V7'!B$300:B$400,0)),"  ")</f>
        <v xml:space="preserve">  </v>
      </c>
      <c r="AG38" s="702" t="str">
        <f>IFERROR(INDEX('V8'!C$300:C$400,MATCH("*"&amp;L38&amp;"*",'V8'!B$300:B$400,0)),"  ")</f>
        <v xml:space="preserve">  </v>
      </c>
      <c r="AH38" s="702" t="str">
        <f>IFERROR(INDEX('V9'!C$300:C$400,MATCH("*"&amp;L38&amp;"*",'V9'!B$300:B$400,0)),"  ")</f>
        <v xml:space="preserve">  </v>
      </c>
      <c r="AI38" s="702" t="str">
        <f>IFERROR(INDEX('V10'!C$300:C$400,MATCH("*"&amp;L38&amp;"*",'V10'!B$300:B$400,0)),"  ")</f>
        <v xml:space="preserve">  </v>
      </c>
      <c r="AJ38" s="702">
        <f>IFERROR(INDEX('V11'!C$300:C$400,MATCH("*"&amp;L38&amp;"*",'V11'!B$300:B$400,0)),"  ")</f>
        <v>8</v>
      </c>
      <c r="AK38" s="702" t="str">
        <f>IFERROR(INDEX('V12'!C$300:C$400,MATCH("*"&amp;L38&amp;"*",'V12'!B$300:B$400,0)),"  ")</f>
        <v xml:space="preserve">  </v>
      </c>
      <c r="AL38" s="702">
        <f>IFERROR(INDEX('V13'!C$300:C$400,MATCH("*"&amp;L38&amp;"*",'V13'!B$300:B$400,0)),"  ")</f>
        <v>15</v>
      </c>
      <c r="AM38" s="702" t="str">
        <f>IFERROR(INDEX('V14'!C$300:C$400,MATCH("*"&amp;L38&amp;"*",'V14'!B$300:B$400,0)),"  ")</f>
        <v xml:space="preserve">  </v>
      </c>
      <c r="AN38" s="702" t="str">
        <f>IFERROR(INDEX('V15'!C$300:C$400,MATCH("*"&amp;L38&amp;"*",'V15'!B$300:B$400,0)),"  ")</f>
        <v xml:space="preserve">  </v>
      </c>
      <c r="AO38" s="703">
        <f t="shared" si="10"/>
        <v>32</v>
      </c>
      <c r="AP38" s="704" t="str">
        <f>IFERROR("edasi "&amp;RANK(AO38,AO$7:AO$66,1),K38)</f>
        <v>edasi 32</v>
      </c>
      <c r="AQ38" s="705" t="str">
        <f>IFERROR(INDEX('V-fin'!A$300:A$401,MATCH("*"&amp;L38&amp;"*",'V-fin'!B$300:B$401,0)),"  ")</f>
        <v xml:space="preserve">  </v>
      </c>
      <c r="AR38" s="706">
        <f t="shared" si="8"/>
        <v>3</v>
      </c>
      <c r="AS38" s="707">
        <f>IFERROR(IF(Z38+1&gt;LARGE(Z$7:Z$66,1)-2,1),0)+IFERROR(IF(AA38+1&gt;LARGE(AA$7:AA$66,1)-2,1),0)+IFERROR(IF(AB38+1&gt;LARGE(AB$7:AB$66,1)-2,1),0)+IFERROR(IF(AC38+1&gt;LARGE(AC$7:AC$66,1)-2,1),0)+IFERROR(IF(AD38+1&gt;LARGE(AD$7:AD$66,1)-2,1),0)+IFERROR(IF(AE38+1&gt;LARGE(AE$7:AE$66,1)-2,1),0)+IFERROR(IF(AF38+1&gt;LARGE(AF$7:AF$66,1)-2,1),0)+IFERROR(IF(AG38+1&gt;LARGE(AG$7:AG$66,1)-2,1),0)+IFERROR(IF(AH38+1&gt;LARGE(AH$7:AH$66,1)-2,1),0)+IFERROR(IF(AI38+1&gt;LARGE(AI$7:AI$66,1)-2,1),0)+IFERROR(IF(AJ38+1&gt;LARGE(AJ$7:AJ$66,1)-2,1),0)+IFERROR(IF(AK38+1&gt;LARGE(AK$7:AK$66,1)-2,1),0)+IFERROR(IF(AL38+1&gt;LARGE(AL$7:AL$66,1)-2,1),0)+IFERROR(IF(AM38+1&gt;LARGE(AM$7:AM$66,1)-2,1),0)+IFERROR(IF(AN38+1&gt;LARGE(AN$7:AN$66,1)-2,1),0)</f>
        <v>2</v>
      </c>
      <c r="AT38" s="707">
        <f>IF(Z38=0,0,IF(Z38=IFERROR(LARGE(Z$7:Z$66,1),0),1,0))+IF(AA38=0,0,IF(AA38=IFERROR(LARGE(AA$7:AA$66,1),0),1,0))+IF(AB38=0,0,IF(AB38=IFERROR(LARGE(AB$7:AB$66,1),0),1,0))+IF(AC38=0,0,IF(AC38=IFERROR(LARGE(AC$7:AC$66,1),0),1,0))+IF(AD38=0,0,IF(AD38=IFERROR(LARGE(AD$7:AD$66,1),0),1,0))+IF(AE38=0,0,IF(AE38=IFERROR(LARGE(AE$7:AE$66,1),0),1,0))+IF(AF38=0,0,IF(AF38=IFERROR(LARGE(AF$7:AF$66,1),0),1,0))+IF(AG38=0,0,IF(AG38=IFERROR(LARGE(AG$7:AG$66,1),0),1,0))+IF(AH38=0,0,IF(AH38=IFERROR(LARGE(AH$7:AH$66,1),0),1,0))+IF(AI38=0,0,IF(AI38=IFERROR(LARGE(AI$7:AI$66,1),0),1,0))+IF(AJ38=0,0,IF(AJ38=IFERROR(LARGE(AJ$7:AJ$66,1),0),1,0))+IF(AK38=0,0,IF(AK38=IFERROR(LARGE(AK$7:AK$66,1),0),1,0))+IF(AL38=0,0,IF(AL38=IFERROR(LARGE(AL$7:AL$66,1),0),1,0))+IF(AM38=0,0,IF(AM38=IFERROR(LARGE(AM$7:AM$66,1),0),1,0))+IF(AN38=0,0,IF(AN38=IFERROR(LARGE(AN$7:AN$66,1),0),1,0))</f>
        <v>2</v>
      </c>
      <c r="AU38" s="629"/>
      <c r="AV38" s="708">
        <f t="shared" si="11"/>
        <v>5.0000000000000001E-4</v>
      </c>
      <c r="AW38" s="709">
        <f t="shared" si="13"/>
        <v>1E-4</v>
      </c>
      <c r="AX38" s="709">
        <f t="shared" si="13"/>
        <v>2.0000000000000001E-4</v>
      </c>
      <c r="AY38" s="709">
        <f t="shared" si="13"/>
        <v>2.9999999999999997E-4</v>
      </c>
      <c r="AZ38" s="709">
        <f t="shared" si="13"/>
        <v>15.000400000000001</v>
      </c>
      <c r="BA38" s="709">
        <f t="shared" si="13"/>
        <v>5.0000000000000001E-4</v>
      </c>
      <c r="BB38" s="709">
        <f t="shared" si="13"/>
        <v>5.9999999999999995E-4</v>
      </c>
      <c r="BC38" s="709">
        <f t="shared" si="13"/>
        <v>6.9999999999999999E-4</v>
      </c>
      <c r="BD38" s="709">
        <f t="shared" si="13"/>
        <v>8.0000000000000004E-4</v>
      </c>
      <c r="BE38" s="709">
        <f t="shared" si="13"/>
        <v>8.9999999999999998E-4</v>
      </c>
      <c r="BF38" s="709">
        <f t="shared" si="13"/>
        <v>1E-3</v>
      </c>
      <c r="BG38" s="709">
        <f t="shared" si="13"/>
        <v>8.0010999999999992</v>
      </c>
      <c r="BH38" s="709">
        <f t="shared" si="13"/>
        <v>1.1999999999999999E-3</v>
      </c>
      <c r="BI38" s="709">
        <f t="shared" si="13"/>
        <v>15.001300000000001</v>
      </c>
      <c r="BJ38" s="709">
        <f t="shared" si="13"/>
        <v>1.4E-3</v>
      </c>
      <c r="BK38" s="709">
        <f t="shared" si="13"/>
        <v>1.5E-3</v>
      </c>
      <c r="BL38" s="629"/>
    </row>
    <row r="39" spans="1:64" x14ac:dyDescent="0.2">
      <c r="A39" s="686">
        <f>IF(R39&gt;0,IF(Q39="v",RANK(B39,B$7:B$66,1)-COUNTBLANK(Q$7:Q$66),""),"")</f>
        <v>20</v>
      </c>
      <c r="B39" s="687">
        <f t="shared" si="0"/>
        <v>33</v>
      </c>
      <c r="C39" s="688" t="str">
        <f>IF(R39&gt;0,IF(P39="k",RANK(D39,D$7:D$66,1)-COUNTBLANK(P$7:P$66),""),"")</f>
        <v/>
      </c>
      <c r="D39" s="687">
        <f t="shared" si="1"/>
        <v>-967</v>
      </c>
      <c r="E39" s="689">
        <f>IF(R39&gt;0,IF(N39="m",RANK(F39,F$7:F$66,1)-COUNTBLANK(N$7:N$66),""),"")</f>
        <v>28</v>
      </c>
      <c r="F39" s="687">
        <f t="shared" si="2"/>
        <v>33</v>
      </c>
      <c r="G39" s="690" t="str">
        <f>IF(R39&gt;0,IF(M39="n",RANK(H39,H$7:H$66,1)-COUNTBLANK(M$7:M$66),""),"")</f>
        <v/>
      </c>
      <c r="H39" s="687">
        <f t="shared" si="3"/>
        <v>-967</v>
      </c>
      <c r="I39" s="691" t="str">
        <f>IF(R39&gt;0,IF(O39="j",RANK(J39,J$7:J$66,1)-COUNTBLANK(O$7:O$66),""),"")</f>
        <v/>
      </c>
      <c r="J39" s="692">
        <f t="shared" si="4"/>
        <v>-967</v>
      </c>
      <c r="K39" s="654">
        <f>IF(R39&gt;0,RANK(U39,U$7:U$66,1),"")</f>
        <v>33</v>
      </c>
      <c r="L39" s="713" t="s">
        <v>219</v>
      </c>
      <c r="M39" s="694"/>
      <c r="N39" s="695" t="str">
        <f>IF(M39="","m","")</f>
        <v>m</v>
      </c>
      <c r="O39" s="696"/>
      <c r="P39" s="697"/>
      <c r="Q39" s="698" t="s">
        <v>269</v>
      </c>
      <c r="R39" s="699">
        <f>(IF(COUNT(Z39,AA39,AB39,AC39,AD39,AE39,AF39,AG39,AH39,AI39,AJ39,AK39,AL39,AM39,AN39)&lt;11,SUM(Z39,AA39,AB39,AC39,AD39,AE39,AF39,AG39,AH39,AI39,AJ39,AK39,AL39,AM39,AN39),SUM(LARGE((Z39,AA39,AB39,AC39,AD39,AE39,AF39,AG39,AH39,AI39,AJ39,AK39,AL39,AM39,AN39),{1;2;3;4;5;6;7;8;9;10;11}))))</f>
        <v>37.5</v>
      </c>
      <c r="S39" s="700" t="str">
        <f>INDEX(ETAPP!B$1:B$32,MATCH(COUNTIF(Z39:AN39,PVO!A$1),ETAPP!A$1:A$32,0))&amp;INDEX(ETAPP!B$1:B$32,MATCH(COUNTIF(Z39:AN39,PVO!A$2),ETAPP!A$1:A$32,0))&amp;INDEX(ETAPP!B$1:B$32,MATCH(COUNTIF(Z39:AN39,PVO!A$3),ETAPP!A$1:A$32,0))&amp;INDEX(ETAPP!B$1:B$32,MATCH(COUNTIF(Z39:AN39,PVO!A$4),ETAPP!A$1:A$32,0))&amp;INDEX(ETAPP!B$1:B$32,MATCH(COUNTIF(Z39:AN39,PVO!A$5),ETAPP!A$1:A$32,0))&amp;INDEX(ETAPP!B$1:B$32,MATCH(COUNTIF(Z39:AN39,PVO!A$6),ETAPP!A$1:A$32,0))&amp;INDEX(ETAPP!B$1:B$32,MATCH(COUNTIF(Z39:AN39,PVO!A$7),ETAPP!A$1:A$32,0))&amp;INDEX(ETAPP!B$1:B$32,MATCH(COUNTIF(Z39:AN39,PVO!A$8),ETAPP!A$1:A$32,0))&amp;INDEX(ETAPP!B$1:B$32,MATCH(COUNTIF(Z39:AN39,PVO!A$9),ETAPP!A$1:A$32,0))&amp;INDEX(ETAPP!B$1:B$32,MATCH(COUNTIF(Z39:AN39,PVO!A$10),ETAPP!A$1:A$32,0))&amp;INDEX(ETAPP!B$1:B$32,MATCH(COUNTIF(Z39:AN39,PVO!A$11),ETAPP!A$1:A$32,0))&amp;INDEX(ETAPP!B$1:B$32,MATCH(COUNTIF(Z39:AN39,PVO!A$12),ETAPP!A$1:A$32,0))&amp;INDEX(ETAPP!B$1:B$32,MATCH(COUNTIF(Z39:AN39,PVO!A$13),ETAPP!A$1:A$32,0))&amp;INDEX(ETAPP!B$1:B$32,MATCH(COUNTIF(Z39:AN39,PVO!A$14),ETAPP!A$1:A$32,0))&amp;INDEX(ETAPP!B$1:B$32,MATCH(COUNTIF(Z39:AN39,PVO!A$15),ETAPP!A$1:A$32,0))&amp;INDEX(ETAPP!B$1:B$32,MATCH(COUNTIF(Z39:AN39,PVO!A$16),ETAPP!A$1:A$32,0))&amp;INDEX(ETAPP!B$1:B$32,MATCH(COUNTIF(Z39:AN39,PVO!A$17),ETAPP!A$1:A$32,0))&amp;INDEX(ETAPP!B$1:B$32,MATCH(COUNTIF(Z39:AN39,PVO!A$18),ETAPP!A$1:A$32,0))&amp;INDEX(ETAPP!B$1:B$32,MATCH(COUNTIF(Z39:AN39,PVO!A$19),ETAPP!A$1:A$32,0))</f>
        <v>00000A0B0000000000F</v>
      </c>
      <c r="T39" s="700" t="str">
        <f t="shared" si="6"/>
        <v>037,5-00000A0B0000000000F</v>
      </c>
      <c r="U39" s="700">
        <f>COUNTIF(T$7:T$66,"&gt;="&amp;T39)</f>
        <v>33</v>
      </c>
      <c r="V39" s="700">
        <f>COUNTIF(L$7:L$66,"&gt;="&amp;L39)</f>
        <v>54</v>
      </c>
      <c r="W39" s="700" t="str">
        <f t="shared" si="7"/>
        <v>037,5-00000A0B0000000000F-054</v>
      </c>
      <c r="X39" s="700">
        <f>COUNTIF(W$7:W$66,"&gt;="&amp;W39)</f>
        <v>33</v>
      </c>
      <c r="Y39" s="701">
        <f>RANK(X39,X$7:X$66,0)</f>
        <v>28</v>
      </c>
      <c r="Z39" s="702" t="str">
        <f>IFERROR(INDEX('V1'!C$300:C$400,MATCH("*"&amp;L39&amp;"*",'V1'!B$300:B$400,0)),"  ")</f>
        <v xml:space="preserve">  </v>
      </c>
      <c r="AA39" s="702">
        <f>IFERROR(INDEX('V2'!C$300:C$400,MATCH("*"&amp;L39&amp;"*",'V2'!B$300:B$400,0)),"  ")</f>
        <v>10</v>
      </c>
      <c r="AB39" s="702" t="str">
        <f>IFERROR(INDEX('V3'!C$300:C$400,MATCH("*"&amp;L39&amp;"*",'V3'!B$300:B$400,0)),"  ")</f>
        <v xml:space="preserve">  </v>
      </c>
      <c r="AC39" s="702">
        <f>IFERROR(INDEX('V4'!C$300:C$400,MATCH("*"&amp;L39&amp;"*",'V4'!B$300:B$400,0)),"  ")</f>
        <v>10</v>
      </c>
      <c r="AD39" s="702">
        <f>IFERROR(INDEX('V5'!C$300:C$400,MATCH("*"&amp;L39&amp;"*",'V5'!B$300:B$400,0)),"  ")</f>
        <v>12</v>
      </c>
      <c r="AE39" s="702" t="str">
        <f>IFERROR(INDEX('V6'!C$300:C$400,MATCH("*"&amp;L39&amp;"*",'V6'!B$300:B$400,0)),"  ")</f>
        <v xml:space="preserve">  </v>
      </c>
      <c r="AF39" s="702" t="str">
        <f>IFERROR(INDEX('V7'!C$300:C$400,MATCH("*"&amp;L39&amp;"*",'V7'!B$300:B$400,0)),"  ")</f>
        <v xml:space="preserve">  </v>
      </c>
      <c r="AG39" s="702">
        <f>IFERROR(INDEX('V8'!C$300:C$400,MATCH("*"&amp;L39&amp;"*",'V8'!B$300:B$400,0)),"  ")</f>
        <v>5.5</v>
      </c>
      <c r="AH39" s="702" t="str">
        <f>IFERROR(INDEX('V9'!C$300:C$400,MATCH("*"&amp;L39&amp;"*",'V9'!B$300:B$400,0)),"  ")</f>
        <v xml:space="preserve">  </v>
      </c>
      <c r="AI39" s="702" t="str">
        <f>IFERROR(INDEX('V10'!C$300:C$400,MATCH("*"&amp;L39&amp;"*",'V10'!B$300:B$400,0)),"  ")</f>
        <v xml:space="preserve">  </v>
      </c>
      <c r="AJ39" s="702" t="str">
        <f>IFERROR(INDEX('V11'!C$300:C$400,MATCH("*"&amp;L39&amp;"*",'V11'!B$300:B$400,0)),"  ")</f>
        <v xml:space="preserve">  </v>
      </c>
      <c r="AK39" s="702" t="str">
        <f>IFERROR(INDEX('V12'!C$300:C$400,MATCH("*"&amp;L39&amp;"*",'V12'!B$300:B$400,0)),"  ")</f>
        <v xml:space="preserve">  </v>
      </c>
      <c r="AL39" s="702" t="str">
        <f>IFERROR(INDEX('V13'!C$300:C$400,MATCH("*"&amp;L39&amp;"*",'V13'!B$300:B$400,0)),"  ")</f>
        <v xml:space="preserve">  </v>
      </c>
      <c r="AM39" s="702" t="str">
        <f>IFERROR(INDEX('V14'!C$300:C$400,MATCH("*"&amp;L39&amp;"*",'V14'!B$300:B$400,0)),"  ")</f>
        <v xml:space="preserve">  </v>
      </c>
      <c r="AN39" s="702" t="str">
        <f>IFERROR(INDEX('V15'!C$300:C$400,MATCH("*"&amp;L39&amp;"*",'V15'!B$300:B$400,0)),"  ")</f>
        <v xml:space="preserve">  </v>
      </c>
      <c r="AO39" s="703">
        <f t="shared" si="10"/>
        <v>33</v>
      </c>
      <c r="AP39" s="704" t="str">
        <f>IFERROR("edasi "&amp;RANK(AO39,AO$7:AO$66,1),K39)</f>
        <v>edasi 33</v>
      </c>
      <c r="AQ39" s="705" t="str">
        <f>IFERROR(INDEX('V-fin'!A$300:A$401,MATCH("*"&amp;L39&amp;"*",'V-fin'!B$300:B$401,0)),"  ")</f>
        <v xml:space="preserve">  </v>
      </c>
      <c r="AR39" s="706">
        <f t="shared" si="8"/>
        <v>4</v>
      </c>
      <c r="AS39" s="707">
        <f>IFERROR(IF(Z39+1&gt;LARGE(Z$7:Z$66,1)-2,1),0)+IFERROR(IF(AA39+1&gt;LARGE(AA$7:AA$66,1)-2,1),0)+IFERROR(IF(AB39+1&gt;LARGE(AB$7:AB$66,1)-2,1),0)+IFERROR(IF(AC39+1&gt;LARGE(AC$7:AC$66,1)-2,1),0)+IFERROR(IF(AD39+1&gt;LARGE(AD$7:AD$66,1)-2,1),0)+IFERROR(IF(AE39+1&gt;LARGE(AE$7:AE$66,1)-2,1),0)+IFERROR(IF(AF39+1&gt;LARGE(AF$7:AF$66,1)-2,1),0)+IFERROR(IF(AG39+1&gt;LARGE(AG$7:AG$66,1)-2,1),0)+IFERROR(IF(AH39+1&gt;LARGE(AH$7:AH$66,1)-2,1),0)+IFERROR(IF(AI39+1&gt;LARGE(AI$7:AI$66,1)-2,1),0)+IFERROR(IF(AJ39+1&gt;LARGE(AJ$7:AJ$66,1)-2,1),0)+IFERROR(IF(AK39+1&gt;LARGE(AK$7:AK$66,1)-2,1),0)+IFERROR(IF(AL39+1&gt;LARGE(AL$7:AL$66,1)-2,1),0)+IFERROR(IF(AM39+1&gt;LARGE(AM$7:AM$66,1)-2,1),0)+IFERROR(IF(AN39+1&gt;LARGE(AN$7:AN$66,1)-2,1),0)</f>
        <v>0</v>
      </c>
      <c r="AT39" s="707">
        <f>IF(Z39=0,0,IF(Z39=IFERROR(LARGE(Z$7:Z$66,1),0),1,0))+IF(AA39=0,0,IF(AA39=IFERROR(LARGE(AA$7:AA$66,1),0),1,0))+IF(AB39=0,0,IF(AB39=IFERROR(LARGE(AB$7:AB$66,1),0),1,0))+IF(AC39=0,0,IF(AC39=IFERROR(LARGE(AC$7:AC$66,1),0),1,0))+IF(AD39=0,0,IF(AD39=IFERROR(LARGE(AD$7:AD$66,1),0),1,0))+IF(AE39=0,0,IF(AE39=IFERROR(LARGE(AE$7:AE$66,1),0),1,0))+IF(AF39=0,0,IF(AF39=IFERROR(LARGE(AF$7:AF$66,1),0),1,0))+IF(AG39=0,0,IF(AG39=IFERROR(LARGE(AG$7:AG$66,1),0),1,0))+IF(AH39=0,0,IF(AH39=IFERROR(LARGE(AH$7:AH$66,1),0),1,0))+IF(AI39=0,0,IF(AI39=IFERROR(LARGE(AI$7:AI$66,1),0),1,0))+IF(AJ39=0,0,IF(AJ39=IFERROR(LARGE(AJ$7:AJ$66,1),0),1,0))+IF(AK39=0,0,IF(AK39=IFERROR(LARGE(AK$7:AK$66,1),0),1,0))+IF(AL39=0,0,IF(AL39=IFERROR(LARGE(AL$7:AL$66,1),0),1,0))+IF(AM39=0,0,IF(AM39=IFERROR(LARGE(AM$7:AM$66,1),0),1,0))+IF(AN39=0,0,IF(AN39=IFERROR(LARGE(AN$7:AN$66,1),0),1,0))</f>
        <v>0</v>
      </c>
      <c r="AU39" s="629"/>
      <c r="AV39" s="708">
        <f t="shared" si="11"/>
        <v>6.9999999999999999E-4</v>
      </c>
      <c r="AW39" s="709">
        <f t="shared" si="13"/>
        <v>1E-4</v>
      </c>
      <c r="AX39" s="709">
        <f t="shared" si="13"/>
        <v>10.0002</v>
      </c>
      <c r="AY39" s="709">
        <f t="shared" si="13"/>
        <v>2.9999999999999997E-4</v>
      </c>
      <c r="AZ39" s="709">
        <f t="shared" si="13"/>
        <v>10.000400000000001</v>
      </c>
      <c r="BA39" s="709">
        <f t="shared" si="13"/>
        <v>12.000500000000001</v>
      </c>
      <c r="BB39" s="709">
        <f t="shared" si="13"/>
        <v>5.9999999999999995E-4</v>
      </c>
      <c r="BC39" s="709">
        <f t="shared" si="13"/>
        <v>6.9999999999999999E-4</v>
      </c>
      <c r="BD39" s="709">
        <f t="shared" si="13"/>
        <v>5.5007999999999999</v>
      </c>
      <c r="BE39" s="709">
        <f t="shared" si="13"/>
        <v>8.9999999999999998E-4</v>
      </c>
      <c r="BF39" s="709">
        <f t="shared" si="13"/>
        <v>1E-3</v>
      </c>
      <c r="BG39" s="709">
        <f t="shared" si="13"/>
        <v>1.1000000000000001E-3</v>
      </c>
      <c r="BH39" s="709">
        <f t="shared" si="13"/>
        <v>1.1999999999999999E-3</v>
      </c>
      <c r="BI39" s="709">
        <f t="shared" si="13"/>
        <v>1.2999999999999999E-3</v>
      </c>
      <c r="BJ39" s="709">
        <f t="shared" si="13"/>
        <v>1.4E-3</v>
      </c>
      <c r="BK39" s="709">
        <f t="shared" si="13"/>
        <v>1.5E-3</v>
      </c>
      <c r="BL39" s="629"/>
    </row>
    <row r="40" spans="1:64" x14ac:dyDescent="0.2">
      <c r="A40" s="686" t="str">
        <f>IF(R40&gt;0,IF(Q40="v",RANK(B40,B$7:B$66,1)-COUNTBLANK(Q$7:Q$66),""),"")</f>
        <v/>
      </c>
      <c r="B40" s="687">
        <f t="shared" si="0"/>
        <v>-966</v>
      </c>
      <c r="C40" s="688">
        <f>IF(R40&gt;0,IF(P40="k",RANK(D40,D$7:D$66,1)-COUNTBLANK(P$7:P$66),""),"")</f>
        <v>11</v>
      </c>
      <c r="D40" s="687">
        <f t="shared" si="1"/>
        <v>34</v>
      </c>
      <c r="E40" s="689">
        <f>IF(R40&gt;0,IF(N40="m",RANK(F40,F$7:F$66,1)-COUNTBLANK(N$7:N$66),""),"")</f>
        <v>29</v>
      </c>
      <c r="F40" s="687">
        <f t="shared" si="2"/>
        <v>34</v>
      </c>
      <c r="G40" s="690" t="str">
        <f>IF(R40&gt;0,IF(M40="n",RANK(H40,H$7:H$66,1)-COUNTBLANK(M$7:M$66),""),"")</f>
        <v/>
      </c>
      <c r="H40" s="687">
        <f t="shared" si="3"/>
        <v>-966</v>
      </c>
      <c r="I40" s="691" t="str">
        <f>IF(R40&gt;0,IF(O40="j",RANK(J40,J$7:J$66,1)-COUNTBLANK(O$7:O$66),""),"")</f>
        <v/>
      </c>
      <c r="J40" s="692">
        <f t="shared" si="4"/>
        <v>-966</v>
      </c>
      <c r="K40" s="654">
        <f>IF(R40&gt;0,RANK(U40,U$7:U$66,1),"")</f>
        <v>34</v>
      </c>
      <c r="L40" s="723" t="s">
        <v>296</v>
      </c>
      <c r="M40" s="694"/>
      <c r="N40" s="695" t="str">
        <f>IF(M40="","m","")</f>
        <v>m</v>
      </c>
      <c r="O40" s="696"/>
      <c r="P40" s="697" t="s">
        <v>268</v>
      </c>
      <c r="Q40" s="698"/>
      <c r="R40" s="699">
        <f>(IF(COUNT(Z40,AA40,AB40,AC40,AD40,AE40,AF40,AG40,AH40,AI40,AJ40,AK40,AL40,AM40,AN40)&lt;11,SUM(Z40,AA40,AB40,AC40,AD40,AE40,AF40,AG40,AH40,AI40,AJ40,AK40,AL40,AM40,AN40),SUM(LARGE((Z40,AA40,AB40,AC40,AD40,AE40,AF40,AG40,AH40,AI40,AJ40,AK40,AL40,AM40,AN40),{1;2;3;4;5;6;7;8;9;10;11}))))</f>
        <v>30</v>
      </c>
      <c r="S40" s="700" t="str">
        <f>INDEX(ETAPP!B$1:B$32,MATCH(COUNTIF(Z40:AN40,PVO!A$1),ETAPP!A$1:A$32,0))&amp;INDEX(ETAPP!B$1:B$32,MATCH(COUNTIF(Z40:AN40,PVO!A$2),ETAPP!A$1:A$32,0))&amp;INDEX(ETAPP!B$1:B$32,MATCH(COUNTIF(Z40:AN40,PVO!A$3),ETAPP!A$1:A$32,0))&amp;INDEX(ETAPP!B$1:B$32,MATCH(COUNTIF(Z40:AN40,PVO!A$4),ETAPP!A$1:A$32,0))&amp;INDEX(ETAPP!B$1:B$32,MATCH(COUNTIF(Z40:AN40,PVO!A$5),ETAPP!A$1:A$32,0))&amp;INDEX(ETAPP!B$1:B$32,MATCH(COUNTIF(Z40:AN40,PVO!A$6),ETAPP!A$1:A$32,0))&amp;INDEX(ETAPP!B$1:B$32,MATCH(COUNTIF(Z40:AN40,PVO!A$7),ETAPP!A$1:A$32,0))&amp;INDEX(ETAPP!B$1:B$32,MATCH(COUNTIF(Z40:AN40,PVO!A$8),ETAPP!A$1:A$32,0))&amp;INDEX(ETAPP!B$1:B$32,MATCH(COUNTIF(Z40:AN40,PVO!A$9),ETAPP!A$1:A$32,0))&amp;INDEX(ETAPP!B$1:B$32,MATCH(COUNTIF(Z40:AN40,PVO!A$10),ETAPP!A$1:A$32,0))&amp;INDEX(ETAPP!B$1:B$32,MATCH(COUNTIF(Z40:AN40,PVO!A$11),ETAPP!A$1:A$32,0))&amp;INDEX(ETAPP!B$1:B$32,MATCH(COUNTIF(Z40:AN40,PVO!A$12),ETAPP!A$1:A$32,0))&amp;INDEX(ETAPP!B$1:B$32,MATCH(COUNTIF(Z40:AN40,PVO!A$13),ETAPP!A$1:A$32,0))&amp;INDEX(ETAPP!B$1:B$32,MATCH(COUNTIF(Z40:AN40,PVO!A$14),ETAPP!A$1:A$32,0))&amp;INDEX(ETAPP!B$1:B$32,MATCH(COUNTIF(Z40:AN40,PVO!A$15),ETAPP!A$1:A$32,0))&amp;INDEX(ETAPP!B$1:B$32,MATCH(COUNTIF(Z40:AN40,PVO!A$16),ETAPP!A$1:A$32,0))&amp;INDEX(ETAPP!B$1:B$32,MATCH(COUNTIF(Z40:AN40,PVO!A$17),ETAPP!A$1:A$32,0))&amp;INDEX(ETAPP!B$1:B$32,MATCH(COUNTIF(Z40:AN40,PVO!A$18),ETAPP!A$1:A$32,0))&amp;INDEX(ETAPP!B$1:B$32,MATCH(COUNTIF(Z40:AN40,PVO!A$19),ETAPP!A$1:A$32,0))</f>
        <v>000000AAA000000000G</v>
      </c>
      <c r="T40" s="700" t="str">
        <f t="shared" si="6"/>
        <v>030,0-000000AAA000000000G</v>
      </c>
      <c r="U40" s="700">
        <f>COUNTIF(T$7:T$66,"&gt;="&amp;T40)</f>
        <v>34</v>
      </c>
      <c r="V40" s="700">
        <f>COUNTIF(L$7:L$66,"&gt;="&amp;L40)</f>
        <v>53</v>
      </c>
      <c r="W40" s="700" t="str">
        <f t="shared" si="7"/>
        <v>030,0-000000AAA000000000G-053</v>
      </c>
      <c r="X40" s="700">
        <f>COUNTIF(W$7:W$66,"&gt;="&amp;W40)</f>
        <v>34</v>
      </c>
      <c r="Y40" s="701">
        <f>RANK(X40,X$7:X$66,0)</f>
        <v>27</v>
      </c>
      <c r="Z40" s="702">
        <f>IFERROR(INDEX('V1'!C$300:C$400,MATCH("*"&amp;L40&amp;"*",'V1'!B$300:B$400,0)),"  ")</f>
        <v>10</v>
      </c>
      <c r="AA40" s="702" t="str">
        <f>IFERROR(INDEX('V2'!C$300:C$400,MATCH("*"&amp;L40&amp;"*",'V2'!B$300:B$400,0)),"  ")</f>
        <v xml:space="preserve">  </v>
      </c>
      <c r="AB40" s="702" t="str">
        <f>IFERROR(INDEX('V3'!C$300:C$400,MATCH("*"&amp;L40&amp;"*",'V3'!B$300:B$400,0)),"  ")</f>
        <v xml:space="preserve">  </v>
      </c>
      <c r="AC40" s="702">
        <f>IFERROR(INDEX('V4'!C$300:C$400,MATCH("*"&amp;L40&amp;"*",'V4'!B$300:B$400,0)),"  ")</f>
        <v>11</v>
      </c>
      <c r="AD40" s="702" t="str">
        <f>IFERROR(INDEX('V5'!C$300:C$400,MATCH("*"&amp;L40&amp;"*",'V5'!B$300:B$400,0)),"  ")</f>
        <v xml:space="preserve">  </v>
      </c>
      <c r="AE40" s="702" t="str">
        <f>IFERROR(INDEX('V6'!C$300:C$400,MATCH("*"&amp;L40&amp;"*",'V6'!B$300:B$400,0)),"  ")</f>
        <v xml:space="preserve">  </v>
      </c>
      <c r="AF40" s="702" t="str">
        <f>IFERROR(INDEX('V7'!C$300:C$400,MATCH("*"&amp;L40&amp;"*",'V7'!B$300:B$400,0)),"  ")</f>
        <v xml:space="preserve">  </v>
      </c>
      <c r="AG40" s="702" t="str">
        <f>IFERROR(INDEX('V8'!C$300:C$400,MATCH("*"&amp;L40&amp;"*",'V8'!B$300:B$400,0)),"  ")</f>
        <v xml:space="preserve">  </v>
      </c>
      <c r="AH40" s="702" t="str">
        <f>IFERROR(INDEX('V9'!C$300:C$400,MATCH("*"&amp;L40&amp;"*",'V9'!B$300:B$400,0)),"  ")</f>
        <v xml:space="preserve">  </v>
      </c>
      <c r="AI40" s="702">
        <f>IFERROR(INDEX('V10'!C$300:C$400,MATCH("*"&amp;L40&amp;"*",'V10'!B$300:B$400,0)),"  ")</f>
        <v>9</v>
      </c>
      <c r="AJ40" s="702" t="str">
        <f>IFERROR(INDEX('V11'!C$300:C$400,MATCH("*"&amp;L40&amp;"*",'V11'!B$300:B$400,0)),"  ")</f>
        <v xml:space="preserve">  </v>
      </c>
      <c r="AK40" s="702" t="str">
        <f>IFERROR(INDEX('V12'!C$300:C$400,MATCH("*"&amp;L40&amp;"*",'V12'!B$300:B$400,0)),"  ")</f>
        <v xml:space="preserve">  </v>
      </c>
      <c r="AL40" s="702" t="str">
        <f>IFERROR(INDEX('V13'!C$300:C$400,MATCH("*"&amp;L40&amp;"*",'V13'!B$300:B$400,0)),"  ")</f>
        <v xml:space="preserve">  </v>
      </c>
      <c r="AM40" s="702" t="str">
        <f>IFERROR(INDEX('V14'!C$300:C$400,MATCH("*"&amp;L40&amp;"*",'V14'!B$300:B$400,0)),"  ")</f>
        <v xml:space="preserve">  </v>
      </c>
      <c r="AN40" s="702" t="str">
        <f>IFERROR(INDEX('V15'!C$300:C$400,MATCH("*"&amp;L40&amp;"*",'V15'!B$300:B$400,0)),"  ")</f>
        <v xml:space="preserve">  </v>
      </c>
      <c r="AO40" s="703">
        <f t="shared" si="10"/>
        <v>34</v>
      </c>
      <c r="AP40" s="704" t="str">
        <f>IFERROR("edasi "&amp;RANK(AO40,AO$7:AO$66,1),K40)</f>
        <v>edasi 34</v>
      </c>
      <c r="AQ40" s="705" t="str">
        <f>IFERROR(INDEX('V-fin'!A$300:A$401,MATCH("*"&amp;L40&amp;"*",'V-fin'!B$300:B$401,0)),"  ")</f>
        <v xml:space="preserve">  </v>
      </c>
      <c r="AR40" s="706">
        <f t="shared" si="8"/>
        <v>3</v>
      </c>
      <c r="AS40" s="707">
        <f>IFERROR(IF(Z40+1&gt;LARGE(Z$7:Z$66,1)-2,1),0)+IFERROR(IF(AA40+1&gt;LARGE(AA$7:AA$66,1)-2,1),0)+IFERROR(IF(AB40+1&gt;LARGE(AB$7:AB$66,1)-2,1),0)+IFERROR(IF(AC40+1&gt;LARGE(AC$7:AC$66,1)-2,1),0)+IFERROR(IF(AD40+1&gt;LARGE(AD$7:AD$66,1)-2,1),0)+IFERROR(IF(AE40+1&gt;LARGE(AE$7:AE$66,1)-2,1),0)+IFERROR(IF(AF40+1&gt;LARGE(AF$7:AF$66,1)-2,1),0)+IFERROR(IF(AG40+1&gt;LARGE(AG$7:AG$66,1)-2,1),0)+IFERROR(IF(AH40+1&gt;LARGE(AH$7:AH$66,1)-2,1),0)+IFERROR(IF(AI40+1&gt;LARGE(AI$7:AI$66,1)-2,1),0)+IFERROR(IF(AJ40+1&gt;LARGE(AJ$7:AJ$66,1)-2,1),0)+IFERROR(IF(AK40+1&gt;LARGE(AK$7:AK$66,1)-2,1),0)+IFERROR(IF(AL40+1&gt;LARGE(AL$7:AL$66,1)-2,1),0)+IFERROR(IF(AM40+1&gt;LARGE(AM$7:AM$66,1)-2,1),0)+IFERROR(IF(AN40+1&gt;LARGE(AN$7:AN$66,1)-2,1),0)</f>
        <v>0</v>
      </c>
      <c r="AT40" s="707">
        <f>IF(Z40=0,0,IF(Z40=IFERROR(LARGE(Z$7:Z$66,1),0),1,0))+IF(AA40=0,0,IF(AA40=IFERROR(LARGE(AA$7:AA$66,1),0),1,0))+IF(AB40=0,0,IF(AB40=IFERROR(LARGE(AB$7:AB$66,1),0),1,0))+IF(AC40=0,0,IF(AC40=IFERROR(LARGE(AC$7:AC$66,1),0),1,0))+IF(AD40=0,0,IF(AD40=IFERROR(LARGE(AD$7:AD$66,1),0),1,0))+IF(AE40=0,0,IF(AE40=IFERROR(LARGE(AE$7:AE$66,1),0),1,0))+IF(AF40=0,0,IF(AF40=IFERROR(LARGE(AF$7:AF$66,1),0),1,0))+IF(AG40=0,0,IF(AG40=IFERROR(LARGE(AG$7:AG$66,1),0),1,0))+IF(AH40=0,0,IF(AH40=IFERROR(LARGE(AH$7:AH$66,1),0),1,0))+IF(AI40=0,0,IF(AI40=IFERROR(LARGE(AI$7:AI$66,1),0),1,0))+IF(AJ40=0,0,IF(AJ40=IFERROR(LARGE(AJ$7:AJ$66,1),0),1,0))+IF(AK40=0,0,IF(AK40=IFERROR(LARGE(AK$7:AK$66,1),0),1,0))+IF(AL40=0,0,IF(AL40=IFERROR(LARGE(AL$7:AL$66,1),0),1,0))+IF(AM40=0,0,IF(AM40=IFERROR(LARGE(AM$7:AM$66,1),0),1,0))+IF(AN40=0,0,IF(AN40=IFERROR(LARGE(AN$7:AN$66,1),0),1,0))</f>
        <v>0</v>
      </c>
      <c r="AU40" s="629"/>
      <c r="AV40" s="708">
        <f t="shared" si="11"/>
        <v>5.9999999999999995E-4</v>
      </c>
      <c r="AW40" s="709">
        <f t="shared" si="13"/>
        <v>10.0001</v>
      </c>
      <c r="AX40" s="709">
        <f t="shared" si="13"/>
        <v>2.0000000000000001E-4</v>
      </c>
      <c r="AY40" s="709">
        <f t="shared" si="13"/>
        <v>2.9999999999999997E-4</v>
      </c>
      <c r="AZ40" s="709">
        <f t="shared" si="13"/>
        <v>11.000400000000001</v>
      </c>
      <c r="BA40" s="709">
        <f t="shared" si="13"/>
        <v>5.0000000000000001E-4</v>
      </c>
      <c r="BB40" s="709">
        <f t="shared" si="13"/>
        <v>5.9999999999999995E-4</v>
      </c>
      <c r="BC40" s="709">
        <f t="shared" si="13"/>
        <v>6.9999999999999999E-4</v>
      </c>
      <c r="BD40" s="709">
        <f t="shared" si="13"/>
        <v>8.0000000000000004E-4</v>
      </c>
      <c r="BE40" s="709">
        <f t="shared" si="13"/>
        <v>8.9999999999999998E-4</v>
      </c>
      <c r="BF40" s="709">
        <f t="shared" si="13"/>
        <v>9.0009999999999994</v>
      </c>
      <c r="BG40" s="709">
        <f t="shared" si="13"/>
        <v>1.1000000000000001E-3</v>
      </c>
      <c r="BH40" s="709">
        <f t="shared" si="13"/>
        <v>1.1999999999999999E-3</v>
      </c>
      <c r="BI40" s="709">
        <f t="shared" si="13"/>
        <v>1.2999999999999999E-3</v>
      </c>
      <c r="BJ40" s="709">
        <f t="shared" si="13"/>
        <v>1.4E-3</v>
      </c>
      <c r="BK40" s="709">
        <f t="shared" si="13"/>
        <v>1.5E-3</v>
      </c>
      <c r="BL40" s="629"/>
    </row>
    <row r="41" spans="1:64" x14ac:dyDescent="0.2">
      <c r="A41" s="686">
        <f>IF(R41&gt;0,IF(Q41="v",RANK(B41,B$7:B$66,1)-COUNTBLANK(Q$7:Q$66),""),"")</f>
        <v>21</v>
      </c>
      <c r="B41" s="687">
        <f t="shared" si="0"/>
        <v>35</v>
      </c>
      <c r="C41" s="688" t="str">
        <f>IF(R41&gt;0,IF(P41="k",RANK(D41,D$7:D$66,1)-COUNTBLANK(P$7:P$66),""),"")</f>
        <v/>
      </c>
      <c r="D41" s="687">
        <f t="shared" si="1"/>
        <v>-965</v>
      </c>
      <c r="E41" s="689">
        <f>IF(R41&gt;0,IF(N41="m",RANK(F41,F$7:F$66,1)-COUNTBLANK(N$7:N$66),""),"")</f>
        <v>30</v>
      </c>
      <c r="F41" s="687">
        <f t="shared" si="2"/>
        <v>35</v>
      </c>
      <c r="G41" s="690" t="str">
        <f>IF(R41&gt;0,IF(M41="n",RANK(H41,H$7:H$66,1)-COUNTBLANK(M$7:M$66),""),"")</f>
        <v/>
      </c>
      <c r="H41" s="687">
        <f t="shared" si="3"/>
        <v>-965</v>
      </c>
      <c r="I41" s="691" t="str">
        <f>IF(R41&gt;0,IF(O41="j",RANK(J41,J$7:J$66,1)-COUNTBLANK(O$7:O$66),""),"")</f>
        <v/>
      </c>
      <c r="J41" s="692">
        <f t="shared" si="4"/>
        <v>-965</v>
      </c>
      <c r="K41" s="654">
        <f>IF(R41&gt;0,RANK(U41,U$7:U$66,1),"")</f>
        <v>35</v>
      </c>
      <c r="L41" s="723" t="s">
        <v>297</v>
      </c>
      <c r="M41" s="694"/>
      <c r="N41" s="695" t="str">
        <f>IF(M41="","m","")</f>
        <v>m</v>
      </c>
      <c r="O41" s="696"/>
      <c r="P41" s="697"/>
      <c r="Q41" s="698" t="s">
        <v>269</v>
      </c>
      <c r="R41" s="699">
        <f>(IF(COUNT(Z41,AA41,AB41,AC41,AD41,AE41,AF41,AG41,AH41,AI41,AJ41,AK41,AL41,AM41,AN41)&lt;11,SUM(Z41,AA41,AB41,AC41,AD41,AE41,AF41,AG41,AH41,AI41,AJ41,AK41,AL41,AM41,AN41),SUM(LARGE((Z41,AA41,AB41,AC41,AD41,AE41,AF41,AG41,AH41,AI41,AJ41,AK41,AL41,AM41,AN41),{1;2;3;4;5;6;7;8;9;10;11}))))</f>
        <v>28</v>
      </c>
      <c r="S41" s="700" t="str">
        <f>INDEX(ETAPP!B$1:B$32,MATCH(COUNTIF(Z41:AN41,PVO!A$1),ETAPP!A$1:A$32,0))&amp;INDEX(ETAPP!B$1:B$32,MATCH(COUNTIF(Z41:AN41,PVO!A$2),ETAPP!A$1:A$32,0))&amp;INDEX(ETAPP!B$1:B$32,MATCH(COUNTIF(Z41:AN41,PVO!A$3),ETAPP!A$1:A$32,0))&amp;INDEX(ETAPP!B$1:B$32,MATCH(COUNTIF(Z41:AN41,PVO!A$4),ETAPP!A$1:A$32,0))&amp;INDEX(ETAPP!B$1:B$32,MATCH(COUNTIF(Z41:AN41,PVO!A$5),ETAPP!A$1:A$32,0))&amp;INDEX(ETAPP!B$1:B$32,MATCH(COUNTIF(Z41:AN41,PVO!A$6),ETAPP!A$1:A$32,0))&amp;INDEX(ETAPP!B$1:B$32,MATCH(COUNTIF(Z41:AN41,PVO!A$7),ETAPP!A$1:A$32,0))&amp;INDEX(ETAPP!B$1:B$32,MATCH(COUNTIF(Z41:AN41,PVO!A$8),ETAPP!A$1:A$32,0))&amp;INDEX(ETAPP!B$1:B$32,MATCH(COUNTIF(Z41:AN41,PVO!A$9),ETAPP!A$1:A$32,0))&amp;INDEX(ETAPP!B$1:B$32,MATCH(COUNTIF(Z41:AN41,PVO!A$10),ETAPP!A$1:A$32,0))&amp;INDEX(ETAPP!B$1:B$32,MATCH(COUNTIF(Z41:AN41,PVO!A$11),ETAPP!A$1:A$32,0))&amp;INDEX(ETAPP!B$1:B$32,MATCH(COUNTIF(Z41:AN41,PVO!A$12),ETAPP!A$1:A$32,0))&amp;INDEX(ETAPP!B$1:B$32,MATCH(COUNTIF(Z41:AN41,PVO!A$13),ETAPP!A$1:A$32,0))&amp;INDEX(ETAPP!B$1:B$32,MATCH(COUNTIF(Z41:AN41,PVO!A$14),ETAPP!A$1:A$32,0))&amp;INDEX(ETAPP!B$1:B$32,MATCH(COUNTIF(Z41:AN41,PVO!A$15),ETAPP!A$1:A$32,0))&amp;INDEX(ETAPP!B$1:B$32,MATCH(COUNTIF(Z41:AN41,PVO!A$16),ETAPP!A$1:A$32,0))&amp;INDEX(ETAPP!B$1:B$32,MATCH(COUNTIF(Z41:AN41,PVO!A$17),ETAPP!A$1:A$32,0))&amp;INDEX(ETAPP!B$1:B$32,MATCH(COUNTIF(Z41:AN41,PVO!A$18),ETAPP!A$1:A$32,0))&amp;INDEX(ETAPP!B$1:B$32,MATCH(COUNTIF(Z41:AN41,PVO!A$19),ETAPP!A$1:A$32,0))</f>
        <v>000B00000000000000H</v>
      </c>
      <c r="T41" s="700" t="str">
        <f t="shared" si="6"/>
        <v>028,0-000B00000000000000H</v>
      </c>
      <c r="U41" s="700">
        <f>COUNTIF(T$7:T$66,"&gt;="&amp;T41)</f>
        <v>35</v>
      </c>
      <c r="V41" s="700">
        <f>COUNTIF(L$7:L$66,"&gt;="&amp;L41)</f>
        <v>55</v>
      </c>
      <c r="W41" s="700" t="str">
        <f t="shared" si="7"/>
        <v>028,0-000B00000000000000H-055</v>
      </c>
      <c r="X41" s="700">
        <f>COUNTIF(W$7:W$66,"&gt;="&amp;W41)</f>
        <v>35</v>
      </c>
      <c r="Y41" s="701">
        <f>RANK(X41,X$7:X$66,0)</f>
        <v>26</v>
      </c>
      <c r="Z41" s="702" t="str">
        <f>IFERROR(INDEX('V1'!C$300:C$400,MATCH("*"&amp;L41&amp;"*",'V1'!B$300:B$400,0)),"  ")</f>
        <v xml:space="preserve">  </v>
      </c>
      <c r="AA41" s="702" t="str">
        <f>IFERROR(INDEX('V2'!C$300:C$400,MATCH("*"&amp;L41&amp;"*",'V2'!B$300:B$400,0)),"  ")</f>
        <v xml:space="preserve">  </v>
      </c>
      <c r="AB41" s="702" t="str">
        <f>IFERROR(INDEX('V3'!C$300:C$400,MATCH("*"&amp;L41&amp;"*",'V3'!B$300:B$400,0)),"  ")</f>
        <v xml:space="preserve">  </v>
      </c>
      <c r="AC41" s="702" t="str">
        <f>IFERROR(INDEX('V4'!C$300:C$400,MATCH("*"&amp;L41&amp;"*",'V4'!B$300:B$400,0)),"  ")</f>
        <v xml:space="preserve">  </v>
      </c>
      <c r="AD41" s="702" t="str">
        <f>IFERROR(INDEX('V5'!C$300:C$400,MATCH("*"&amp;L41&amp;"*",'V5'!B$300:B$400,0)),"  ")</f>
        <v xml:space="preserve">  </v>
      </c>
      <c r="AE41" s="702" t="str">
        <f>IFERROR(INDEX('V6'!C$300:C$400,MATCH("*"&amp;L41&amp;"*",'V6'!B$300:B$400,0)),"  ")</f>
        <v xml:space="preserve">  </v>
      </c>
      <c r="AF41" s="702">
        <f>IFERROR(INDEX('V7'!C$300:C$400,MATCH("*"&amp;L41&amp;"*",'V7'!B$300:B$400,0)),"  ")</f>
        <v>14</v>
      </c>
      <c r="AG41" s="702" t="str">
        <f>IFERROR(INDEX('V8'!C$300:C$400,MATCH("*"&amp;L41&amp;"*",'V8'!B$300:B$400,0)),"  ")</f>
        <v xml:space="preserve">  </v>
      </c>
      <c r="AH41" s="702" t="str">
        <f>IFERROR(INDEX('V9'!C$300:C$400,MATCH("*"&amp;L41&amp;"*",'V9'!B$300:B$400,0)),"  ")</f>
        <v xml:space="preserve">  </v>
      </c>
      <c r="AI41" s="702" t="str">
        <f>IFERROR(INDEX('V10'!C$300:C$400,MATCH("*"&amp;L41&amp;"*",'V10'!B$300:B$400,0)),"  ")</f>
        <v xml:space="preserve">  </v>
      </c>
      <c r="AJ41" s="702" t="str">
        <f>IFERROR(INDEX('V11'!C$300:C$400,MATCH("*"&amp;L41&amp;"*",'V11'!B$300:B$400,0)),"  ")</f>
        <v xml:space="preserve">  </v>
      </c>
      <c r="AK41" s="702" t="str">
        <f>IFERROR(INDEX('V12'!C$300:C$400,MATCH("*"&amp;L41&amp;"*",'V12'!B$300:B$400,0)),"  ")</f>
        <v xml:space="preserve">  </v>
      </c>
      <c r="AL41" s="702" t="str">
        <f>IFERROR(INDEX('V13'!C$300:C$400,MATCH("*"&amp;L41&amp;"*",'V13'!B$300:B$400,0)),"  ")</f>
        <v xml:space="preserve">  </v>
      </c>
      <c r="AM41" s="702" t="str">
        <f>IFERROR(INDEX('V14'!C$300:C$400,MATCH("*"&amp;L41&amp;"*",'V14'!B$300:B$400,0)),"  ")</f>
        <v xml:space="preserve">  </v>
      </c>
      <c r="AN41" s="702">
        <f>IFERROR(INDEX('V15'!C$300:C$400,MATCH("*"&amp;L41&amp;"*",'V15'!B$300:B$400,0)),"  ")</f>
        <v>14</v>
      </c>
      <c r="AO41" s="703">
        <f t="shared" si="10"/>
        <v>35</v>
      </c>
      <c r="AP41" s="704" t="str">
        <f>IFERROR("edasi "&amp;RANK(AO41,AO$7:AO$66,1),K41)</f>
        <v>edasi 35</v>
      </c>
      <c r="AQ41" s="705" t="str">
        <f>IFERROR(INDEX('V-fin'!A$300:A$401,MATCH("*"&amp;L41&amp;"*",'V-fin'!B$300:B$401,0)),"  ")</f>
        <v xml:space="preserve">  </v>
      </c>
      <c r="AR41" s="706">
        <f t="shared" si="8"/>
        <v>2</v>
      </c>
      <c r="AS41" s="707">
        <f>IFERROR(IF(Z41+1&gt;LARGE(Z$7:Z$66,1)-2,1),0)+IFERROR(IF(AA41+1&gt;LARGE(AA$7:AA$66,1)-2,1),0)+IFERROR(IF(AB41+1&gt;LARGE(AB$7:AB$66,1)-2,1),0)+IFERROR(IF(AC41+1&gt;LARGE(AC$7:AC$66,1)-2,1),0)+IFERROR(IF(AD41+1&gt;LARGE(AD$7:AD$66,1)-2,1),0)+IFERROR(IF(AE41+1&gt;LARGE(AE$7:AE$66,1)-2,1),0)+IFERROR(IF(AF41+1&gt;LARGE(AF$7:AF$66,1)-2,1),0)+IFERROR(IF(AG41+1&gt;LARGE(AG$7:AG$66,1)-2,1),0)+IFERROR(IF(AH41+1&gt;LARGE(AH$7:AH$66,1)-2,1),0)+IFERROR(IF(AI41+1&gt;LARGE(AI$7:AI$66,1)-2,1),0)+IFERROR(IF(AJ41+1&gt;LARGE(AJ$7:AJ$66,1)-2,1),0)+IFERROR(IF(AK41+1&gt;LARGE(AK$7:AK$66,1)-2,1),0)+IFERROR(IF(AL41+1&gt;LARGE(AL$7:AL$66,1)-2,1),0)+IFERROR(IF(AM41+1&gt;LARGE(AM$7:AM$66,1)-2,1),0)+IFERROR(IF(AN41+1&gt;LARGE(AN$7:AN$66,1)-2,1),0)</f>
        <v>2</v>
      </c>
      <c r="AT41" s="707">
        <f>IF(Z41=0,0,IF(Z41=IFERROR(LARGE(Z$7:Z$66,1),0),1,0))+IF(AA41=0,0,IF(AA41=IFERROR(LARGE(AA$7:AA$66,1),0),1,0))+IF(AB41=0,0,IF(AB41=IFERROR(LARGE(AB$7:AB$66,1),0),1,0))+IF(AC41=0,0,IF(AC41=IFERROR(LARGE(AC$7:AC$66,1),0),1,0))+IF(AD41=0,0,IF(AD41=IFERROR(LARGE(AD$7:AD$66,1),0),1,0))+IF(AE41=0,0,IF(AE41=IFERROR(LARGE(AE$7:AE$66,1),0),1,0))+IF(AF41=0,0,IF(AF41=IFERROR(LARGE(AF$7:AF$66,1),0),1,0))+IF(AG41=0,0,IF(AG41=IFERROR(LARGE(AG$7:AG$66,1),0),1,0))+IF(AH41=0,0,IF(AH41=IFERROR(LARGE(AH$7:AH$66,1),0),1,0))+IF(AI41=0,0,IF(AI41=IFERROR(LARGE(AI$7:AI$66,1),0),1,0))+IF(AJ41=0,0,IF(AJ41=IFERROR(LARGE(AJ$7:AJ$66,1),0),1,0))+IF(AK41=0,0,IF(AK41=IFERROR(LARGE(AK$7:AK$66,1),0),1,0))+IF(AL41=0,0,IF(AL41=IFERROR(LARGE(AL$7:AL$66,1),0),1,0))+IF(AM41=0,0,IF(AM41=IFERROR(LARGE(AM$7:AM$66,1),0),1,0))+IF(AN41=0,0,IF(AN41=IFERROR(LARGE(AN$7:AN$66,1),0),1,0))</f>
        <v>0</v>
      </c>
      <c r="AU41" s="629"/>
      <c r="AV41" s="708">
        <f t="shared" si="11"/>
        <v>4.0000000000000002E-4</v>
      </c>
      <c r="AW41" s="709">
        <f t="shared" ref="AW41:BK57" si="15">IF(Z41="  ",0+MID(Z$6,FIND("V",Z$6)+1,256)/10000,Z41+MID(Z$6,FIND("V",Z$6)+1,256)/10000)</f>
        <v>1E-4</v>
      </c>
      <c r="AX41" s="709">
        <f t="shared" si="15"/>
        <v>2.0000000000000001E-4</v>
      </c>
      <c r="AY41" s="709">
        <f t="shared" si="15"/>
        <v>2.9999999999999997E-4</v>
      </c>
      <c r="AZ41" s="709">
        <f t="shared" si="15"/>
        <v>4.0000000000000002E-4</v>
      </c>
      <c r="BA41" s="709">
        <f t="shared" si="15"/>
        <v>5.0000000000000001E-4</v>
      </c>
      <c r="BB41" s="709">
        <f t="shared" si="15"/>
        <v>5.9999999999999995E-4</v>
      </c>
      <c r="BC41" s="709">
        <f t="shared" si="15"/>
        <v>14.0007</v>
      </c>
      <c r="BD41" s="709">
        <f t="shared" si="15"/>
        <v>8.0000000000000004E-4</v>
      </c>
      <c r="BE41" s="709">
        <f t="shared" si="15"/>
        <v>8.9999999999999998E-4</v>
      </c>
      <c r="BF41" s="709">
        <f t="shared" si="15"/>
        <v>1E-3</v>
      </c>
      <c r="BG41" s="709">
        <f t="shared" si="15"/>
        <v>1.1000000000000001E-3</v>
      </c>
      <c r="BH41" s="709">
        <f t="shared" si="15"/>
        <v>1.1999999999999999E-3</v>
      </c>
      <c r="BI41" s="709">
        <f t="shared" si="15"/>
        <v>1.2999999999999999E-3</v>
      </c>
      <c r="BJ41" s="709">
        <f t="shared" si="15"/>
        <v>1.4E-3</v>
      </c>
      <c r="BK41" s="709">
        <f t="shared" si="15"/>
        <v>14.0015</v>
      </c>
      <c r="BL41" s="629"/>
    </row>
    <row r="42" spans="1:64" x14ac:dyDescent="0.2">
      <c r="A42" s="686">
        <f>IF(R42&gt;0,IF(Q42="v",RANK(B42,B$7:B$66,1)-COUNTBLANK(Q$7:Q$66),""),"")</f>
        <v>22</v>
      </c>
      <c r="B42" s="687">
        <f t="shared" si="0"/>
        <v>36</v>
      </c>
      <c r="C42" s="688">
        <f>IF(R42&gt;0,IF(P42="k",RANK(D42,D$7:D$66,1)-COUNTBLANK(P$7:P$66),""),"")</f>
        <v>12</v>
      </c>
      <c r="D42" s="687">
        <f t="shared" si="1"/>
        <v>36</v>
      </c>
      <c r="E42" s="689" t="str">
        <f>IF(R42&gt;0,IF(N42="m",RANK(F42,F$7:F$66,1)-COUNTBLANK(N$7:N$66),""),"")</f>
        <v/>
      </c>
      <c r="F42" s="687">
        <f t="shared" si="2"/>
        <v>-964</v>
      </c>
      <c r="G42" s="690">
        <f>IF(R42&gt;0,IF(M42="n",RANK(H42,H$7:H$66,1)-COUNTBLANK(M$7:M$66),""),"")</f>
        <v>6</v>
      </c>
      <c r="H42" s="687">
        <f t="shared" si="3"/>
        <v>36</v>
      </c>
      <c r="I42" s="691">
        <f>IF(R42&gt;0,IF(O42="j",RANK(J42,J$7:J$66,1)-COUNTBLANK(O$7:O$66),""),"")</f>
        <v>2</v>
      </c>
      <c r="J42" s="692">
        <f t="shared" si="4"/>
        <v>36</v>
      </c>
      <c r="K42" s="654">
        <f>IF(R42&gt;0,RANK(U42,U$7:U$66,1),"")</f>
        <v>36</v>
      </c>
      <c r="L42" s="713" t="s">
        <v>298</v>
      </c>
      <c r="M42" s="694" t="s">
        <v>280</v>
      </c>
      <c r="N42" s="695" t="str">
        <f>IF(M42="","m","")</f>
        <v/>
      </c>
      <c r="O42" s="696" t="s">
        <v>287</v>
      </c>
      <c r="P42" s="697" t="s">
        <v>268</v>
      </c>
      <c r="Q42" s="698" t="s">
        <v>269</v>
      </c>
      <c r="R42" s="699">
        <f>(IF(COUNT(Z42,AA42,AB42,AC42,AD42,AE42,AF42,AG42,AH42,AI42,AJ42,AK42,AL42,AM42,AN42)&lt;11,SUM(Z42,AA42,AB42,AC42,AD42,AE42,AF42,AG42,AH42,AI42,AJ42,AK42,AL42,AM42,AN42),SUM(LARGE((Z42,AA42,AB42,AC42,AD42,AE42,AF42,AG42,AH42,AI42,AJ42,AK42,AL42,AM42,AN42),{1;2;3;4;5;6;7;8;9;10;11}))))</f>
        <v>24</v>
      </c>
      <c r="S42" s="700" t="str">
        <f>INDEX(ETAPP!B$1:B$32,MATCH(COUNTIF(Z42:AN42,PVO!A$1),ETAPP!A$1:A$32,0))&amp;INDEX(ETAPP!B$1:B$32,MATCH(COUNTIF(Z42:AN42,PVO!A$2),ETAPP!A$1:A$32,0))&amp;INDEX(ETAPP!B$1:B$32,MATCH(COUNTIF(Z42:AN42,PVO!A$3),ETAPP!A$1:A$32,0))&amp;INDEX(ETAPP!B$1:B$32,MATCH(COUNTIF(Z42:AN42,PVO!A$4),ETAPP!A$1:A$32,0))&amp;INDEX(ETAPP!B$1:B$32,MATCH(COUNTIF(Z42:AN42,PVO!A$5),ETAPP!A$1:A$32,0))&amp;INDEX(ETAPP!B$1:B$32,MATCH(COUNTIF(Z42:AN42,PVO!A$6),ETAPP!A$1:A$32,0))&amp;INDEX(ETAPP!B$1:B$32,MATCH(COUNTIF(Z42:AN42,PVO!A$7),ETAPP!A$1:A$32,0))&amp;INDEX(ETAPP!B$1:B$32,MATCH(COUNTIF(Z42:AN42,PVO!A$8),ETAPP!A$1:A$32,0))&amp;INDEX(ETAPP!B$1:B$32,MATCH(COUNTIF(Z42:AN42,PVO!A$9),ETAPP!A$1:A$32,0))&amp;INDEX(ETAPP!B$1:B$32,MATCH(COUNTIF(Z42:AN42,PVO!A$10),ETAPP!A$1:A$32,0))&amp;INDEX(ETAPP!B$1:B$32,MATCH(COUNTIF(Z42:AN42,PVO!A$11),ETAPP!A$1:A$32,0))&amp;INDEX(ETAPP!B$1:B$32,MATCH(COUNTIF(Z42:AN42,PVO!A$12),ETAPP!A$1:A$32,0))&amp;INDEX(ETAPP!B$1:B$32,MATCH(COUNTIF(Z42:AN42,PVO!A$13),ETAPP!A$1:A$32,0))&amp;INDEX(ETAPP!B$1:B$32,MATCH(COUNTIF(Z42:AN42,PVO!A$14),ETAPP!A$1:A$32,0))&amp;INDEX(ETAPP!B$1:B$32,MATCH(COUNTIF(Z42:AN42,PVO!A$15),ETAPP!A$1:A$32,0))&amp;INDEX(ETAPP!B$1:B$32,MATCH(COUNTIF(Z42:AN42,PVO!A$16),ETAPP!A$1:A$32,0))&amp;INDEX(ETAPP!B$1:B$32,MATCH(COUNTIF(Z42:AN42,PVO!A$17),ETAPP!A$1:A$32,0))&amp;INDEX(ETAPP!B$1:B$32,MATCH(COUNTIF(Z42:AN42,PVO!A$18),ETAPP!A$1:A$32,0))&amp;INDEX(ETAPP!B$1:B$32,MATCH(COUNTIF(Z42:AN42,PVO!A$19),ETAPP!A$1:A$32,0))</f>
        <v>0000A0A00000000000H</v>
      </c>
      <c r="T42" s="700" t="str">
        <f t="shared" si="6"/>
        <v>024,0-0000A0A00000000000H</v>
      </c>
      <c r="U42" s="700">
        <f>COUNTIF(T$7:T$66,"&gt;="&amp;T42)</f>
        <v>36</v>
      </c>
      <c r="V42" s="700">
        <f>COUNTIF(L$7:L$66,"&gt;="&amp;L42)</f>
        <v>34</v>
      </c>
      <c r="W42" s="700" t="str">
        <f t="shared" si="7"/>
        <v>024,0-0000A0A00000000000H-034</v>
      </c>
      <c r="X42" s="700">
        <f>COUNTIF(W$7:W$66,"&gt;="&amp;W42)</f>
        <v>36</v>
      </c>
      <c r="Y42" s="701">
        <f>RANK(X42,X$7:X$66,0)</f>
        <v>25</v>
      </c>
      <c r="Z42" s="702" t="str">
        <f>IFERROR(INDEX('V1'!C$300:C$400,MATCH("*"&amp;L42&amp;"*",'V1'!B$300:B$400,0)),"  ")</f>
        <v xml:space="preserve">  </v>
      </c>
      <c r="AA42" s="702" t="str">
        <f>IFERROR(INDEX('V2'!C$300:C$400,MATCH("*"&amp;L42&amp;"*",'V2'!B$300:B$400,0)),"  ")</f>
        <v xml:space="preserve">  </v>
      </c>
      <c r="AB42" s="702" t="str">
        <f>IFERROR(INDEX('V3'!C$300:C$400,MATCH("*"&amp;L42&amp;"*",'V3'!B$300:B$400,0)),"  ")</f>
        <v xml:space="preserve">  </v>
      </c>
      <c r="AC42" s="702" t="str">
        <f>IFERROR(INDEX('V4'!C$300:C$400,MATCH("*"&amp;L42&amp;"*",'V4'!B$300:B$400,0)),"  ")</f>
        <v xml:space="preserve">  </v>
      </c>
      <c r="AD42" s="702" t="str">
        <f>IFERROR(INDEX('V5'!C$300:C$400,MATCH("*"&amp;L42&amp;"*",'V5'!B$300:B$400,0)),"  ")</f>
        <v xml:space="preserve">  </v>
      </c>
      <c r="AE42" s="702" t="str">
        <f>IFERROR(INDEX('V6'!C$300:C$400,MATCH("*"&amp;L42&amp;"*",'V6'!B$300:B$400,0)),"  ")</f>
        <v xml:space="preserve">  </v>
      </c>
      <c r="AF42" s="702" t="str">
        <f>IFERROR(INDEX('V7'!C$300:C$400,MATCH("*"&amp;L42&amp;"*",'V7'!B$300:B$400,0)),"  ")</f>
        <v xml:space="preserve">  </v>
      </c>
      <c r="AG42" s="702" t="str">
        <f>IFERROR(INDEX('V8'!C$300:C$400,MATCH("*"&amp;L42&amp;"*",'V8'!B$300:B$400,0)),"  ")</f>
        <v xml:space="preserve">  </v>
      </c>
      <c r="AH42" s="702" t="str">
        <f>IFERROR(INDEX('V9'!C$300:C$400,MATCH("*"&amp;L42&amp;"*",'V9'!B$300:B$400,0)),"  ")</f>
        <v xml:space="preserve">  </v>
      </c>
      <c r="AI42" s="702" t="str">
        <f>IFERROR(INDEX('V10'!C$300:C$400,MATCH("*"&amp;L42&amp;"*",'V10'!B$300:B$400,0)),"  ")</f>
        <v xml:space="preserve">  </v>
      </c>
      <c r="AJ42" s="702" t="str">
        <f>IFERROR(INDEX('V11'!C$300:C$400,MATCH("*"&amp;L42&amp;"*",'V11'!B$300:B$400,0)),"  ")</f>
        <v xml:space="preserve">  </v>
      </c>
      <c r="AK42" s="702">
        <f>IFERROR(INDEX('V12'!C$300:C$400,MATCH("*"&amp;L42&amp;"*",'V12'!B$300:B$400,0)),"  ")</f>
        <v>13</v>
      </c>
      <c r="AL42" s="702" t="str">
        <f>IFERROR(INDEX('V13'!C$300:C$400,MATCH("*"&amp;L42&amp;"*",'V13'!B$300:B$400,0)),"  ")</f>
        <v xml:space="preserve">  </v>
      </c>
      <c r="AM42" s="702">
        <f>IFERROR(INDEX('V14'!C$300:C$400,MATCH("*"&amp;L42&amp;"*",'V14'!B$300:B$400,0)),"  ")</f>
        <v>11</v>
      </c>
      <c r="AN42" s="702" t="str">
        <f>IFERROR(INDEX('V15'!C$300:C$400,MATCH("*"&amp;L42&amp;"*",'V15'!B$300:B$400,0)),"  ")</f>
        <v xml:space="preserve">  </v>
      </c>
      <c r="AO42" s="703">
        <f t="shared" si="10"/>
        <v>36</v>
      </c>
      <c r="AP42" s="704" t="str">
        <f>IFERROR("edasi "&amp;RANK(AO42,AO$7:AO$66,1),K42)</f>
        <v>edasi 36</v>
      </c>
      <c r="AQ42" s="705" t="str">
        <f>IFERROR(INDEX('V-fin'!A$300:A$401,MATCH("*"&amp;L42&amp;"*",'V-fin'!B$300:B$401,0)),"  ")</f>
        <v xml:space="preserve">  </v>
      </c>
      <c r="AR42" s="706">
        <f t="shared" si="8"/>
        <v>2</v>
      </c>
      <c r="AS42" s="707">
        <f>IFERROR(IF(Z42+1&gt;LARGE(Z$7:Z$66,1)-2,1),0)+IFERROR(IF(AA42+1&gt;LARGE(AA$7:AA$66,1)-2,1),0)+IFERROR(IF(AB42+1&gt;LARGE(AB$7:AB$66,1)-2,1),0)+IFERROR(IF(AC42+1&gt;LARGE(AC$7:AC$66,1)-2,1),0)+IFERROR(IF(AD42+1&gt;LARGE(AD$7:AD$66,1)-2,1),0)+IFERROR(IF(AE42+1&gt;LARGE(AE$7:AE$66,1)-2,1),0)+IFERROR(IF(AF42+1&gt;LARGE(AF$7:AF$66,1)-2,1),0)+IFERROR(IF(AG42+1&gt;LARGE(AG$7:AG$66,1)-2,1),0)+IFERROR(IF(AH42+1&gt;LARGE(AH$7:AH$66,1)-2,1),0)+IFERROR(IF(AI42+1&gt;LARGE(AI$7:AI$66,1)-2,1),0)+IFERROR(IF(AJ42+1&gt;LARGE(AJ$7:AJ$66,1)-2,1),0)+IFERROR(IF(AK42+1&gt;LARGE(AK$7:AK$66,1)-2,1),0)+IFERROR(IF(AL42+1&gt;LARGE(AL$7:AL$66,1)-2,1),0)+IFERROR(IF(AM42+1&gt;LARGE(AM$7:AM$66,1)-2,1),0)+IFERROR(IF(AN42+1&gt;LARGE(AN$7:AN$66,1)-2,1),0)</f>
        <v>1</v>
      </c>
      <c r="AT42" s="707">
        <f>IF(Z42=0,0,IF(Z42=IFERROR(LARGE(Z$7:Z$66,1),0),1,0))+IF(AA42=0,0,IF(AA42=IFERROR(LARGE(AA$7:AA$66,1),0),1,0))+IF(AB42=0,0,IF(AB42=IFERROR(LARGE(AB$7:AB$66,1),0),1,0))+IF(AC42=0,0,IF(AC42=IFERROR(LARGE(AC$7:AC$66,1),0),1,0))+IF(AD42=0,0,IF(AD42=IFERROR(LARGE(AD$7:AD$66,1),0),1,0))+IF(AE42=0,0,IF(AE42=IFERROR(LARGE(AE$7:AE$66,1),0),1,0))+IF(AF42=0,0,IF(AF42=IFERROR(LARGE(AF$7:AF$66,1),0),1,0))+IF(AG42=0,0,IF(AG42=IFERROR(LARGE(AG$7:AG$66,1),0),1,0))+IF(AH42=0,0,IF(AH42=IFERROR(LARGE(AH$7:AH$66,1),0),1,0))+IF(AI42=0,0,IF(AI42=IFERROR(LARGE(AI$7:AI$66,1),0),1,0))+IF(AJ42=0,0,IF(AJ42=IFERROR(LARGE(AJ$7:AJ$66,1),0),1,0))+IF(AK42=0,0,IF(AK42=IFERROR(LARGE(AK$7:AK$66,1),0),1,0))+IF(AL42=0,0,IF(AL42=IFERROR(LARGE(AL$7:AL$66,1),0),1,0))+IF(AM42=0,0,IF(AM42=IFERROR(LARGE(AM$7:AM$66,1),0),1,0))+IF(AN42=0,0,IF(AN42=IFERROR(LARGE(AN$7:AN$66,1),0),1,0))</f>
        <v>0</v>
      </c>
      <c r="AU42" s="629"/>
      <c r="AV42" s="708">
        <f t="shared" si="11"/>
        <v>4.0000000000000002E-4</v>
      </c>
      <c r="AW42" s="709">
        <f t="shared" si="15"/>
        <v>1E-4</v>
      </c>
      <c r="AX42" s="709">
        <f t="shared" si="15"/>
        <v>2.0000000000000001E-4</v>
      </c>
      <c r="AY42" s="709">
        <f t="shared" si="15"/>
        <v>2.9999999999999997E-4</v>
      </c>
      <c r="AZ42" s="709">
        <f t="shared" si="15"/>
        <v>4.0000000000000002E-4</v>
      </c>
      <c r="BA42" s="709">
        <f t="shared" si="15"/>
        <v>5.0000000000000001E-4</v>
      </c>
      <c r="BB42" s="709">
        <f t="shared" si="15"/>
        <v>5.9999999999999995E-4</v>
      </c>
      <c r="BC42" s="709">
        <f t="shared" si="15"/>
        <v>6.9999999999999999E-4</v>
      </c>
      <c r="BD42" s="709">
        <f t="shared" si="15"/>
        <v>8.0000000000000004E-4</v>
      </c>
      <c r="BE42" s="709">
        <f t="shared" si="15"/>
        <v>8.9999999999999998E-4</v>
      </c>
      <c r="BF42" s="709">
        <f t="shared" si="15"/>
        <v>1E-3</v>
      </c>
      <c r="BG42" s="709">
        <f t="shared" si="15"/>
        <v>1.1000000000000001E-3</v>
      </c>
      <c r="BH42" s="709">
        <f t="shared" si="15"/>
        <v>13.001200000000001</v>
      </c>
      <c r="BI42" s="709">
        <f t="shared" si="15"/>
        <v>1.2999999999999999E-3</v>
      </c>
      <c r="BJ42" s="709">
        <f t="shared" si="15"/>
        <v>11.0014</v>
      </c>
      <c r="BK42" s="709">
        <f t="shared" si="15"/>
        <v>1.5E-3</v>
      </c>
      <c r="BL42" s="629"/>
    </row>
    <row r="43" spans="1:64" x14ac:dyDescent="0.2">
      <c r="A43" s="686">
        <f>IF(R43&gt;0,IF(Q43="v",RANK(B43,B$7:B$66,1)-COUNTBLANK(Q$7:Q$66),""),"")</f>
        <v>23</v>
      </c>
      <c r="B43" s="687">
        <f t="shared" si="0"/>
        <v>37</v>
      </c>
      <c r="C43" s="688" t="str">
        <f>IF(R43&gt;0,IF(P43="k",RANK(D43,D$7:D$66,1)-COUNTBLANK(P$7:P$66),""),"")</f>
        <v/>
      </c>
      <c r="D43" s="687">
        <f t="shared" si="1"/>
        <v>-963</v>
      </c>
      <c r="E43" s="689" t="str">
        <f>IF(R43&gt;0,IF(N43="m",RANK(F43,F$7:F$66,1)-COUNTBLANK(N$7:N$66),""),"")</f>
        <v/>
      </c>
      <c r="F43" s="687">
        <f t="shared" si="2"/>
        <v>-963</v>
      </c>
      <c r="G43" s="690">
        <f>IF(R43&gt;0,IF(M43="n",RANK(H43,H$7:H$66,1)-COUNTBLANK(M$7:M$66),""),"")</f>
        <v>7</v>
      </c>
      <c r="H43" s="687">
        <f t="shared" si="3"/>
        <v>37</v>
      </c>
      <c r="I43" s="691" t="str">
        <f>IF(R43&gt;0,IF(O43="j",RANK(J43,J$7:J$66,1)-COUNTBLANK(O$7:O$66),""),"")</f>
        <v/>
      </c>
      <c r="J43" s="692">
        <f t="shared" si="4"/>
        <v>-963</v>
      </c>
      <c r="K43" s="654">
        <f>IF(R43&gt;0,RANK(U43,U$7:U$66,1),"")</f>
        <v>37</v>
      </c>
      <c r="L43" s="711" t="s">
        <v>299</v>
      </c>
      <c r="M43" s="694" t="s">
        <v>280</v>
      </c>
      <c r="N43" s="695"/>
      <c r="O43" s="696"/>
      <c r="P43" s="697"/>
      <c r="Q43" s="698" t="s">
        <v>269</v>
      </c>
      <c r="R43" s="699">
        <f>(IF(COUNT(Z43,AA43,AB43,AC43,AD43,AE43,AF43,AG43,AH43,AI43,AJ43,AK43,AL43,AM43,AN43)&lt;11,SUM(Z43,AA43,AB43,AC43,AD43,AE43,AF43,AG43,AH43,AI43,AJ43,AK43,AL43,AM43,AN43),SUM(LARGE((Z43,AA43,AB43,AC43,AD43,AE43,AF43,AG43,AH43,AI43,AJ43,AK43,AL43,AM43,AN43),{1;2;3;4;5;6;7;8;9;10;11}))))</f>
        <v>23</v>
      </c>
      <c r="S43" s="700" t="str">
        <f>INDEX(ETAPP!B$1:B$32,MATCH(COUNTIF(Z43:AN43,PVO!A$1),ETAPP!A$1:A$32,0))&amp;INDEX(ETAPP!B$1:B$32,MATCH(COUNTIF(Z43:AN43,PVO!A$2),ETAPP!A$1:A$32,0))&amp;INDEX(ETAPP!B$1:B$32,MATCH(COUNTIF(Z43:AN43,PVO!A$3),ETAPP!A$1:A$32,0))&amp;INDEX(ETAPP!B$1:B$32,MATCH(COUNTIF(Z43:AN43,PVO!A$4),ETAPP!A$1:A$32,0))&amp;INDEX(ETAPP!B$1:B$32,MATCH(COUNTIF(Z43:AN43,PVO!A$5),ETAPP!A$1:A$32,0))&amp;INDEX(ETAPP!B$1:B$32,MATCH(COUNTIF(Z43:AN43,PVO!A$6),ETAPP!A$1:A$32,0))&amp;INDEX(ETAPP!B$1:B$32,MATCH(COUNTIF(Z43:AN43,PVO!A$7),ETAPP!A$1:A$32,0))&amp;INDEX(ETAPP!B$1:B$32,MATCH(COUNTIF(Z43:AN43,PVO!A$8),ETAPP!A$1:A$32,0))&amp;INDEX(ETAPP!B$1:B$32,MATCH(COUNTIF(Z43:AN43,PVO!A$9),ETAPP!A$1:A$32,0))&amp;INDEX(ETAPP!B$1:B$32,MATCH(COUNTIF(Z43:AN43,PVO!A$10),ETAPP!A$1:A$32,0))&amp;INDEX(ETAPP!B$1:B$32,MATCH(COUNTIF(Z43:AN43,PVO!A$11),ETAPP!A$1:A$32,0))&amp;INDEX(ETAPP!B$1:B$32,MATCH(COUNTIF(Z43:AN43,PVO!A$12),ETAPP!A$1:A$32,0))&amp;INDEX(ETAPP!B$1:B$32,MATCH(COUNTIF(Z43:AN43,PVO!A$13),ETAPP!A$1:A$32,0))&amp;INDEX(ETAPP!B$1:B$32,MATCH(COUNTIF(Z43:AN43,PVO!A$14),ETAPP!A$1:A$32,0))&amp;INDEX(ETAPP!B$1:B$32,MATCH(COUNTIF(Z43:AN43,PVO!A$15),ETAPP!A$1:A$32,0))&amp;INDEX(ETAPP!B$1:B$32,MATCH(COUNTIF(Z43:AN43,PVO!A$16),ETAPP!A$1:A$32,0))&amp;INDEX(ETAPP!B$1:B$32,MATCH(COUNTIF(Z43:AN43,PVO!A$17),ETAPP!A$1:A$32,0))&amp;INDEX(ETAPP!B$1:B$32,MATCH(COUNTIF(Z43:AN43,PVO!A$18),ETAPP!A$1:A$32,0))&amp;INDEX(ETAPP!B$1:B$32,MATCH(COUNTIF(Z43:AN43,PVO!A$19),ETAPP!A$1:A$32,0))</f>
        <v>00A000000A00000000H</v>
      </c>
      <c r="T43" s="700" t="str">
        <f t="shared" si="6"/>
        <v>023,0-00A000000A00000000H</v>
      </c>
      <c r="U43" s="700">
        <f>COUNTIF(T$7:T$66,"&gt;="&amp;T43)</f>
        <v>37</v>
      </c>
      <c r="V43" s="700">
        <f>COUNTIF(L$7:L$66,"&gt;="&amp;L43)</f>
        <v>39</v>
      </c>
      <c r="W43" s="700" t="str">
        <f t="shared" si="7"/>
        <v>023,0-00A000000A00000000H-039</v>
      </c>
      <c r="X43" s="700">
        <f>COUNTIF(W$7:W$66,"&gt;="&amp;W43)</f>
        <v>37</v>
      </c>
      <c r="Y43" s="701">
        <f>RANK(X43,X$7:X$66,0)</f>
        <v>24</v>
      </c>
      <c r="Z43" s="702" t="str">
        <f>IFERROR(INDEX('V1'!C$300:C$400,MATCH("*"&amp;L43&amp;"*",'V1'!B$300:B$400,0)),"  ")</f>
        <v xml:space="preserve">  </v>
      </c>
      <c r="AA43" s="702" t="str">
        <f>IFERROR(INDEX('V2'!C$300:C$400,MATCH("*"&amp;L43&amp;"*",'V2'!B$300:B$400,0)),"  ")</f>
        <v xml:space="preserve">  </v>
      </c>
      <c r="AB43" s="702" t="str">
        <f>IFERROR(INDEX('V3'!C$300:C$400,MATCH("*"&amp;L43&amp;"*",'V3'!B$300:B$400,0)),"  ")</f>
        <v xml:space="preserve">  </v>
      </c>
      <c r="AC43" s="702" t="str">
        <f>IFERROR(INDEX('V4'!C$300:C$400,MATCH("*"&amp;L43&amp;"*",'V4'!B$300:B$400,0)),"  ")</f>
        <v xml:space="preserve">  </v>
      </c>
      <c r="AD43" s="702" t="str">
        <f>IFERROR(INDEX('V5'!C$300:C$400,MATCH("*"&amp;L43&amp;"*",'V5'!B$300:B$400,0)),"  ")</f>
        <v xml:space="preserve">  </v>
      </c>
      <c r="AE43" s="702" t="str">
        <f>IFERROR(INDEX('V6'!C$300:C$400,MATCH("*"&amp;L43&amp;"*",'V6'!B$300:B$400,0)),"  ")</f>
        <v xml:space="preserve">  </v>
      </c>
      <c r="AF43" s="702" t="str">
        <f>IFERROR(INDEX('V7'!C$300:C$400,MATCH("*"&amp;L43&amp;"*",'V7'!B$300:B$400,0)),"  ")</f>
        <v xml:space="preserve">  </v>
      </c>
      <c r="AG43" s="702" t="str">
        <f>IFERROR(INDEX('V8'!C$300:C$400,MATCH("*"&amp;L43&amp;"*",'V8'!B$300:B$400,0)),"  ")</f>
        <v xml:space="preserve">  </v>
      </c>
      <c r="AH43" s="702" t="str">
        <f>IFERROR(INDEX('V9'!C$300:C$400,MATCH("*"&amp;L43&amp;"*",'V9'!B$300:B$400,0)),"  ")</f>
        <v xml:space="preserve">  </v>
      </c>
      <c r="AI43" s="702" t="str">
        <f>IFERROR(INDEX('V10'!C$300:C$400,MATCH("*"&amp;L43&amp;"*",'V10'!B$300:B$400,0)),"  ")</f>
        <v xml:space="preserve">  </v>
      </c>
      <c r="AJ43" s="702">
        <f>IFERROR(INDEX('V11'!C$300:C$400,MATCH("*"&amp;L43&amp;"*",'V11'!B$300:B$400,0)),"  ")</f>
        <v>8</v>
      </c>
      <c r="AK43" s="702" t="str">
        <f>IFERROR(INDEX('V12'!C$300:C$400,MATCH("*"&amp;L43&amp;"*",'V12'!B$300:B$400,0)),"  ")</f>
        <v xml:space="preserve">  </v>
      </c>
      <c r="AL43" s="702">
        <f>IFERROR(INDEX('V13'!C$300:C$400,MATCH("*"&amp;L43&amp;"*",'V13'!B$300:B$400,0)),"  ")</f>
        <v>15</v>
      </c>
      <c r="AM43" s="702" t="str">
        <f>IFERROR(INDEX('V14'!C$300:C$400,MATCH("*"&amp;L43&amp;"*",'V14'!B$300:B$400,0)),"  ")</f>
        <v xml:space="preserve">  </v>
      </c>
      <c r="AN43" s="702" t="str">
        <f>IFERROR(INDEX('V15'!C$300:C$400,MATCH("*"&amp;L43&amp;"*",'V15'!B$300:B$400,0)),"  ")</f>
        <v xml:space="preserve">  </v>
      </c>
      <c r="AO43" s="703">
        <f t="shared" si="10"/>
        <v>37</v>
      </c>
      <c r="AP43" s="704" t="str">
        <f>IFERROR("edasi "&amp;RANK(AO43,AO$7:AO$66,1),K43)</f>
        <v>edasi 37</v>
      </c>
      <c r="AQ43" s="705" t="str">
        <f>IFERROR(INDEX('V-fin'!A$300:A$401,MATCH("*"&amp;L43&amp;"*",'V-fin'!B$300:B$401,0)),"  ")</f>
        <v xml:space="preserve">  </v>
      </c>
      <c r="AR43" s="706">
        <f t="shared" si="8"/>
        <v>2</v>
      </c>
      <c r="AS43" s="707">
        <f>IFERROR(IF(Z43+1&gt;LARGE(Z$7:Z$66,1)-2,1),0)+IFERROR(IF(AA43+1&gt;LARGE(AA$7:AA$66,1)-2,1),0)+IFERROR(IF(AB43+1&gt;LARGE(AB$7:AB$66,1)-2,1),0)+IFERROR(IF(AC43+1&gt;LARGE(AC$7:AC$66,1)-2,1),0)+IFERROR(IF(AD43+1&gt;LARGE(AD$7:AD$66,1)-2,1),0)+IFERROR(IF(AE43+1&gt;LARGE(AE$7:AE$66,1)-2,1),0)+IFERROR(IF(AF43+1&gt;LARGE(AF$7:AF$66,1)-2,1),0)+IFERROR(IF(AG43+1&gt;LARGE(AG$7:AG$66,1)-2,1),0)+IFERROR(IF(AH43+1&gt;LARGE(AH$7:AH$66,1)-2,1),0)+IFERROR(IF(AI43+1&gt;LARGE(AI$7:AI$66,1)-2,1),0)+IFERROR(IF(AJ43+1&gt;LARGE(AJ$7:AJ$66,1)-2,1),0)+IFERROR(IF(AK43+1&gt;LARGE(AK$7:AK$66,1)-2,1),0)+IFERROR(IF(AL43+1&gt;LARGE(AL$7:AL$66,1)-2,1),0)+IFERROR(IF(AM43+1&gt;LARGE(AM$7:AM$66,1)-2,1),0)+IFERROR(IF(AN43+1&gt;LARGE(AN$7:AN$66,1)-2,1),0)</f>
        <v>1</v>
      </c>
      <c r="AT43" s="707">
        <f>IF(Z43=0,0,IF(Z43=IFERROR(LARGE(Z$7:Z$66,1),0),1,0))+IF(AA43=0,0,IF(AA43=IFERROR(LARGE(AA$7:AA$66,1),0),1,0))+IF(AB43=0,0,IF(AB43=IFERROR(LARGE(AB$7:AB$66,1),0),1,0))+IF(AC43=0,0,IF(AC43=IFERROR(LARGE(AC$7:AC$66,1),0),1,0))+IF(AD43=0,0,IF(AD43=IFERROR(LARGE(AD$7:AD$66,1),0),1,0))+IF(AE43=0,0,IF(AE43=IFERROR(LARGE(AE$7:AE$66,1),0),1,0))+IF(AF43=0,0,IF(AF43=IFERROR(LARGE(AF$7:AF$66,1),0),1,0))+IF(AG43=0,0,IF(AG43=IFERROR(LARGE(AG$7:AG$66,1),0),1,0))+IF(AH43=0,0,IF(AH43=IFERROR(LARGE(AH$7:AH$66,1),0),1,0))+IF(AI43=0,0,IF(AI43=IFERROR(LARGE(AI$7:AI$66,1),0),1,0))+IF(AJ43=0,0,IF(AJ43=IFERROR(LARGE(AJ$7:AJ$66,1),0),1,0))+IF(AK43=0,0,IF(AK43=IFERROR(LARGE(AK$7:AK$66,1),0),1,0))+IF(AL43=0,0,IF(AL43=IFERROR(LARGE(AL$7:AL$66,1),0),1,0))+IF(AM43=0,0,IF(AM43=IFERROR(LARGE(AM$7:AM$66,1),0),1,0))+IF(AN43=0,0,IF(AN43=IFERROR(LARGE(AN$7:AN$66,1),0),1,0))</f>
        <v>1</v>
      </c>
      <c r="AU43" s="629"/>
      <c r="AV43" s="708">
        <f t="shared" si="11"/>
        <v>4.0000000000000002E-4</v>
      </c>
      <c r="AW43" s="709">
        <f t="shared" si="15"/>
        <v>1E-4</v>
      </c>
      <c r="AX43" s="709">
        <f t="shared" si="15"/>
        <v>2.0000000000000001E-4</v>
      </c>
      <c r="AY43" s="709">
        <f t="shared" si="15"/>
        <v>2.9999999999999997E-4</v>
      </c>
      <c r="AZ43" s="709">
        <f t="shared" si="15"/>
        <v>4.0000000000000002E-4</v>
      </c>
      <c r="BA43" s="709">
        <f t="shared" si="15"/>
        <v>5.0000000000000001E-4</v>
      </c>
      <c r="BB43" s="709">
        <f t="shared" si="15"/>
        <v>5.9999999999999995E-4</v>
      </c>
      <c r="BC43" s="709">
        <f t="shared" si="15"/>
        <v>6.9999999999999999E-4</v>
      </c>
      <c r="BD43" s="709">
        <f t="shared" si="15"/>
        <v>8.0000000000000004E-4</v>
      </c>
      <c r="BE43" s="709">
        <f t="shared" si="15"/>
        <v>8.9999999999999998E-4</v>
      </c>
      <c r="BF43" s="709">
        <f t="shared" si="15"/>
        <v>1E-3</v>
      </c>
      <c r="BG43" s="709">
        <f t="shared" si="15"/>
        <v>8.0010999999999992</v>
      </c>
      <c r="BH43" s="709">
        <f t="shared" si="15"/>
        <v>1.1999999999999999E-3</v>
      </c>
      <c r="BI43" s="709">
        <f t="shared" si="15"/>
        <v>15.001300000000001</v>
      </c>
      <c r="BJ43" s="709">
        <f t="shared" si="15"/>
        <v>1.4E-3</v>
      </c>
      <c r="BK43" s="709">
        <f t="shared" si="15"/>
        <v>1.5E-3</v>
      </c>
      <c r="BL43" s="629"/>
    </row>
    <row r="44" spans="1:64" x14ac:dyDescent="0.2">
      <c r="A44" s="686">
        <f>IF(R44&gt;0,IF(Q44="v",RANK(B44,B$7:B$66,1)-COUNTBLANK(Q$7:Q$66),""),"")</f>
        <v>24</v>
      </c>
      <c r="B44" s="687">
        <f t="shared" si="0"/>
        <v>38</v>
      </c>
      <c r="C44" s="688" t="str">
        <f>IF(R44&gt;0,IF(P44="k",RANK(D44,D$7:D$66,1)-COUNTBLANK(P$7:P$66),""),"")</f>
        <v/>
      </c>
      <c r="D44" s="687">
        <f t="shared" si="1"/>
        <v>-962</v>
      </c>
      <c r="E44" s="689">
        <f>IF(R44&gt;0,IF(N44="m",RANK(F44,F$7:F$66,1)-COUNTBLANK(N$7:N$66),""),"")</f>
        <v>31</v>
      </c>
      <c r="F44" s="687">
        <f t="shared" si="2"/>
        <v>38</v>
      </c>
      <c r="G44" s="690" t="str">
        <f>IF(R44&gt;0,IF(M44="n",RANK(H44,H$7:H$66,1)-COUNTBLANK(M$7:M$66),""),"")</f>
        <v/>
      </c>
      <c r="H44" s="687">
        <f t="shared" si="3"/>
        <v>-962</v>
      </c>
      <c r="I44" s="691">
        <f>IF(R44&gt;0,IF(O44="j",RANK(J44,J$7:J$66,1)-COUNTBLANK(O$7:O$66),""),"")</f>
        <v>3</v>
      </c>
      <c r="J44" s="692">
        <f t="shared" si="4"/>
        <v>38</v>
      </c>
      <c r="K44" s="654">
        <f>IF(R44&gt;0,RANK(U44,U$7:U$66,1),"")</f>
        <v>38</v>
      </c>
      <c r="L44" s="711" t="s">
        <v>300</v>
      </c>
      <c r="M44" s="694"/>
      <c r="N44" s="695" t="s">
        <v>273</v>
      </c>
      <c r="O44" s="732" t="s">
        <v>287</v>
      </c>
      <c r="P44" s="697"/>
      <c r="Q44" s="698" t="s">
        <v>269</v>
      </c>
      <c r="R44" s="699">
        <f>(IF(COUNT(Z44,AA44,AB44,AC44,AD44,AE44,AF44,AG44,AH44,AI44,AJ44,AK44,AL44,AM44,AN44)&lt;11,SUM(Z44,AA44,AB44,AC44,AD44,AE44,AF44,AG44,AH44,AI44,AJ44,AK44,AL44,AM44,AN44),SUM(LARGE((Z44,AA44,AB44,AC44,AD44,AE44,AF44,AG44,AH44,AI44,AJ44,AK44,AL44,AM44,AN44),{1;2;3;4;5;6;7;8;9;10;11}))))</f>
        <v>22</v>
      </c>
      <c r="S44" s="700" t="str">
        <f>INDEX(ETAPP!B$1:B$32,MATCH(COUNTIF(Z44:AN44,PVO!A$1),ETAPP!A$1:A$32,0))&amp;INDEX(ETAPP!B$1:B$32,MATCH(COUNTIF(Z44:AN44,PVO!A$2),ETAPP!A$1:A$32,0))&amp;INDEX(ETAPP!B$1:B$32,MATCH(COUNTIF(Z44:AN44,PVO!A$3),ETAPP!A$1:A$32,0))&amp;INDEX(ETAPP!B$1:B$32,MATCH(COUNTIF(Z44:AN44,PVO!A$4),ETAPP!A$1:A$32,0))&amp;INDEX(ETAPP!B$1:B$32,MATCH(COUNTIF(Z44:AN44,PVO!A$5),ETAPP!A$1:A$32,0))&amp;INDEX(ETAPP!B$1:B$32,MATCH(COUNTIF(Z44:AN44,PVO!A$6),ETAPP!A$1:A$32,0))&amp;INDEX(ETAPP!B$1:B$32,MATCH(COUNTIF(Z44:AN44,PVO!A$7),ETAPP!A$1:A$32,0))&amp;INDEX(ETAPP!B$1:B$32,MATCH(COUNTIF(Z44:AN44,PVO!A$8),ETAPP!A$1:A$32,0))&amp;INDEX(ETAPP!B$1:B$32,MATCH(COUNTIF(Z44:AN44,PVO!A$9),ETAPP!A$1:A$32,0))&amp;INDEX(ETAPP!B$1:B$32,MATCH(COUNTIF(Z44:AN44,PVO!A$10),ETAPP!A$1:A$32,0))&amp;INDEX(ETAPP!B$1:B$32,MATCH(COUNTIF(Z44:AN44,PVO!A$11),ETAPP!A$1:A$32,0))&amp;INDEX(ETAPP!B$1:B$32,MATCH(COUNTIF(Z44:AN44,PVO!A$12),ETAPP!A$1:A$32,0))&amp;INDEX(ETAPP!B$1:B$32,MATCH(COUNTIF(Z44:AN44,PVO!A$13),ETAPP!A$1:A$32,0))&amp;INDEX(ETAPP!B$1:B$32,MATCH(COUNTIF(Z44:AN44,PVO!A$14),ETAPP!A$1:A$32,0))&amp;INDEX(ETAPP!B$1:B$32,MATCH(COUNTIF(Z44:AN44,PVO!A$15),ETAPP!A$1:A$32,0))&amp;INDEX(ETAPP!B$1:B$32,MATCH(COUNTIF(Z44:AN44,PVO!A$16),ETAPP!A$1:A$32,0))&amp;INDEX(ETAPP!B$1:B$32,MATCH(COUNTIF(Z44:AN44,PVO!A$17),ETAPP!A$1:A$32,0))&amp;INDEX(ETAPP!B$1:B$32,MATCH(COUNTIF(Z44:AN44,PVO!A$18),ETAPP!A$1:A$32,0))&amp;INDEX(ETAPP!B$1:B$32,MATCH(COUNTIF(Z44:AN44,PVO!A$19),ETAPP!A$1:A$32,0))</f>
        <v>0000000A0000A0AB00E</v>
      </c>
      <c r="T44" s="700" t="str">
        <f t="shared" si="6"/>
        <v>022,0-0000000A0000A0AB00E</v>
      </c>
      <c r="U44" s="700">
        <f>COUNTIF(T$7:T$66,"&gt;="&amp;T44)</f>
        <v>38</v>
      </c>
      <c r="V44" s="700">
        <f>COUNTIF(L$7:L$66,"&gt;="&amp;L44)</f>
        <v>38</v>
      </c>
      <c r="W44" s="700" t="str">
        <f t="shared" si="7"/>
        <v>022,0-0000000A0000A0AB00E-038</v>
      </c>
      <c r="X44" s="700">
        <f>COUNTIF(W$7:W$66,"&gt;="&amp;W44)</f>
        <v>38</v>
      </c>
      <c r="Y44" s="701">
        <f>RANK(X44,X$7:X$66,0)</f>
        <v>23</v>
      </c>
      <c r="Z44" s="702" t="str">
        <f>IFERROR(INDEX('V1'!C$300:C$400,MATCH("*"&amp;L44&amp;"*",'V1'!B$300:B$400,0)),"  ")</f>
        <v xml:space="preserve">  </v>
      </c>
      <c r="AA44" s="702" t="str">
        <f>IFERROR(INDEX('V2'!C$300:C$400,MATCH("*"&amp;L44&amp;"*",'V2'!B$300:B$400,0)),"  ")</f>
        <v xml:space="preserve">  </v>
      </c>
      <c r="AB44" s="702" t="str">
        <f>IFERROR(INDEX('V3'!C$300:C$400,MATCH("*"&amp;L44&amp;"*",'V3'!B$300:B$400,0)),"  ")</f>
        <v xml:space="preserve">  </v>
      </c>
      <c r="AC44" s="702" t="str">
        <f>IFERROR(INDEX('V4'!C$300:C$400,MATCH("*"&amp;L44&amp;"*",'V4'!B$300:B$400,0)),"  ")</f>
        <v xml:space="preserve">  </v>
      </c>
      <c r="AD44" s="702" t="str">
        <f>IFERROR(INDEX('V5'!C$300:C$400,MATCH("*"&amp;L44&amp;"*",'V5'!B$300:B$400,0)),"  ")</f>
        <v xml:space="preserve">  </v>
      </c>
      <c r="AE44" s="702" t="str">
        <f>IFERROR(INDEX('V6'!C$300:C$400,MATCH("*"&amp;L44&amp;"*",'V6'!B$300:B$400,0)),"  ")</f>
        <v xml:space="preserve">  </v>
      </c>
      <c r="AF44" s="702" t="str">
        <f>IFERROR(INDEX('V7'!C$300:C$400,MATCH("*"&amp;L44&amp;"*",'V7'!B$300:B$400,0)),"  ")</f>
        <v xml:space="preserve">  </v>
      </c>
      <c r="AG44" s="702" t="str">
        <f>IFERROR(INDEX('V8'!C$300:C$400,MATCH("*"&amp;L44&amp;"*",'V8'!B$300:B$400,0)),"  ")</f>
        <v xml:space="preserve">  </v>
      </c>
      <c r="AH44" s="702">
        <f>IFERROR(INDEX('V9'!C$300:C$400,MATCH("*"&amp;L44&amp;"*",'V9'!B$300:B$400,0)),"  ")</f>
        <v>5</v>
      </c>
      <c r="AI44" s="702">
        <f>IFERROR(INDEX('V10'!C$300:C$400,MATCH("*"&amp;L44&amp;"*",'V10'!B$300:B$400,0)),"  ")</f>
        <v>2</v>
      </c>
      <c r="AJ44" s="702" t="str">
        <f>IFERROR(INDEX('V11'!C$300:C$400,MATCH("*"&amp;L44&amp;"*",'V11'!B$300:B$400,0)),"  ")</f>
        <v xml:space="preserve">  </v>
      </c>
      <c r="AK44" s="702">
        <f>IFERROR(INDEX('V12'!C$300:C$400,MATCH("*"&amp;L44&amp;"*",'V12'!B$300:B$400,0)),"  ")</f>
        <v>10</v>
      </c>
      <c r="AL44" s="702" t="str">
        <f>IFERROR(INDEX('V13'!C$300:C$400,MATCH("*"&amp;L44&amp;"*",'V13'!B$300:B$400,0)),"  ")</f>
        <v xml:space="preserve">  </v>
      </c>
      <c r="AM44" s="702">
        <f>IFERROR(INDEX('V14'!C$300:C$400,MATCH("*"&amp;L44&amp;"*",'V14'!B$300:B$400,0)),"  ")</f>
        <v>3</v>
      </c>
      <c r="AN44" s="702">
        <f>IFERROR(INDEX('V15'!C$300:C$400,MATCH("*"&amp;L44&amp;"*",'V15'!B$300:B$400,0)),"  ")</f>
        <v>2</v>
      </c>
      <c r="AO44" s="703">
        <f t="shared" si="10"/>
        <v>38</v>
      </c>
      <c r="AP44" s="704" t="str">
        <f>IFERROR("edasi "&amp;RANK(AO44,AO$7:AO$66,1),K44)</f>
        <v>edasi 38</v>
      </c>
      <c r="AQ44" s="705" t="str">
        <f>IFERROR(INDEX('V-fin'!A$300:A$401,MATCH("*"&amp;L44&amp;"*",'V-fin'!B$300:B$401,0)),"  ")</f>
        <v xml:space="preserve">  </v>
      </c>
      <c r="AR44" s="706">
        <f t="shared" si="8"/>
        <v>5</v>
      </c>
      <c r="AS44" s="707">
        <f>IFERROR(IF(Z44+1&gt;LARGE(Z$7:Z$66,1)-2,1),0)+IFERROR(IF(AA44+1&gt;LARGE(AA$7:AA$66,1)-2,1),0)+IFERROR(IF(AB44+1&gt;LARGE(AB$7:AB$66,1)-2,1),0)+IFERROR(IF(AC44+1&gt;LARGE(AC$7:AC$66,1)-2,1),0)+IFERROR(IF(AD44+1&gt;LARGE(AD$7:AD$66,1)-2,1),0)+IFERROR(IF(AE44+1&gt;LARGE(AE$7:AE$66,1)-2,1),0)+IFERROR(IF(AF44+1&gt;LARGE(AF$7:AF$66,1)-2,1),0)+IFERROR(IF(AG44+1&gt;LARGE(AG$7:AG$66,1)-2,1),0)+IFERROR(IF(AH44+1&gt;LARGE(AH$7:AH$66,1)-2,1),0)+IFERROR(IF(AI44+1&gt;LARGE(AI$7:AI$66,1)-2,1),0)+IFERROR(IF(AJ44+1&gt;LARGE(AJ$7:AJ$66,1)-2,1),0)+IFERROR(IF(AK44+1&gt;LARGE(AK$7:AK$66,1)-2,1),0)+IFERROR(IF(AL44+1&gt;LARGE(AL$7:AL$66,1)-2,1),0)+IFERROR(IF(AM44+1&gt;LARGE(AM$7:AM$66,1)-2,1),0)+IFERROR(IF(AN44+1&gt;LARGE(AN$7:AN$66,1)-2,1),0)</f>
        <v>0</v>
      </c>
      <c r="AT44" s="707">
        <f>IF(Z44=0,0,IF(Z44=IFERROR(LARGE(Z$7:Z$66,1),0),1,0))+IF(AA44=0,0,IF(AA44=IFERROR(LARGE(AA$7:AA$66,1),0),1,0))+IF(AB44=0,0,IF(AB44=IFERROR(LARGE(AB$7:AB$66,1),0),1,0))+IF(AC44=0,0,IF(AC44=IFERROR(LARGE(AC$7:AC$66,1),0),1,0))+IF(AD44=0,0,IF(AD44=IFERROR(LARGE(AD$7:AD$66,1),0),1,0))+IF(AE44=0,0,IF(AE44=IFERROR(LARGE(AE$7:AE$66,1),0),1,0))+IF(AF44=0,0,IF(AF44=IFERROR(LARGE(AF$7:AF$66,1),0),1,0))+IF(AG44=0,0,IF(AG44=IFERROR(LARGE(AG$7:AG$66,1),0),1,0))+IF(AH44=0,0,IF(AH44=IFERROR(LARGE(AH$7:AH$66,1),0),1,0))+IF(AI44=0,0,IF(AI44=IFERROR(LARGE(AI$7:AI$66,1),0),1,0))+IF(AJ44=0,0,IF(AJ44=IFERROR(LARGE(AJ$7:AJ$66,1),0),1,0))+IF(AK44=0,0,IF(AK44=IFERROR(LARGE(AK$7:AK$66,1),0),1,0))+IF(AL44=0,0,IF(AL44=IFERROR(LARGE(AL$7:AL$66,1),0),1,0))+IF(AM44=0,0,IF(AM44=IFERROR(LARGE(AM$7:AM$66,1),0),1,0))+IF(AN44=0,0,IF(AN44=IFERROR(LARGE(AN$7:AN$66,1),0),1,0))</f>
        <v>0</v>
      </c>
      <c r="AU44" s="629"/>
      <c r="AV44" s="708">
        <f t="shared" si="11"/>
        <v>4.0000000000000002E-4</v>
      </c>
      <c r="AW44" s="709">
        <f t="shared" si="15"/>
        <v>1E-4</v>
      </c>
      <c r="AX44" s="709">
        <f t="shared" si="15"/>
        <v>2.0000000000000001E-4</v>
      </c>
      <c r="AY44" s="709">
        <f t="shared" si="15"/>
        <v>2.9999999999999997E-4</v>
      </c>
      <c r="AZ44" s="709">
        <f t="shared" si="15"/>
        <v>4.0000000000000002E-4</v>
      </c>
      <c r="BA44" s="709">
        <f t="shared" si="15"/>
        <v>5.0000000000000001E-4</v>
      </c>
      <c r="BB44" s="709">
        <f t="shared" si="15"/>
        <v>5.9999999999999995E-4</v>
      </c>
      <c r="BC44" s="709">
        <f t="shared" si="15"/>
        <v>6.9999999999999999E-4</v>
      </c>
      <c r="BD44" s="709">
        <f t="shared" si="15"/>
        <v>8.0000000000000004E-4</v>
      </c>
      <c r="BE44" s="709">
        <f t="shared" si="15"/>
        <v>5.0008999999999997</v>
      </c>
      <c r="BF44" s="709">
        <f t="shared" si="15"/>
        <v>2.0009999999999999</v>
      </c>
      <c r="BG44" s="709">
        <f t="shared" si="15"/>
        <v>1.1000000000000001E-3</v>
      </c>
      <c r="BH44" s="709">
        <f t="shared" si="15"/>
        <v>10.001200000000001</v>
      </c>
      <c r="BI44" s="709">
        <f t="shared" si="15"/>
        <v>1.2999999999999999E-3</v>
      </c>
      <c r="BJ44" s="709">
        <f t="shared" si="15"/>
        <v>3.0013999999999998</v>
      </c>
      <c r="BK44" s="709">
        <f t="shared" si="15"/>
        <v>2.0015000000000001</v>
      </c>
      <c r="BL44" s="629"/>
    </row>
    <row r="45" spans="1:64" x14ac:dyDescent="0.2">
      <c r="A45" s="686">
        <f>IF(R45&gt;0,IF(Q45="v",RANK(B45,B$7:B$66,1)-COUNTBLANK(Q$7:Q$66),""),"")</f>
        <v>25</v>
      </c>
      <c r="B45" s="687">
        <f t="shared" si="0"/>
        <v>39</v>
      </c>
      <c r="C45" s="688">
        <f>IF(R45&gt;0,IF(P45="k",RANK(D45,D$7:D$66,1)-COUNTBLANK(P$7:P$66),""),"")</f>
        <v>13</v>
      </c>
      <c r="D45" s="687">
        <f t="shared" si="1"/>
        <v>39</v>
      </c>
      <c r="E45" s="689" t="str">
        <f>IF(R45&gt;0,IF(N45="m",RANK(F45,F$7:F$66,1)-COUNTBLANK(N$7:N$66),""),"")</f>
        <v/>
      </c>
      <c r="F45" s="687">
        <f t="shared" si="2"/>
        <v>-961</v>
      </c>
      <c r="G45" s="690">
        <f>IF(R45&gt;0,IF(M45="n",RANK(H45,H$7:H$66,1)-COUNTBLANK(M$7:M$66),""),"")</f>
        <v>8</v>
      </c>
      <c r="H45" s="687">
        <f t="shared" si="3"/>
        <v>39</v>
      </c>
      <c r="I45" s="691" t="str">
        <f>IF(R45&gt;0,IF(O45="j",RANK(J45,J$7:J$66,1)-COUNTBLANK(O$7:O$66),""),"")</f>
        <v/>
      </c>
      <c r="J45" s="692">
        <f t="shared" si="4"/>
        <v>-961</v>
      </c>
      <c r="K45" s="654">
        <f>IF(R45&gt;0,RANK(U45,U$7:U$66,1),"")</f>
        <v>39</v>
      </c>
      <c r="L45" s="723" t="s">
        <v>301</v>
      </c>
      <c r="M45" s="694" t="s">
        <v>280</v>
      </c>
      <c r="N45" s="695" t="str">
        <f>IF(M45="","m","")</f>
        <v/>
      </c>
      <c r="O45" s="696"/>
      <c r="P45" s="697" t="s">
        <v>268</v>
      </c>
      <c r="Q45" s="698" t="s">
        <v>269</v>
      </c>
      <c r="R45" s="699">
        <f>(IF(COUNT(Z45,AA45,AB45,AC45,AD45,AE45,AF45,AG45,AH45,AI45,AJ45,AK45,AL45,AM45,AN45)&lt;11,SUM(Z45,AA45,AB45,AC45,AD45,AE45,AF45,AG45,AH45,AI45,AJ45,AK45,AL45,AM45,AN45),SUM(LARGE((Z45,AA45,AB45,AC45,AD45,AE45,AF45,AG45,AH45,AI45,AJ45,AK45,AL45,AM45,AN45),{1;2;3;4;5;6;7;8;9;10;11}))))</f>
        <v>22</v>
      </c>
      <c r="S45" s="700" t="str">
        <f>INDEX(ETAPP!B$1:B$32,MATCH(COUNTIF(Z45:AN45,PVO!A$1),ETAPP!A$1:A$32,0))&amp;INDEX(ETAPP!B$1:B$32,MATCH(COUNTIF(Z45:AN45,PVO!A$2),ETAPP!A$1:A$32,0))&amp;INDEX(ETAPP!B$1:B$32,MATCH(COUNTIF(Z45:AN45,PVO!A$3),ETAPP!A$1:A$32,0))&amp;INDEX(ETAPP!B$1:B$32,MATCH(COUNTIF(Z45:AN45,PVO!A$4),ETAPP!A$1:A$32,0))&amp;INDEX(ETAPP!B$1:B$32,MATCH(COUNTIF(Z45:AN45,PVO!A$5),ETAPP!A$1:A$32,0))&amp;INDEX(ETAPP!B$1:B$32,MATCH(COUNTIF(Z45:AN45,PVO!A$6),ETAPP!A$1:A$32,0))&amp;INDEX(ETAPP!B$1:B$32,MATCH(COUNTIF(Z45:AN45,PVO!A$7),ETAPP!A$1:A$32,0))&amp;INDEX(ETAPP!B$1:B$32,MATCH(COUNTIF(Z45:AN45,PVO!A$8),ETAPP!A$1:A$32,0))&amp;INDEX(ETAPP!B$1:B$32,MATCH(COUNTIF(Z45:AN45,PVO!A$9),ETAPP!A$1:A$32,0))&amp;INDEX(ETAPP!B$1:B$32,MATCH(COUNTIF(Z45:AN45,PVO!A$10),ETAPP!A$1:A$32,0))&amp;INDEX(ETAPP!B$1:B$32,MATCH(COUNTIF(Z45:AN45,PVO!A$11),ETAPP!A$1:A$32,0))&amp;INDEX(ETAPP!B$1:B$32,MATCH(COUNTIF(Z45:AN45,PVO!A$12),ETAPP!A$1:A$32,0))&amp;INDEX(ETAPP!B$1:B$32,MATCH(COUNTIF(Z45:AN45,PVO!A$13),ETAPP!A$1:A$32,0))&amp;INDEX(ETAPP!B$1:B$32,MATCH(COUNTIF(Z45:AN45,PVO!A$14),ETAPP!A$1:A$32,0))&amp;INDEX(ETAPP!B$1:B$32,MATCH(COUNTIF(Z45:AN45,PVO!A$15),ETAPP!A$1:A$32,0))&amp;INDEX(ETAPP!B$1:B$32,MATCH(COUNTIF(Z45:AN45,PVO!A$16),ETAPP!A$1:A$32,0))&amp;INDEX(ETAPP!B$1:B$32,MATCH(COUNTIF(Z45:AN45,PVO!A$17),ETAPP!A$1:A$32,0))&amp;INDEX(ETAPP!B$1:B$32,MATCH(COUNTIF(Z45:AN45,PVO!A$18),ETAPP!A$1:A$32,0))&amp;INDEX(ETAPP!B$1:B$32,MATCH(COUNTIF(Z45:AN45,PVO!A$19),ETAPP!A$1:A$32,0))</f>
        <v>0000000000B00B0000F</v>
      </c>
      <c r="T45" s="700" t="str">
        <f t="shared" si="6"/>
        <v>022,0-0000000000B00B0000F</v>
      </c>
      <c r="U45" s="700">
        <f>COUNTIF(T$7:T$66,"&gt;="&amp;T45)</f>
        <v>39</v>
      </c>
      <c r="V45" s="700">
        <f>COUNTIF(L$7:L$66,"&gt;="&amp;L45)</f>
        <v>26</v>
      </c>
      <c r="W45" s="700" t="str">
        <f t="shared" si="7"/>
        <v>022,0-0000000000B00B0000F-026</v>
      </c>
      <c r="X45" s="700">
        <f>COUNTIF(W$7:W$66,"&gt;="&amp;W45)</f>
        <v>39</v>
      </c>
      <c r="Y45" s="701">
        <f>RANK(X45,X$7:X$66,0)</f>
        <v>22</v>
      </c>
      <c r="Z45" s="702" t="str">
        <f>IFERROR(INDEX('V1'!C$300:C$400,MATCH("*"&amp;L45&amp;"*",'V1'!B$300:B$400,0)),"  ")</f>
        <v xml:space="preserve">  </v>
      </c>
      <c r="AA45" s="702">
        <f>IFERROR(INDEX('V2'!C$300:C$400,MATCH("*"&amp;L45&amp;"*",'V2'!B$300:B$400,0)),"  ")</f>
        <v>4</v>
      </c>
      <c r="AB45" s="702" t="str">
        <f>IFERROR(INDEX('V3'!C$300:C$400,MATCH("*"&amp;L45&amp;"*",'V3'!B$300:B$400,0)),"  ")</f>
        <v xml:space="preserve">  </v>
      </c>
      <c r="AC45" s="702" t="str">
        <f>IFERROR(INDEX('V4'!C$300:C$400,MATCH("*"&amp;L45&amp;"*",'V4'!B$300:B$400,0)),"  ")</f>
        <v xml:space="preserve">  </v>
      </c>
      <c r="AD45" s="702" t="str">
        <f>IFERROR(INDEX('V5'!C$300:C$400,MATCH("*"&amp;L45&amp;"*",'V5'!B$300:B$400,0)),"  ")</f>
        <v xml:space="preserve">  </v>
      </c>
      <c r="AE45" s="702" t="str">
        <f>IFERROR(INDEX('V6'!C$300:C$400,MATCH("*"&amp;L45&amp;"*",'V6'!B$300:B$400,0)),"  ")</f>
        <v xml:space="preserve">  </v>
      </c>
      <c r="AF45" s="702">
        <f>IFERROR(INDEX('V7'!C$300:C$400,MATCH("*"&amp;L45&amp;"*",'V7'!B$300:B$400,0)),"  ")</f>
        <v>7</v>
      </c>
      <c r="AG45" s="702" t="str">
        <f>IFERROR(INDEX('V8'!C$300:C$400,MATCH("*"&amp;L45&amp;"*",'V8'!B$300:B$400,0)),"  ")</f>
        <v xml:space="preserve">  </v>
      </c>
      <c r="AH45" s="702">
        <f>IFERROR(INDEX('V9'!C$300:C$400,MATCH("*"&amp;L45&amp;"*",'V9'!B$300:B$400,0)),"  ")</f>
        <v>7</v>
      </c>
      <c r="AI45" s="702" t="str">
        <f>IFERROR(INDEX('V10'!C$300:C$400,MATCH("*"&amp;L45&amp;"*",'V10'!B$300:B$400,0)),"  ")</f>
        <v xml:space="preserve">  </v>
      </c>
      <c r="AJ45" s="702" t="str">
        <f>IFERROR(INDEX('V11'!C$300:C$400,MATCH("*"&amp;L45&amp;"*",'V11'!B$300:B$400,0)),"  ")</f>
        <v xml:space="preserve">  </v>
      </c>
      <c r="AK45" s="702" t="str">
        <f>IFERROR(INDEX('V12'!C$300:C$400,MATCH("*"&amp;L45&amp;"*",'V12'!B$300:B$400,0)),"  ")</f>
        <v xml:space="preserve">  </v>
      </c>
      <c r="AL45" s="702" t="str">
        <f>IFERROR(INDEX('V13'!C$300:C$400,MATCH("*"&amp;L45&amp;"*",'V13'!B$300:B$400,0)),"  ")</f>
        <v xml:space="preserve">  </v>
      </c>
      <c r="AM45" s="702">
        <f>IFERROR(INDEX('V14'!C$300:C$400,MATCH("*"&amp;L45&amp;"*",'V14'!B$300:B$400,0)),"  ")</f>
        <v>4</v>
      </c>
      <c r="AN45" s="702" t="str">
        <f>IFERROR(INDEX('V15'!C$300:C$400,MATCH("*"&amp;L45&amp;"*",'V15'!B$300:B$400,0)),"  ")</f>
        <v xml:space="preserve">  </v>
      </c>
      <c r="AO45" s="703">
        <f t="shared" si="10"/>
        <v>39</v>
      </c>
      <c r="AP45" s="704" t="str">
        <f>IFERROR("edasi "&amp;RANK(AO45,AO$7:AO$66,1),K45)</f>
        <v>edasi 39</v>
      </c>
      <c r="AQ45" s="705">
        <f>IFERROR(INDEX('V-fin'!A$300:A$401,MATCH("*"&amp;L45&amp;"*",'V-fin'!B$300:B$401,0)),"  ")</f>
        <v>3</v>
      </c>
      <c r="AR45" s="706">
        <f t="shared" si="8"/>
        <v>4</v>
      </c>
      <c r="AS45" s="707">
        <f>IFERROR(IF(Z45+1&gt;LARGE(Z$7:Z$66,1)-2,1),0)+IFERROR(IF(AA45+1&gt;LARGE(AA$7:AA$66,1)-2,1),0)+IFERROR(IF(AB45+1&gt;LARGE(AB$7:AB$66,1)-2,1),0)+IFERROR(IF(AC45+1&gt;LARGE(AC$7:AC$66,1)-2,1),0)+IFERROR(IF(AD45+1&gt;LARGE(AD$7:AD$66,1)-2,1),0)+IFERROR(IF(AE45+1&gt;LARGE(AE$7:AE$66,1)-2,1),0)+IFERROR(IF(AF45+1&gt;LARGE(AF$7:AF$66,1)-2,1),0)+IFERROR(IF(AG45+1&gt;LARGE(AG$7:AG$66,1)-2,1),0)+IFERROR(IF(AH45+1&gt;LARGE(AH$7:AH$66,1)-2,1),0)+IFERROR(IF(AI45+1&gt;LARGE(AI$7:AI$66,1)-2,1),0)+IFERROR(IF(AJ45+1&gt;LARGE(AJ$7:AJ$66,1)-2,1),0)+IFERROR(IF(AK45+1&gt;LARGE(AK$7:AK$66,1)-2,1),0)+IFERROR(IF(AL45+1&gt;LARGE(AL$7:AL$66,1)-2,1),0)+IFERROR(IF(AM45+1&gt;LARGE(AM$7:AM$66,1)-2,1),0)+IFERROR(IF(AN45+1&gt;LARGE(AN$7:AN$66,1)-2,1),0)</f>
        <v>0</v>
      </c>
      <c r="AT45" s="707">
        <f>IF(Z45=0,0,IF(Z45=IFERROR(LARGE(Z$7:Z$66,1),0),1,0))+IF(AA45=0,0,IF(AA45=IFERROR(LARGE(AA$7:AA$66,1),0),1,0))+IF(AB45=0,0,IF(AB45=IFERROR(LARGE(AB$7:AB$66,1),0),1,0))+IF(AC45=0,0,IF(AC45=IFERROR(LARGE(AC$7:AC$66,1),0),1,0))+IF(AD45=0,0,IF(AD45=IFERROR(LARGE(AD$7:AD$66,1),0),1,0))+IF(AE45=0,0,IF(AE45=IFERROR(LARGE(AE$7:AE$66,1),0),1,0))+IF(AF45=0,0,IF(AF45=IFERROR(LARGE(AF$7:AF$66,1),0),1,0))+IF(AG45=0,0,IF(AG45=IFERROR(LARGE(AG$7:AG$66,1),0),1,0))+IF(AH45=0,0,IF(AH45=IFERROR(LARGE(AH$7:AH$66,1),0),1,0))+IF(AI45=0,0,IF(AI45=IFERROR(LARGE(AI$7:AI$66,1),0),1,0))+IF(AJ45=0,0,IF(AJ45=IFERROR(LARGE(AJ$7:AJ$66,1),0),1,0))+IF(AK45=0,0,IF(AK45=IFERROR(LARGE(AK$7:AK$66,1),0),1,0))+IF(AL45=0,0,IF(AL45=IFERROR(LARGE(AL$7:AL$66,1),0),1,0))+IF(AM45=0,0,IF(AM45=IFERROR(LARGE(AM$7:AM$66,1),0),1,0))+IF(AN45=0,0,IF(AN45=IFERROR(LARGE(AN$7:AN$66,1),0),1,0))</f>
        <v>0</v>
      </c>
      <c r="AU45" s="629"/>
      <c r="AV45" s="708">
        <f t="shared" si="11"/>
        <v>5.0000000000000001E-4</v>
      </c>
      <c r="AW45" s="709">
        <f t="shared" si="15"/>
        <v>1E-4</v>
      </c>
      <c r="AX45" s="709">
        <f t="shared" si="15"/>
        <v>4.0002000000000004</v>
      </c>
      <c r="AY45" s="709">
        <f t="shared" si="15"/>
        <v>2.9999999999999997E-4</v>
      </c>
      <c r="AZ45" s="709">
        <f t="shared" si="15"/>
        <v>4.0000000000000002E-4</v>
      </c>
      <c r="BA45" s="709">
        <f t="shared" si="15"/>
        <v>5.0000000000000001E-4</v>
      </c>
      <c r="BB45" s="709">
        <f t="shared" si="15"/>
        <v>5.9999999999999995E-4</v>
      </c>
      <c r="BC45" s="709">
        <f t="shared" si="15"/>
        <v>7.0007000000000001</v>
      </c>
      <c r="BD45" s="709">
        <f t="shared" si="15"/>
        <v>8.0000000000000004E-4</v>
      </c>
      <c r="BE45" s="709">
        <f t="shared" si="15"/>
        <v>7.0008999999999997</v>
      </c>
      <c r="BF45" s="709">
        <f t="shared" si="15"/>
        <v>1E-3</v>
      </c>
      <c r="BG45" s="709">
        <f t="shared" si="15"/>
        <v>1.1000000000000001E-3</v>
      </c>
      <c r="BH45" s="709">
        <f t="shared" si="15"/>
        <v>1.1999999999999999E-3</v>
      </c>
      <c r="BI45" s="709">
        <f t="shared" si="15"/>
        <v>1.2999999999999999E-3</v>
      </c>
      <c r="BJ45" s="709">
        <f t="shared" si="15"/>
        <v>4.0014000000000003</v>
      </c>
      <c r="BK45" s="709">
        <f t="shared" si="15"/>
        <v>1.5E-3</v>
      </c>
      <c r="BL45" s="629"/>
    </row>
    <row r="46" spans="1:64" x14ac:dyDescent="0.2">
      <c r="A46" s="686">
        <f>IF(R46&gt;0,IF(Q46="v",RANK(B46,B$7:B$66,1)-COUNTBLANK(Q$7:Q$66),""),"")</f>
        <v>26</v>
      </c>
      <c r="B46" s="687">
        <f t="shared" si="0"/>
        <v>40</v>
      </c>
      <c r="C46" s="688">
        <f>IF(R46&gt;0,IF(P46="k",RANK(D46,D$7:D$66,1)-COUNTBLANK(P$7:P$66),""),"")</f>
        <v>14</v>
      </c>
      <c r="D46" s="687">
        <f t="shared" si="1"/>
        <v>40</v>
      </c>
      <c r="E46" s="689">
        <f>IF(R46&gt;0,IF(N46="m",RANK(F46,F$7:F$66,1)-COUNTBLANK(N$7:N$66),""),"")</f>
        <v>32</v>
      </c>
      <c r="F46" s="687">
        <f t="shared" si="2"/>
        <v>40</v>
      </c>
      <c r="G46" s="690" t="str">
        <f>IF(R46&gt;0,IF(M46="n",RANK(H46,H$7:H$66,1)-COUNTBLANK(M$7:M$66),""),"")</f>
        <v/>
      </c>
      <c r="H46" s="687">
        <f t="shared" si="3"/>
        <v>-960</v>
      </c>
      <c r="I46" s="691" t="str">
        <f>IF(R46&gt;0,IF(O46="j",RANK(J46,J$7:J$66,1)-COUNTBLANK(O$7:O$66),""),"")</f>
        <v/>
      </c>
      <c r="J46" s="692">
        <f t="shared" si="4"/>
        <v>-960</v>
      </c>
      <c r="K46" s="654">
        <f>IF(R46&gt;0,RANK(U46,U$7:U$66,1),"")</f>
        <v>40</v>
      </c>
      <c r="L46" s="713" t="s">
        <v>302</v>
      </c>
      <c r="M46" s="694"/>
      <c r="N46" s="695" t="str">
        <f>IF(M46="","m","")</f>
        <v>m</v>
      </c>
      <c r="O46" s="696"/>
      <c r="P46" s="697" t="s">
        <v>268</v>
      </c>
      <c r="Q46" s="698" t="s">
        <v>269</v>
      </c>
      <c r="R46" s="699">
        <f>(IF(COUNT(Z46,AA46,AB46,AC46,AD46,AE46,AF46,AG46,AH46,AI46,AJ46,AK46,AL46,AM46,AN46)&lt;11,SUM(Z46,AA46,AB46,AC46,AD46,AE46,AF46,AG46,AH46,AI46,AJ46,AK46,AL46,AM46,AN46),SUM(LARGE((Z46,AA46,AB46,AC46,AD46,AE46,AF46,AG46,AH46,AI46,AJ46,AK46,AL46,AM46,AN46),{1;2;3;4;5;6;7;8;9;10;11}))))</f>
        <v>20</v>
      </c>
      <c r="S46" s="700" t="str">
        <f>INDEX(ETAPP!B$1:B$32,MATCH(COUNTIF(Z46:AN46,PVO!A$1),ETAPP!A$1:A$32,0))&amp;INDEX(ETAPP!B$1:B$32,MATCH(COUNTIF(Z46:AN46,PVO!A$2),ETAPP!A$1:A$32,0))&amp;INDEX(ETAPP!B$1:B$32,MATCH(COUNTIF(Z46:AN46,PVO!A$3),ETAPP!A$1:A$32,0))&amp;INDEX(ETAPP!B$1:B$32,MATCH(COUNTIF(Z46:AN46,PVO!A$4),ETAPP!A$1:A$32,0))&amp;INDEX(ETAPP!B$1:B$32,MATCH(COUNTIF(Z46:AN46,PVO!A$5),ETAPP!A$1:A$32,0))&amp;INDEX(ETAPP!B$1:B$32,MATCH(COUNTIF(Z46:AN46,PVO!A$6),ETAPP!A$1:A$32,0))&amp;INDEX(ETAPP!B$1:B$32,MATCH(COUNTIF(Z46:AN46,PVO!A$7),ETAPP!A$1:A$32,0))&amp;INDEX(ETAPP!B$1:B$32,MATCH(COUNTIF(Z46:AN46,PVO!A$8),ETAPP!A$1:A$32,0))&amp;INDEX(ETAPP!B$1:B$32,MATCH(COUNTIF(Z46:AN46,PVO!A$9),ETAPP!A$1:A$32,0))&amp;INDEX(ETAPP!B$1:B$32,MATCH(COUNTIF(Z46:AN46,PVO!A$10),ETAPP!A$1:A$32,0))&amp;INDEX(ETAPP!B$1:B$32,MATCH(COUNTIF(Z46:AN46,PVO!A$11),ETAPP!A$1:A$32,0))&amp;INDEX(ETAPP!B$1:B$32,MATCH(COUNTIF(Z46:AN46,PVO!A$12),ETAPP!A$1:A$32,0))&amp;INDEX(ETAPP!B$1:B$32,MATCH(COUNTIF(Z46:AN46,PVO!A$13),ETAPP!A$1:A$32,0))&amp;INDEX(ETAPP!B$1:B$32,MATCH(COUNTIF(Z46:AN46,PVO!A$14),ETAPP!A$1:A$32,0))&amp;INDEX(ETAPP!B$1:B$32,MATCH(COUNTIF(Z46:AN46,PVO!A$15),ETAPP!A$1:A$32,0))&amp;INDEX(ETAPP!B$1:B$32,MATCH(COUNTIF(Z46:AN46,PVO!A$16),ETAPP!A$1:A$32,0))&amp;INDEX(ETAPP!B$1:B$32,MATCH(COUNTIF(Z46:AN46,PVO!A$17),ETAPP!A$1:A$32,0))&amp;INDEX(ETAPP!B$1:B$32,MATCH(COUNTIF(Z46:AN46,PVO!A$18),ETAPP!A$1:A$32,0))&amp;INDEX(ETAPP!B$1:B$32,MATCH(COUNTIF(Z46:AN46,PVO!A$19),ETAPP!A$1:A$32,0))</f>
        <v>0000A00000A0000000H</v>
      </c>
      <c r="T46" s="700" t="str">
        <f t="shared" si="6"/>
        <v>020,0-0000A00000A0000000H</v>
      </c>
      <c r="U46" s="700">
        <f>COUNTIF(T$7:T$66,"&gt;="&amp;T46)</f>
        <v>40</v>
      </c>
      <c r="V46" s="700">
        <f>COUNTIF(L$7:L$66,"&gt;="&amp;L46)</f>
        <v>12</v>
      </c>
      <c r="W46" s="700" t="str">
        <f t="shared" si="7"/>
        <v>020,0-0000A00000A0000000H-012</v>
      </c>
      <c r="X46" s="700">
        <f>COUNTIF(W$7:W$66,"&gt;="&amp;W46)</f>
        <v>40</v>
      </c>
      <c r="Y46" s="701">
        <f>RANK(X46,X$7:X$66,0)</f>
        <v>21</v>
      </c>
      <c r="Z46" s="702" t="str">
        <f>IFERROR(INDEX('V1'!C$300:C$400,MATCH("*"&amp;L46&amp;"*",'V1'!B$300:B$400,0)),"  ")</f>
        <v xml:space="preserve">  </v>
      </c>
      <c r="AA46" s="702" t="str">
        <f>IFERROR(INDEX('V2'!C$300:C$400,MATCH("*"&amp;L46&amp;"*",'V2'!B$300:B$400,0)),"  ")</f>
        <v xml:space="preserve">  </v>
      </c>
      <c r="AB46" s="702">
        <f>IFERROR(INDEX('V3'!C$300:C$400,MATCH("*"&amp;L46&amp;"*",'V3'!B$300:B$400,0)),"  ")</f>
        <v>13</v>
      </c>
      <c r="AC46" s="702" t="str">
        <f>IFERROR(INDEX('V4'!C$300:C$400,MATCH("*"&amp;L46&amp;"*",'V4'!B$300:B$400,0)),"  ")</f>
        <v xml:space="preserve">  </v>
      </c>
      <c r="AD46" s="702" t="str">
        <f>IFERROR(INDEX('V5'!C$300:C$400,MATCH("*"&amp;L46&amp;"*",'V5'!B$300:B$400,0)),"  ")</f>
        <v xml:space="preserve">  </v>
      </c>
      <c r="AE46" s="702" t="str">
        <f>IFERROR(INDEX('V6'!C$300:C$400,MATCH("*"&amp;L46&amp;"*",'V6'!B$300:B$400,0)),"  ")</f>
        <v xml:space="preserve">  </v>
      </c>
      <c r="AF46" s="702" t="str">
        <f>IFERROR(INDEX('V7'!C$300:C$400,MATCH("*"&amp;L46&amp;"*",'V7'!B$300:B$400,0)),"  ")</f>
        <v xml:space="preserve">  </v>
      </c>
      <c r="AG46" s="702" t="str">
        <f>IFERROR(INDEX('V8'!C$300:C$400,MATCH("*"&amp;L46&amp;"*",'V8'!B$300:B$400,0)),"  ")</f>
        <v xml:space="preserve">  </v>
      </c>
      <c r="AH46" s="702" t="str">
        <f>IFERROR(INDEX('V9'!C$300:C$400,MATCH("*"&amp;L46&amp;"*",'V9'!B$300:B$400,0)),"  ")</f>
        <v xml:space="preserve">  </v>
      </c>
      <c r="AI46" s="702">
        <f>IFERROR(INDEX('V10'!C$300:C$400,MATCH("*"&amp;L46&amp;"*",'V10'!B$300:B$400,0)),"  ")</f>
        <v>7</v>
      </c>
      <c r="AJ46" s="702" t="str">
        <f>IFERROR(INDEX('V11'!C$300:C$400,MATCH("*"&amp;L46&amp;"*",'V11'!B$300:B$400,0)),"  ")</f>
        <v xml:space="preserve">  </v>
      </c>
      <c r="AK46" s="702" t="str">
        <f>IFERROR(INDEX('V12'!C$300:C$400,MATCH("*"&amp;L46&amp;"*",'V12'!B$300:B$400,0)),"  ")</f>
        <v xml:space="preserve">  </v>
      </c>
      <c r="AL46" s="702" t="str">
        <f>IFERROR(INDEX('V13'!C$300:C$400,MATCH("*"&amp;L46&amp;"*",'V13'!B$300:B$400,0)),"  ")</f>
        <v xml:space="preserve">  </v>
      </c>
      <c r="AM46" s="702" t="str">
        <f>IFERROR(INDEX('V14'!C$300:C$400,MATCH("*"&amp;L46&amp;"*",'V14'!B$300:B$400,0)),"  ")</f>
        <v xml:space="preserve">  </v>
      </c>
      <c r="AN46" s="702" t="str">
        <f>IFERROR(INDEX('V15'!C$300:C$400,MATCH("*"&amp;L46&amp;"*",'V15'!B$300:B$400,0)),"  ")</f>
        <v xml:space="preserve">  </v>
      </c>
      <c r="AO46" s="703">
        <f t="shared" si="10"/>
        <v>40</v>
      </c>
      <c r="AP46" s="704" t="str">
        <f>IFERROR("edasi "&amp;RANK(AO46,AO$7:AO$66,1),K46)</f>
        <v>edasi 40</v>
      </c>
      <c r="AQ46" s="705" t="str">
        <f>IFERROR(INDEX('V-fin'!A$300:A$401,MATCH("*"&amp;L46&amp;"*",'V-fin'!B$300:B$401,0)),"  ")</f>
        <v xml:space="preserve">  </v>
      </c>
      <c r="AR46" s="706">
        <f t="shared" si="8"/>
        <v>2</v>
      </c>
      <c r="AS46" s="707">
        <f>IFERROR(IF(Z46+1&gt;LARGE(Z$7:Z$66,1)-2,1),0)+IFERROR(IF(AA46+1&gt;LARGE(AA$7:AA$66,1)-2,1),0)+IFERROR(IF(AB46+1&gt;LARGE(AB$7:AB$66,1)-2,1),0)+IFERROR(IF(AC46+1&gt;LARGE(AC$7:AC$66,1)-2,1),0)+IFERROR(IF(AD46+1&gt;LARGE(AD$7:AD$66,1)-2,1),0)+IFERROR(IF(AE46+1&gt;LARGE(AE$7:AE$66,1)-2,1),0)+IFERROR(IF(AF46+1&gt;LARGE(AF$7:AF$66,1)-2,1),0)+IFERROR(IF(AG46+1&gt;LARGE(AG$7:AG$66,1)-2,1),0)+IFERROR(IF(AH46+1&gt;LARGE(AH$7:AH$66,1)-2,1),0)+IFERROR(IF(AI46+1&gt;LARGE(AI$7:AI$66,1)-2,1),0)+IFERROR(IF(AJ46+1&gt;LARGE(AJ$7:AJ$66,1)-2,1),0)+IFERROR(IF(AK46+1&gt;LARGE(AK$7:AK$66,1)-2,1),0)+IFERROR(IF(AL46+1&gt;LARGE(AL$7:AL$66,1)-2,1),0)+IFERROR(IF(AM46+1&gt;LARGE(AM$7:AM$66,1)-2,1),0)+IFERROR(IF(AN46+1&gt;LARGE(AN$7:AN$66,1)-2,1),0)</f>
        <v>1</v>
      </c>
      <c r="AT46" s="707">
        <f>IF(Z46=0,0,IF(Z46=IFERROR(LARGE(Z$7:Z$66,1),0),1,0))+IF(AA46=0,0,IF(AA46=IFERROR(LARGE(AA$7:AA$66,1),0),1,0))+IF(AB46=0,0,IF(AB46=IFERROR(LARGE(AB$7:AB$66,1),0),1,0))+IF(AC46=0,0,IF(AC46=IFERROR(LARGE(AC$7:AC$66,1),0),1,0))+IF(AD46=0,0,IF(AD46=IFERROR(LARGE(AD$7:AD$66,1),0),1,0))+IF(AE46=0,0,IF(AE46=IFERROR(LARGE(AE$7:AE$66,1),0),1,0))+IF(AF46=0,0,IF(AF46=IFERROR(LARGE(AF$7:AF$66,1),0),1,0))+IF(AG46=0,0,IF(AG46=IFERROR(LARGE(AG$7:AG$66,1),0),1,0))+IF(AH46=0,0,IF(AH46=IFERROR(LARGE(AH$7:AH$66,1),0),1,0))+IF(AI46=0,0,IF(AI46=IFERROR(LARGE(AI$7:AI$66,1),0),1,0))+IF(AJ46=0,0,IF(AJ46=IFERROR(LARGE(AJ$7:AJ$66,1),0),1,0))+IF(AK46=0,0,IF(AK46=IFERROR(LARGE(AK$7:AK$66,1),0),1,0))+IF(AL46=0,0,IF(AL46=IFERROR(LARGE(AL$7:AL$66,1),0),1,0))+IF(AM46=0,0,IF(AM46=IFERROR(LARGE(AM$7:AM$66,1),0),1,0))+IF(AN46=0,0,IF(AN46=IFERROR(LARGE(AN$7:AN$66,1),0),1,0))</f>
        <v>0</v>
      </c>
      <c r="AU46" s="629"/>
      <c r="AV46" s="708">
        <f t="shared" si="11"/>
        <v>5.0000000000000001E-4</v>
      </c>
      <c r="AW46" s="709">
        <f t="shared" si="15"/>
        <v>1E-4</v>
      </c>
      <c r="AX46" s="709">
        <f t="shared" si="15"/>
        <v>2.0000000000000001E-4</v>
      </c>
      <c r="AY46" s="709">
        <f t="shared" si="15"/>
        <v>13.000299999999999</v>
      </c>
      <c r="AZ46" s="709">
        <f t="shared" si="15"/>
        <v>4.0000000000000002E-4</v>
      </c>
      <c r="BA46" s="709">
        <f t="shared" si="15"/>
        <v>5.0000000000000001E-4</v>
      </c>
      <c r="BB46" s="709">
        <f t="shared" si="15"/>
        <v>5.9999999999999995E-4</v>
      </c>
      <c r="BC46" s="709">
        <f t="shared" si="15"/>
        <v>6.9999999999999999E-4</v>
      </c>
      <c r="BD46" s="709">
        <f t="shared" si="15"/>
        <v>8.0000000000000004E-4</v>
      </c>
      <c r="BE46" s="709">
        <f t="shared" si="15"/>
        <v>8.9999999999999998E-4</v>
      </c>
      <c r="BF46" s="709">
        <f t="shared" si="15"/>
        <v>7.0010000000000003</v>
      </c>
      <c r="BG46" s="709">
        <f t="shared" si="15"/>
        <v>1.1000000000000001E-3</v>
      </c>
      <c r="BH46" s="709">
        <f t="shared" si="15"/>
        <v>1.1999999999999999E-3</v>
      </c>
      <c r="BI46" s="709">
        <f t="shared" si="15"/>
        <v>1.2999999999999999E-3</v>
      </c>
      <c r="BJ46" s="709">
        <f t="shared" si="15"/>
        <v>1.4E-3</v>
      </c>
      <c r="BK46" s="709">
        <f t="shared" si="15"/>
        <v>1.5E-3</v>
      </c>
      <c r="BL46" s="629"/>
    </row>
    <row r="47" spans="1:64" x14ac:dyDescent="0.2">
      <c r="A47" s="686">
        <f>IF(R47&gt;0,IF(Q47="v",RANK(B47,B$7:B$66,1)-COUNTBLANK(Q$7:Q$66),""),"")</f>
        <v>27</v>
      </c>
      <c r="B47" s="687">
        <f t="shared" si="0"/>
        <v>41</v>
      </c>
      <c r="C47" s="688" t="str">
        <f>IF(R47&gt;0,IF(P47="k",RANK(D47,D$7:D$66,1)-COUNTBLANK(P$7:P$66),""),"")</f>
        <v/>
      </c>
      <c r="D47" s="687">
        <f t="shared" si="1"/>
        <v>-959</v>
      </c>
      <c r="E47" s="689">
        <f>IF(R47&gt;0,IF(N47="m",RANK(F47,F$7:F$66,1)-COUNTBLANK(N$7:N$66),""),"")</f>
        <v>33</v>
      </c>
      <c r="F47" s="687">
        <f t="shared" si="2"/>
        <v>41</v>
      </c>
      <c r="G47" s="690" t="str">
        <f>IF(R47&gt;0,IF(M47="n",RANK(H47,H$7:H$66,1)-COUNTBLANK(M$7:M$66),""),"")</f>
        <v/>
      </c>
      <c r="H47" s="687">
        <f t="shared" si="3"/>
        <v>-959</v>
      </c>
      <c r="I47" s="691">
        <f>IF(R47&gt;0,IF(O47="j",RANK(J47,J$7:J$66,1)-COUNTBLANK(O$7:O$66),""),"")</f>
        <v>4</v>
      </c>
      <c r="J47" s="692">
        <f t="shared" si="4"/>
        <v>41</v>
      </c>
      <c r="K47" s="654">
        <f>IF(R47&gt;0,RANK(U47,U$7:U$66,1),"")</f>
        <v>41</v>
      </c>
      <c r="L47" s="711" t="s">
        <v>303</v>
      </c>
      <c r="M47" s="694"/>
      <c r="N47" s="695" t="s">
        <v>273</v>
      </c>
      <c r="O47" s="732" t="s">
        <v>287</v>
      </c>
      <c r="P47" s="697"/>
      <c r="Q47" s="698" t="s">
        <v>269</v>
      </c>
      <c r="R47" s="699">
        <f>(IF(COUNT(Z47,AA47,AB47,AC47,AD47,AE47,AF47,AG47,AH47,AI47,AJ47,AK47,AL47,AM47,AN47)&lt;11,SUM(Z47,AA47,AB47,AC47,AD47,AE47,AF47,AG47,AH47,AI47,AJ47,AK47,AL47,AM47,AN47),SUM(LARGE((Z47,AA47,AB47,AC47,AD47,AE47,AF47,AG47,AH47,AI47,AJ47,AK47,AL47,AM47,AN47),{1;2;3;4;5;6;7;8;9;10;11}))))</f>
        <v>20</v>
      </c>
      <c r="S47" s="700" t="str">
        <f>INDEX(ETAPP!B$1:B$32,MATCH(COUNTIF(Z47:AN47,PVO!A$1),ETAPP!A$1:A$32,0))&amp;INDEX(ETAPP!B$1:B$32,MATCH(COUNTIF(Z47:AN47,PVO!A$2),ETAPP!A$1:A$32,0))&amp;INDEX(ETAPP!B$1:B$32,MATCH(COUNTIF(Z47:AN47,PVO!A$3),ETAPP!A$1:A$32,0))&amp;INDEX(ETAPP!B$1:B$32,MATCH(COUNTIF(Z47:AN47,PVO!A$4),ETAPP!A$1:A$32,0))&amp;INDEX(ETAPP!B$1:B$32,MATCH(COUNTIF(Z47:AN47,PVO!A$5),ETAPP!A$1:A$32,0))&amp;INDEX(ETAPP!B$1:B$32,MATCH(COUNTIF(Z47:AN47,PVO!A$6),ETAPP!A$1:A$32,0))&amp;INDEX(ETAPP!B$1:B$32,MATCH(COUNTIF(Z47:AN47,PVO!A$7),ETAPP!A$1:A$32,0))&amp;INDEX(ETAPP!B$1:B$32,MATCH(COUNTIF(Z47:AN47,PVO!A$8),ETAPP!A$1:A$32,0))&amp;INDEX(ETAPP!B$1:B$32,MATCH(COUNTIF(Z47:AN47,PVO!A$9),ETAPP!A$1:A$32,0))&amp;INDEX(ETAPP!B$1:B$32,MATCH(COUNTIF(Z47:AN47,PVO!A$10),ETAPP!A$1:A$32,0))&amp;INDEX(ETAPP!B$1:B$32,MATCH(COUNTIF(Z47:AN47,PVO!A$11),ETAPP!A$1:A$32,0))&amp;INDEX(ETAPP!B$1:B$32,MATCH(COUNTIF(Z47:AN47,PVO!A$12),ETAPP!A$1:A$32,0))&amp;INDEX(ETAPP!B$1:B$32,MATCH(COUNTIF(Z47:AN47,PVO!A$13),ETAPP!A$1:A$32,0))&amp;INDEX(ETAPP!B$1:B$32,MATCH(COUNTIF(Z47:AN47,PVO!A$14),ETAPP!A$1:A$32,0))&amp;INDEX(ETAPP!B$1:B$32,MATCH(COUNTIF(Z47:AN47,PVO!A$15),ETAPP!A$1:A$32,0))&amp;INDEX(ETAPP!B$1:B$32,MATCH(COUNTIF(Z47:AN47,PVO!A$16),ETAPP!A$1:A$32,0))&amp;INDEX(ETAPP!B$1:B$32,MATCH(COUNTIF(Z47:AN47,PVO!A$17),ETAPP!A$1:A$32,0))&amp;INDEX(ETAPP!B$1:B$32,MATCH(COUNTIF(Z47:AN47,PVO!A$18),ETAPP!A$1:A$32,0))&amp;INDEX(ETAPP!B$1:B$32,MATCH(COUNTIF(Z47:AN47,PVO!A$19),ETAPP!A$1:A$32,0))</f>
        <v>0000000A0000A0AA00F</v>
      </c>
      <c r="T47" s="700" t="str">
        <f t="shared" si="6"/>
        <v>020,0-0000000A0000A0AA00F</v>
      </c>
      <c r="U47" s="700">
        <f>COUNTIF(T$7:T$66,"&gt;="&amp;T47)</f>
        <v>41</v>
      </c>
      <c r="V47" s="700">
        <f>COUNTIF(L$7:L$66,"&gt;="&amp;L47)</f>
        <v>20</v>
      </c>
      <c r="W47" s="700" t="str">
        <f t="shared" si="7"/>
        <v>020,0-0000000A0000A0AA00F-020</v>
      </c>
      <c r="X47" s="700">
        <f>COUNTIF(W$7:W$66,"&gt;="&amp;W47)</f>
        <v>41</v>
      </c>
      <c r="Y47" s="701">
        <f>RANK(X47,X$7:X$66,0)</f>
        <v>20</v>
      </c>
      <c r="Z47" s="702" t="str">
        <f>IFERROR(INDEX('V1'!C$300:C$400,MATCH("*"&amp;L47&amp;"*",'V1'!B$300:B$400,0)),"  ")</f>
        <v xml:space="preserve">  </v>
      </c>
      <c r="AA47" s="702" t="str">
        <f>IFERROR(INDEX('V2'!C$300:C$400,MATCH("*"&amp;L47&amp;"*",'V2'!B$300:B$400,0)),"  ")</f>
        <v xml:space="preserve">  </v>
      </c>
      <c r="AB47" s="702" t="str">
        <f>IFERROR(INDEX('V3'!C$300:C$400,MATCH("*"&amp;L47&amp;"*",'V3'!B$300:B$400,0)),"  ")</f>
        <v xml:space="preserve">  </v>
      </c>
      <c r="AC47" s="702" t="str">
        <f>IFERROR(INDEX('V4'!C$300:C$400,MATCH("*"&amp;L47&amp;"*",'V4'!B$300:B$400,0)),"  ")</f>
        <v xml:space="preserve">  </v>
      </c>
      <c r="AD47" s="702" t="str">
        <f>IFERROR(INDEX('V5'!C$300:C$400,MATCH("*"&amp;L47&amp;"*",'V5'!B$300:B$400,0)),"  ")</f>
        <v xml:space="preserve">  </v>
      </c>
      <c r="AE47" s="702" t="str">
        <f>IFERROR(INDEX('V6'!C$300:C$400,MATCH("*"&amp;L47&amp;"*",'V6'!B$300:B$400,0)),"  ")</f>
        <v xml:space="preserve">  </v>
      </c>
      <c r="AF47" s="702" t="str">
        <f>IFERROR(INDEX('V7'!C$300:C$400,MATCH("*"&amp;L47&amp;"*",'V7'!B$300:B$400,0)),"  ")</f>
        <v xml:space="preserve">  </v>
      </c>
      <c r="AG47" s="702" t="str">
        <f>IFERROR(INDEX('V8'!C$300:C$400,MATCH("*"&amp;L47&amp;"*",'V8'!B$300:B$400,0)),"  ")</f>
        <v xml:space="preserve">  </v>
      </c>
      <c r="AH47" s="702">
        <f>IFERROR(INDEX('V9'!C$300:C$400,MATCH("*"&amp;L47&amp;"*",'V9'!B$300:B$400,0)),"  ")</f>
        <v>5</v>
      </c>
      <c r="AI47" s="702">
        <f>IFERROR(INDEX('V10'!C$300:C$400,MATCH("*"&amp;L47&amp;"*",'V10'!B$300:B$400,0)),"  ")</f>
        <v>2</v>
      </c>
      <c r="AJ47" s="702" t="str">
        <f>IFERROR(INDEX('V11'!C$300:C$400,MATCH("*"&amp;L47&amp;"*",'V11'!B$300:B$400,0)),"  ")</f>
        <v xml:space="preserve">  </v>
      </c>
      <c r="AK47" s="702">
        <f>IFERROR(INDEX('V12'!C$300:C$400,MATCH("*"&amp;L47&amp;"*",'V12'!B$300:B$400,0)),"  ")</f>
        <v>10</v>
      </c>
      <c r="AL47" s="702" t="str">
        <f>IFERROR(INDEX('V13'!C$300:C$400,MATCH("*"&amp;L47&amp;"*",'V13'!B$300:B$400,0)),"  ")</f>
        <v xml:space="preserve">  </v>
      </c>
      <c r="AM47" s="702">
        <f>IFERROR(INDEX('V14'!C$300:C$400,MATCH("*"&amp;L47&amp;"*",'V14'!B$300:B$400,0)),"  ")</f>
        <v>3</v>
      </c>
      <c r="AN47" s="702" t="str">
        <f>IFERROR(INDEX('V15'!C$300:C$400,MATCH("*"&amp;L47&amp;"*",'V15'!B$300:B$400,0)),"  ")</f>
        <v xml:space="preserve">  </v>
      </c>
      <c r="AO47" s="703">
        <f t="shared" si="10"/>
        <v>41</v>
      </c>
      <c r="AP47" s="704" t="str">
        <f>IFERROR("edasi "&amp;RANK(AO47,AO$7:AO$66,1),K47)</f>
        <v>edasi 41</v>
      </c>
      <c r="AQ47" s="705" t="str">
        <f>IFERROR(INDEX('V-fin'!A$300:A$401,MATCH("*"&amp;L47&amp;"*",'V-fin'!B$300:B$401,0)),"  ")</f>
        <v xml:space="preserve">  </v>
      </c>
      <c r="AR47" s="706">
        <f t="shared" si="8"/>
        <v>4</v>
      </c>
      <c r="AS47" s="707">
        <f>IFERROR(IF(Z47+1&gt;LARGE(Z$7:Z$66,1)-2,1),0)+IFERROR(IF(AA47+1&gt;LARGE(AA$7:AA$66,1)-2,1),0)+IFERROR(IF(AB47+1&gt;LARGE(AB$7:AB$66,1)-2,1),0)+IFERROR(IF(AC47+1&gt;LARGE(AC$7:AC$66,1)-2,1),0)+IFERROR(IF(AD47+1&gt;LARGE(AD$7:AD$66,1)-2,1),0)+IFERROR(IF(AE47+1&gt;LARGE(AE$7:AE$66,1)-2,1),0)+IFERROR(IF(AF47+1&gt;LARGE(AF$7:AF$66,1)-2,1),0)+IFERROR(IF(AG47+1&gt;LARGE(AG$7:AG$66,1)-2,1),0)+IFERROR(IF(AH47+1&gt;LARGE(AH$7:AH$66,1)-2,1),0)+IFERROR(IF(AI47+1&gt;LARGE(AI$7:AI$66,1)-2,1),0)+IFERROR(IF(AJ47+1&gt;LARGE(AJ$7:AJ$66,1)-2,1),0)+IFERROR(IF(AK47+1&gt;LARGE(AK$7:AK$66,1)-2,1),0)+IFERROR(IF(AL47+1&gt;LARGE(AL$7:AL$66,1)-2,1),0)+IFERROR(IF(AM47+1&gt;LARGE(AM$7:AM$66,1)-2,1),0)+IFERROR(IF(AN47+1&gt;LARGE(AN$7:AN$66,1)-2,1),0)</f>
        <v>0</v>
      </c>
      <c r="AT47" s="707">
        <f>IF(Z47=0,0,IF(Z47=IFERROR(LARGE(Z$7:Z$66,1),0),1,0))+IF(AA47=0,0,IF(AA47=IFERROR(LARGE(AA$7:AA$66,1),0),1,0))+IF(AB47=0,0,IF(AB47=IFERROR(LARGE(AB$7:AB$66,1),0),1,0))+IF(AC47=0,0,IF(AC47=IFERROR(LARGE(AC$7:AC$66,1),0),1,0))+IF(AD47=0,0,IF(AD47=IFERROR(LARGE(AD$7:AD$66,1),0),1,0))+IF(AE47=0,0,IF(AE47=IFERROR(LARGE(AE$7:AE$66,1),0),1,0))+IF(AF47=0,0,IF(AF47=IFERROR(LARGE(AF$7:AF$66,1),0),1,0))+IF(AG47=0,0,IF(AG47=IFERROR(LARGE(AG$7:AG$66,1),0),1,0))+IF(AH47=0,0,IF(AH47=IFERROR(LARGE(AH$7:AH$66,1),0),1,0))+IF(AI47=0,0,IF(AI47=IFERROR(LARGE(AI$7:AI$66,1),0),1,0))+IF(AJ47=0,0,IF(AJ47=IFERROR(LARGE(AJ$7:AJ$66,1),0),1,0))+IF(AK47=0,0,IF(AK47=IFERROR(LARGE(AK$7:AK$66,1),0),1,0))+IF(AL47=0,0,IF(AL47=IFERROR(LARGE(AL$7:AL$66,1),0),1,0))+IF(AM47=0,0,IF(AM47=IFERROR(LARGE(AM$7:AM$66,1),0),1,0))+IF(AN47=0,0,IF(AN47=IFERROR(LARGE(AN$7:AN$66,1),0),1,0))</f>
        <v>0</v>
      </c>
      <c r="AU47" s="629"/>
      <c r="AV47" s="708">
        <f t="shared" si="11"/>
        <v>4.0000000000000002E-4</v>
      </c>
      <c r="AW47" s="709">
        <f t="shared" si="15"/>
        <v>1E-4</v>
      </c>
      <c r="AX47" s="709">
        <f t="shared" si="15"/>
        <v>2.0000000000000001E-4</v>
      </c>
      <c r="AY47" s="709">
        <f t="shared" si="15"/>
        <v>2.9999999999999997E-4</v>
      </c>
      <c r="AZ47" s="709">
        <f t="shared" si="15"/>
        <v>4.0000000000000002E-4</v>
      </c>
      <c r="BA47" s="709">
        <f t="shared" si="15"/>
        <v>5.0000000000000001E-4</v>
      </c>
      <c r="BB47" s="709">
        <f t="shared" si="15"/>
        <v>5.9999999999999995E-4</v>
      </c>
      <c r="BC47" s="709">
        <f t="shared" si="15"/>
        <v>6.9999999999999999E-4</v>
      </c>
      <c r="BD47" s="709">
        <f t="shared" si="15"/>
        <v>8.0000000000000004E-4</v>
      </c>
      <c r="BE47" s="709">
        <f t="shared" si="15"/>
        <v>5.0008999999999997</v>
      </c>
      <c r="BF47" s="709">
        <f t="shared" si="15"/>
        <v>2.0009999999999999</v>
      </c>
      <c r="BG47" s="709">
        <f t="shared" si="15"/>
        <v>1.1000000000000001E-3</v>
      </c>
      <c r="BH47" s="709">
        <f t="shared" si="15"/>
        <v>10.001200000000001</v>
      </c>
      <c r="BI47" s="709">
        <f t="shared" si="15"/>
        <v>1.2999999999999999E-3</v>
      </c>
      <c r="BJ47" s="709">
        <f t="shared" si="15"/>
        <v>3.0013999999999998</v>
      </c>
      <c r="BK47" s="709">
        <f t="shared" si="15"/>
        <v>1.5E-3</v>
      </c>
      <c r="BL47" s="629"/>
    </row>
    <row r="48" spans="1:64" x14ac:dyDescent="0.2">
      <c r="A48" s="686" t="str">
        <f>IF(R48&gt;0,IF(Q48="v",RANK(B48,B$7:B$66,1)-COUNTBLANK(Q$7:Q$66),""),"")</f>
        <v/>
      </c>
      <c r="B48" s="687">
        <f t="shared" si="0"/>
        <v>-957</v>
      </c>
      <c r="C48" s="688" t="str">
        <f>IF(R48&gt;0,IF(P48="k",RANK(D48,D$7:D$66,1)-COUNTBLANK(P$7:P$66),""),"")</f>
        <v/>
      </c>
      <c r="D48" s="687">
        <f t="shared" si="1"/>
        <v>-957</v>
      </c>
      <c r="E48" s="689">
        <f>IF(R48&gt;0,IF(N48="m",RANK(F48,F$7:F$66,1)-COUNTBLANK(N$7:N$66),""),"")</f>
        <v>34</v>
      </c>
      <c r="F48" s="687">
        <f t="shared" si="2"/>
        <v>43</v>
      </c>
      <c r="G48" s="690" t="str">
        <f>IF(R48&gt;0,IF(M48="n",RANK(H48,H$7:H$66,1)-COUNTBLANK(M$7:M$66),""),"")</f>
        <v/>
      </c>
      <c r="H48" s="687">
        <f t="shared" si="3"/>
        <v>-957</v>
      </c>
      <c r="I48" s="691">
        <f>IF(R48&gt;0,IF(O48="j",RANK(J48,J$7:J$66,1)-COUNTBLANK(O$7:O$66),""),"")</f>
        <v>5</v>
      </c>
      <c r="J48" s="692">
        <f t="shared" si="4"/>
        <v>43</v>
      </c>
      <c r="K48" s="654">
        <f>IF(R48&gt;0,RANK(U48,U$7:U$66,1),"")</f>
        <v>42</v>
      </c>
      <c r="L48" s="711" t="s">
        <v>304</v>
      </c>
      <c r="M48" s="694"/>
      <c r="N48" s="695" t="s">
        <v>273</v>
      </c>
      <c r="O48" s="732" t="s">
        <v>287</v>
      </c>
      <c r="P48" s="697"/>
      <c r="Q48" s="698"/>
      <c r="R48" s="699">
        <f>(IF(COUNT(Z48,AA48,AB48,AC48,AD48,AE48,AF48,AG48,AH48,AI48,AJ48,AK48,AL48,AM48,AN48)&lt;11,SUM(Z48,AA48,AB48,AC48,AD48,AE48,AF48,AG48,AH48,AI48,AJ48,AK48,AL48,AM48,AN48),SUM(LARGE((Z48,AA48,AB48,AC48,AD48,AE48,AF48,AG48,AH48,AI48,AJ48,AK48,AL48,AM48,AN48),{1;2;3;4;5;6;7;8;9;10;11}))))</f>
        <v>17</v>
      </c>
      <c r="S48" s="700" t="str">
        <f>INDEX(ETAPP!B$1:B$32,MATCH(COUNTIF(Z48:AN48,PVO!A$1),ETAPP!A$1:A$32,0))&amp;INDEX(ETAPP!B$1:B$32,MATCH(COUNTIF(Z48:AN48,PVO!A$2),ETAPP!A$1:A$32,0))&amp;INDEX(ETAPP!B$1:B$32,MATCH(COUNTIF(Z48:AN48,PVO!A$3),ETAPP!A$1:A$32,0))&amp;INDEX(ETAPP!B$1:B$32,MATCH(COUNTIF(Z48:AN48,PVO!A$4),ETAPP!A$1:A$32,0))&amp;INDEX(ETAPP!B$1:B$32,MATCH(COUNTIF(Z48:AN48,PVO!A$5),ETAPP!A$1:A$32,0))&amp;INDEX(ETAPP!B$1:B$32,MATCH(COUNTIF(Z48:AN48,PVO!A$6),ETAPP!A$1:A$32,0))&amp;INDEX(ETAPP!B$1:B$32,MATCH(COUNTIF(Z48:AN48,PVO!A$7),ETAPP!A$1:A$32,0))&amp;INDEX(ETAPP!B$1:B$32,MATCH(COUNTIF(Z48:AN48,PVO!A$8),ETAPP!A$1:A$32,0))&amp;INDEX(ETAPP!B$1:B$32,MATCH(COUNTIF(Z48:AN48,PVO!A$9),ETAPP!A$1:A$32,0))&amp;INDEX(ETAPP!B$1:B$32,MATCH(COUNTIF(Z48:AN48,PVO!A$10),ETAPP!A$1:A$32,0))&amp;INDEX(ETAPP!B$1:B$32,MATCH(COUNTIF(Z48:AN48,PVO!A$11),ETAPP!A$1:A$32,0))&amp;INDEX(ETAPP!B$1:B$32,MATCH(COUNTIF(Z48:AN48,PVO!A$12),ETAPP!A$1:A$32,0))&amp;INDEX(ETAPP!B$1:B$32,MATCH(COUNTIF(Z48:AN48,PVO!A$13),ETAPP!A$1:A$32,0))&amp;INDEX(ETAPP!B$1:B$32,MATCH(COUNTIF(Z48:AN48,PVO!A$14),ETAPP!A$1:A$32,0))&amp;INDEX(ETAPP!B$1:B$32,MATCH(COUNTIF(Z48:AN48,PVO!A$15),ETAPP!A$1:A$32,0))&amp;INDEX(ETAPP!B$1:B$32,MATCH(COUNTIF(Z48:AN48,PVO!A$16),ETAPP!A$1:A$32,0))&amp;INDEX(ETAPP!B$1:B$32,MATCH(COUNTIF(Z48:AN48,PVO!A$17),ETAPP!A$1:A$32,0))&amp;INDEX(ETAPP!B$1:B$32,MATCH(COUNTIF(Z48:AN48,PVO!A$18),ETAPP!A$1:A$32,0))&amp;INDEX(ETAPP!B$1:B$32,MATCH(COUNTIF(Z48:AN48,PVO!A$19),ETAPP!A$1:A$32,0))</f>
        <v>0000000A00A0000000H</v>
      </c>
      <c r="T48" s="700" t="str">
        <f t="shared" si="6"/>
        <v>017,0-0000000A00A0000000H</v>
      </c>
      <c r="U48" s="700">
        <f>COUNTIF(T$7:T$66,"&gt;="&amp;T48)</f>
        <v>43</v>
      </c>
      <c r="V48" s="700">
        <f>COUNTIF(L$7:L$66,"&gt;="&amp;L48)</f>
        <v>19</v>
      </c>
      <c r="W48" s="700" t="str">
        <f t="shared" si="7"/>
        <v>017,0-0000000A00A0000000H-019</v>
      </c>
      <c r="X48" s="700">
        <f>COUNTIF(W$7:W$66,"&gt;="&amp;W48)</f>
        <v>42</v>
      </c>
      <c r="Y48" s="701">
        <f>RANK(X48,X$7:X$66,0)</f>
        <v>19</v>
      </c>
      <c r="Z48" s="702" t="str">
        <f>IFERROR(INDEX('V1'!C$300:C$400,MATCH("*"&amp;L48&amp;"*",'V1'!B$300:B$400,0)),"  ")</f>
        <v xml:space="preserve">  </v>
      </c>
      <c r="AA48" s="702" t="str">
        <f>IFERROR(INDEX('V2'!C$300:C$400,MATCH("*"&amp;L48&amp;"*",'V2'!B$300:B$400,0)),"  ")</f>
        <v xml:space="preserve">  </v>
      </c>
      <c r="AB48" s="702" t="str">
        <f>IFERROR(INDEX('V3'!C$300:C$400,MATCH("*"&amp;L48&amp;"*",'V3'!B$300:B$400,0)),"  ")</f>
        <v xml:space="preserve">  </v>
      </c>
      <c r="AC48" s="702" t="str">
        <f>IFERROR(INDEX('V4'!C$300:C$400,MATCH("*"&amp;L48&amp;"*",'V4'!B$300:B$400,0)),"  ")</f>
        <v xml:space="preserve">  </v>
      </c>
      <c r="AD48" s="702" t="str">
        <f>IFERROR(INDEX('V5'!C$300:C$400,MATCH("*"&amp;L48&amp;"*",'V5'!B$300:B$400,0)),"  ")</f>
        <v xml:space="preserve">  </v>
      </c>
      <c r="AE48" s="702" t="str">
        <f>IFERROR(INDEX('V6'!C$300:C$400,MATCH("*"&amp;L48&amp;"*",'V6'!B$300:B$400,0)),"  ")</f>
        <v xml:space="preserve">  </v>
      </c>
      <c r="AF48" s="702" t="str">
        <f>IFERROR(INDEX('V7'!C$300:C$400,MATCH("*"&amp;L48&amp;"*",'V7'!B$300:B$400,0)),"  ")</f>
        <v xml:space="preserve">  </v>
      </c>
      <c r="AG48" s="702" t="str">
        <f>IFERROR(INDEX('V8'!C$300:C$400,MATCH("*"&amp;L48&amp;"*",'V8'!B$300:B$400,0)),"  ")</f>
        <v xml:space="preserve">  </v>
      </c>
      <c r="AH48" s="702" t="str">
        <f>IFERROR(INDEX('V9'!C$300:C$400,MATCH("*"&amp;L48&amp;"*",'V9'!B$300:B$400,0)),"  ")</f>
        <v xml:space="preserve">  </v>
      </c>
      <c r="AI48" s="702" t="str">
        <f>IFERROR(INDEX('V10'!C$300:C$400,MATCH("*"&amp;L48&amp;"*",'V10'!B$300:B$400,0)),"  ")</f>
        <v xml:space="preserve">  </v>
      </c>
      <c r="AJ48" s="702" t="str">
        <f>IFERROR(INDEX('V11'!C$300:C$400,MATCH("*"&amp;L48&amp;"*",'V11'!B$300:B$400,0)),"  ")</f>
        <v xml:space="preserve">  </v>
      </c>
      <c r="AK48" s="702" t="str">
        <f>IFERROR(INDEX('V12'!C$300:C$400,MATCH("*"&amp;L48&amp;"*",'V12'!B$300:B$400,0)),"  ")</f>
        <v xml:space="preserve">  </v>
      </c>
      <c r="AL48" s="702">
        <f>IFERROR(INDEX('V13'!C$300:C$400,MATCH("*"&amp;L48&amp;"*",'V13'!B$300:B$400,0)),"  ")</f>
        <v>10</v>
      </c>
      <c r="AM48" s="702">
        <f>IFERROR(INDEX('V14'!C$300:C$400,MATCH("*"&amp;L48&amp;"*",'V14'!B$300:B$400,0)),"  ")</f>
        <v>7</v>
      </c>
      <c r="AN48" s="702" t="str">
        <f>IFERROR(INDEX('V15'!C$300:C$400,MATCH("*"&amp;L48&amp;"*",'V15'!B$300:B$400,0)),"  ")</f>
        <v xml:space="preserve">  </v>
      </c>
      <c r="AO48" s="703">
        <f t="shared" si="10"/>
        <v>42</v>
      </c>
      <c r="AP48" s="704" t="str">
        <f>IFERROR("edasi "&amp;RANK(AO48,AO$7:AO$66,1),K48)</f>
        <v>edasi 42</v>
      </c>
      <c r="AQ48" s="705" t="str">
        <f>IFERROR(INDEX('V-fin'!A$300:A$401,MATCH("*"&amp;L48&amp;"*",'V-fin'!B$300:B$401,0)),"  ")</f>
        <v xml:space="preserve">  </v>
      </c>
      <c r="AR48" s="706">
        <f t="shared" si="8"/>
        <v>2</v>
      </c>
      <c r="AS48" s="707">
        <f>IFERROR(IF(Z48+1&gt;LARGE(Z$7:Z$66,1)-2,1),0)+IFERROR(IF(AA48+1&gt;LARGE(AA$7:AA$66,1)-2,1),0)+IFERROR(IF(AB48+1&gt;LARGE(AB$7:AB$66,1)-2,1),0)+IFERROR(IF(AC48+1&gt;LARGE(AC$7:AC$66,1)-2,1),0)+IFERROR(IF(AD48+1&gt;LARGE(AD$7:AD$66,1)-2,1),0)+IFERROR(IF(AE48+1&gt;LARGE(AE$7:AE$66,1)-2,1),0)+IFERROR(IF(AF48+1&gt;LARGE(AF$7:AF$66,1)-2,1),0)+IFERROR(IF(AG48+1&gt;LARGE(AG$7:AG$66,1)-2,1),0)+IFERROR(IF(AH48+1&gt;LARGE(AH$7:AH$66,1)-2,1),0)+IFERROR(IF(AI48+1&gt;LARGE(AI$7:AI$66,1)-2,1),0)+IFERROR(IF(AJ48+1&gt;LARGE(AJ$7:AJ$66,1)-2,1),0)+IFERROR(IF(AK48+1&gt;LARGE(AK$7:AK$66,1)-2,1),0)+IFERROR(IF(AL48+1&gt;LARGE(AL$7:AL$66,1)-2,1),0)+IFERROR(IF(AM48+1&gt;LARGE(AM$7:AM$66,1)-2,1),0)+IFERROR(IF(AN48+1&gt;LARGE(AN$7:AN$66,1)-2,1),0)</f>
        <v>0</v>
      </c>
      <c r="AT48" s="707">
        <f>IF(Z48=0,0,IF(Z48=IFERROR(LARGE(Z$7:Z$66,1),0),1,0))+IF(AA48=0,0,IF(AA48=IFERROR(LARGE(AA$7:AA$66,1),0),1,0))+IF(AB48=0,0,IF(AB48=IFERROR(LARGE(AB$7:AB$66,1),0),1,0))+IF(AC48=0,0,IF(AC48=IFERROR(LARGE(AC$7:AC$66,1),0),1,0))+IF(AD48=0,0,IF(AD48=IFERROR(LARGE(AD$7:AD$66,1),0),1,0))+IF(AE48=0,0,IF(AE48=IFERROR(LARGE(AE$7:AE$66,1),0),1,0))+IF(AF48=0,0,IF(AF48=IFERROR(LARGE(AF$7:AF$66,1),0),1,0))+IF(AG48=0,0,IF(AG48=IFERROR(LARGE(AG$7:AG$66,1),0),1,0))+IF(AH48=0,0,IF(AH48=IFERROR(LARGE(AH$7:AH$66,1),0),1,0))+IF(AI48=0,0,IF(AI48=IFERROR(LARGE(AI$7:AI$66,1),0),1,0))+IF(AJ48=0,0,IF(AJ48=IFERROR(LARGE(AJ$7:AJ$66,1),0),1,0))+IF(AK48=0,0,IF(AK48=IFERROR(LARGE(AK$7:AK$66,1),0),1,0))+IF(AL48=0,0,IF(AL48=IFERROR(LARGE(AL$7:AL$66,1),0),1,0))+IF(AM48=0,0,IF(AM48=IFERROR(LARGE(AM$7:AM$66,1),0),1,0))+IF(AN48=0,0,IF(AN48=IFERROR(LARGE(AN$7:AN$66,1),0),1,0))</f>
        <v>0</v>
      </c>
      <c r="AU48" s="629"/>
      <c r="AV48" s="708">
        <f t="shared" si="11"/>
        <v>4.0000000000000002E-4</v>
      </c>
      <c r="AW48" s="709">
        <f t="shared" si="15"/>
        <v>1E-4</v>
      </c>
      <c r="AX48" s="709">
        <f t="shared" si="15"/>
        <v>2.0000000000000001E-4</v>
      </c>
      <c r="AY48" s="709">
        <f t="shared" si="15"/>
        <v>2.9999999999999997E-4</v>
      </c>
      <c r="AZ48" s="709">
        <f t="shared" si="15"/>
        <v>4.0000000000000002E-4</v>
      </c>
      <c r="BA48" s="709">
        <f t="shared" si="15"/>
        <v>5.0000000000000001E-4</v>
      </c>
      <c r="BB48" s="709">
        <f t="shared" si="15"/>
        <v>5.9999999999999995E-4</v>
      </c>
      <c r="BC48" s="709">
        <f t="shared" si="15"/>
        <v>6.9999999999999999E-4</v>
      </c>
      <c r="BD48" s="709">
        <f t="shared" si="15"/>
        <v>8.0000000000000004E-4</v>
      </c>
      <c r="BE48" s="709">
        <f t="shared" si="15"/>
        <v>8.9999999999999998E-4</v>
      </c>
      <c r="BF48" s="709">
        <f t="shared" si="15"/>
        <v>1E-3</v>
      </c>
      <c r="BG48" s="709">
        <f t="shared" si="15"/>
        <v>1.1000000000000001E-3</v>
      </c>
      <c r="BH48" s="709">
        <f t="shared" si="15"/>
        <v>1.1999999999999999E-3</v>
      </c>
      <c r="BI48" s="709">
        <f t="shared" si="15"/>
        <v>10.001300000000001</v>
      </c>
      <c r="BJ48" s="709">
        <f t="shared" si="15"/>
        <v>7.0014000000000003</v>
      </c>
      <c r="BK48" s="709">
        <f t="shared" si="15"/>
        <v>1.5E-3</v>
      </c>
      <c r="BL48" s="629"/>
    </row>
    <row r="49" spans="1:64" x14ac:dyDescent="0.2">
      <c r="A49" s="686">
        <f>IF(R49&gt;0,IF(Q49="v",RANK(B49,B$7:B$66,1)-COUNTBLANK(Q$7:Q$66),""),"")</f>
        <v>28</v>
      </c>
      <c r="B49" s="687">
        <f t="shared" si="0"/>
        <v>43</v>
      </c>
      <c r="C49" s="688">
        <f>IF(R49&gt;0,IF(P49="k",RANK(D49,D$7:D$66,1)-COUNTBLANK(P$7:P$66),""),"")</f>
        <v>15</v>
      </c>
      <c r="D49" s="687">
        <f t="shared" si="1"/>
        <v>43</v>
      </c>
      <c r="E49" s="689">
        <f>IF(R49&gt;0,IF(N49="m",RANK(F49,F$7:F$66,1)-COUNTBLANK(N$7:N$66),""),"")</f>
        <v>34</v>
      </c>
      <c r="F49" s="687">
        <f t="shared" si="2"/>
        <v>43</v>
      </c>
      <c r="G49" s="690" t="str">
        <f>IF(R49&gt;0,IF(M49="n",RANK(H49,H$7:H$66,1)-COUNTBLANK(M$7:M$66),""),"")</f>
        <v/>
      </c>
      <c r="H49" s="687">
        <f t="shared" si="3"/>
        <v>-957</v>
      </c>
      <c r="I49" s="691" t="str">
        <f>IF(R49&gt;0,IF(O49="j",RANK(J49,J$7:J$66,1)-COUNTBLANK(O$7:O$66),""),"")</f>
        <v/>
      </c>
      <c r="J49" s="692">
        <f t="shared" si="4"/>
        <v>-957</v>
      </c>
      <c r="K49" s="654">
        <f>IF(R49&gt;0,RANK(U49,U$7:U$66,1),"")</f>
        <v>42</v>
      </c>
      <c r="L49" s="711" t="s">
        <v>305</v>
      </c>
      <c r="M49" s="694"/>
      <c r="N49" s="695" t="s">
        <v>273</v>
      </c>
      <c r="O49" s="696"/>
      <c r="P49" s="697" t="s">
        <v>268</v>
      </c>
      <c r="Q49" s="698" t="s">
        <v>269</v>
      </c>
      <c r="R49" s="699">
        <f>(IF(COUNT(Z49,AA49,AB49,AC49,AD49,AE49,AF49,AG49,AH49,AI49,AJ49,AK49,AL49,AM49,AN49)&lt;11,SUM(Z49,AA49,AB49,AC49,AD49,AE49,AF49,AG49,AH49,AI49,AJ49,AK49,AL49,AM49,AN49),SUM(LARGE((Z49,AA49,AB49,AC49,AD49,AE49,AF49,AG49,AH49,AI49,AJ49,AK49,AL49,AM49,AN49),{1;2;3;4;5;6;7;8;9;10;11}))))</f>
        <v>17</v>
      </c>
      <c r="S49" s="700" t="str">
        <f>INDEX(ETAPP!B$1:B$32,MATCH(COUNTIF(Z49:AN49,PVO!A$1),ETAPP!A$1:A$32,0))&amp;INDEX(ETAPP!B$1:B$32,MATCH(COUNTIF(Z49:AN49,PVO!A$2),ETAPP!A$1:A$32,0))&amp;INDEX(ETAPP!B$1:B$32,MATCH(COUNTIF(Z49:AN49,PVO!A$3),ETAPP!A$1:A$32,0))&amp;INDEX(ETAPP!B$1:B$32,MATCH(COUNTIF(Z49:AN49,PVO!A$4),ETAPP!A$1:A$32,0))&amp;INDEX(ETAPP!B$1:B$32,MATCH(COUNTIF(Z49:AN49,PVO!A$5),ETAPP!A$1:A$32,0))&amp;INDEX(ETAPP!B$1:B$32,MATCH(COUNTIF(Z49:AN49,PVO!A$6),ETAPP!A$1:A$32,0))&amp;INDEX(ETAPP!B$1:B$32,MATCH(COUNTIF(Z49:AN49,PVO!A$7),ETAPP!A$1:A$32,0))&amp;INDEX(ETAPP!B$1:B$32,MATCH(COUNTIF(Z49:AN49,PVO!A$8),ETAPP!A$1:A$32,0))&amp;INDEX(ETAPP!B$1:B$32,MATCH(COUNTIF(Z49:AN49,PVO!A$9),ETAPP!A$1:A$32,0))&amp;INDEX(ETAPP!B$1:B$32,MATCH(COUNTIF(Z49:AN49,PVO!A$10),ETAPP!A$1:A$32,0))&amp;INDEX(ETAPP!B$1:B$32,MATCH(COUNTIF(Z49:AN49,PVO!A$11),ETAPP!A$1:A$32,0))&amp;INDEX(ETAPP!B$1:B$32,MATCH(COUNTIF(Z49:AN49,PVO!A$12),ETAPP!A$1:A$32,0))&amp;INDEX(ETAPP!B$1:B$32,MATCH(COUNTIF(Z49:AN49,PVO!A$13),ETAPP!A$1:A$32,0))&amp;INDEX(ETAPP!B$1:B$32,MATCH(COUNTIF(Z49:AN49,PVO!A$14),ETAPP!A$1:A$32,0))&amp;INDEX(ETAPP!B$1:B$32,MATCH(COUNTIF(Z49:AN49,PVO!A$15),ETAPP!A$1:A$32,0))&amp;INDEX(ETAPP!B$1:B$32,MATCH(COUNTIF(Z49:AN49,PVO!A$16),ETAPP!A$1:A$32,0))&amp;INDEX(ETAPP!B$1:B$32,MATCH(COUNTIF(Z49:AN49,PVO!A$17),ETAPP!A$1:A$32,0))&amp;INDEX(ETAPP!B$1:B$32,MATCH(COUNTIF(Z49:AN49,PVO!A$18),ETAPP!A$1:A$32,0))&amp;INDEX(ETAPP!B$1:B$32,MATCH(COUNTIF(Z49:AN49,PVO!A$19),ETAPP!A$1:A$32,0))</f>
        <v>0000000A00A0000000H</v>
      </c>
      <c r="T49" s="700" t="str">
        <f t="shared" si="6"/>
        <v>017,0-0000000A00A0000000H</v>
      </c>
      <c r="U49" s="700">
        <f>COUNTIF(T$7:T$66,"&gt;="&amp;T49)</f>
        <v>43</v>
      </c>
      <c r="V49" s="700">
        <f>COUNTIF(L$7:L$66,"&gt;="&amp;L49)</f>
        <v>6</v>
      </c>
      <c r="W49" s="700" t="str">
        <f t="shared" si="7"/>
        <v>017,0-0000000A00A0000000H-006</v>
      </c>
      <c r="X49" s="700">
        <f>COUNTIF(W$7:W$66,"&gt;="&amp;W49)</f>
        <v>43</v>
      </c>
      <c r="Y49" s="701">
        <f>RANK(X49,X$7:X$66,0)</f>
        <v>18</v>
      </c>
      <c r="Z49" s="702" t="str">
        <f>IFERROR(INDEX('V1'!C$300:C$400,MATCH("*"&amp;L49&amp;"*",'V1'!B$300:B$400,0)),"  ")</f>
        <v xml:space="preserve">  </v>
      </c>
      <c r="AA49" s="702" t="str">
        <f>IFERROR(INDEX('V2'!C$300:C$400,MATCH("*"&amp;L49&amp;"*",'V2'!B$300:B$400,0)),"  ")</f>
        <v xml:space="preserve">  </v>
      </c>
      <c r="AB49" s="702">
        <f>IFERROR(INDEX('V3'!C$300:C$400,MATCH("*"&amp;L49&amp;"*",'V3'!B$300:B$400,0)),"  ")</f>
        <v>7</v>
      </c>
      <c r="AC49" s="702" t="str">
        <f>IFERROR(INDEX('V4'!C$300:C$400,MATCH("*"&amp;L49&amp;"*",'V4'!B$300:B$400,0)),"  ")</f>
        <v xml:space="preserve">  </v>
      </c>
      <c r="AD49" s="702">
        <f>IFERROR(INDEX('V5'!C$300:C$400,MATCH("*"&amp;L49&amp;"*",'V5'!B$300:B$400,0)),"  ")</f>
        <v>10</v>
      </c>
      <c r="AE49" s="702" t="str">
        <f>IFERROR(INDEX('V6'!C$300:C$400,MATCH("*"&amp;L49&amp;"*",'V6'!B$300:B$400,0)),"  ")</f>
        <v xml:space="preserve">  </v>
      </c>
      <c r="AF49" s="702" t="str">
        <f>IFERROR(INDEX('V7'!C$300:C$400,MATCH("*"&amp;L49&amp;"*",'V7'!B$300:B$400,0)),"  ")</f>
        <v xml:space="preserve">  </v>
      </c>
      <c r="AG49" s="702" t="str">
        <f>IFERROR(INDEX('V8'!C$300:C$400,MATCH("*"&amp;L49&amp;"*",'V8'!B$300:B$400,0)),"  ")</f>
        <v xml:space="preserve">  </v>
      </c>
      <c r="AH49" s="702" t="str">
        <f>IFERROR(INDEX('V9'!C$300:C$400,MATCH("*"&amp;L49&amp;"*",'V9'!B$300:B$400,0)),"  ")</f>
        <v xml:space="preserve">  </v>
      </c>
      <c r="AI49" s="702" t="str">
        <f>IFERROR(INDEX('V10'!C$300:C$400,MATCH("*"&amp;L49&amp;"*",'V10'!B$300:B$400,0)),"  ")</f>
        <v xml:space="preserve">  </v>
      </c>
      <c r="AJ49" s="702" t="str">
        <f>IFERROR(INDEX('V11'!C$300:C$400,MATCH("*"&amp;L49&amp;"*",'V11'!B$300:B$400,0)),"  ")</f>
        <v xml:space="preserve">  </v>
      </c>
      <c r="AK49" s="702" t="str">
        <f>IFERROR(INDEX('V12'!C$300:C$400,MATCH("*"&amp;L49&amp;"*",'V12'!B$300:B$400,0)),"  ")</f>
        <v xml:space="preserve">  </v>
      </c>
      <c r="AL49" s="702" t="str">
        <f>IFERROR(INDEX('V13'!C$300:C$400,MATCH("*"&amp;L49&amp;"*",'V13'!B$300:B$400,0)),"  ")</f>
        <v xml:space="preserve">  </v>
      </c>
      <c r="AM49" s="702" t="str">
        <f>IFERROR(INDEX('V14'!C$300:C$400,MATCH("*"&amp;L49&amp;"*",'V14'!B$300:B$400,0)),"  ")</f>
        <v xml:space="preserve">  </v>
      </c>
      <c r="AN49" s="702" t="str">
        <f>IFERROR(INDEX('V15'!C$300:C$400,MATCH("*"&amp;L49&amp;"*",'V15'!B$300:B$400,0)),"  ")</f>
        <v xml:space="preserve">  </v>
      </c>
      <c r="AO49" s="703">
        <f t="shared" si="10"/>
        <v>42</v>
      </c>
      <c r="AP49" s="704" t="str">
        <f>IFERROR("edasi "&amp;RANK(AO49,AO$7:AO$66,1),K49)</f>
        <v>edasi 42</v>
      </c>
      <c r="AQ49" s="705">
        <f>IFERROR(INDEX('V-fin'!A$300:A$401,MATCH("*"&amp;L49&amp;"*",'V-fin'!B$300:B$401,0)),"  ")</f>
        <v>7</v>
      </c>
      <c r="AR49" s="706">
        <f t="shared" si="8"/>
        <v>2</v>
      </c>
      <c r="AS49" s="707">
        <f>IFERROR(IF(Z49+1&gt;LARGE(Z$7:Z$66,1)-2,1),0)+IFERROR(IF(AA49+1&gt;LARGE(AA$7:AA$66,1)-2,1),0)+IFERROR(IF(AB49+1&gt;LARGE(AB$7:AB$66,1)-2,1),0)+IFERROR(IF(AC49+1&gt;LARGE(AC$7:AC$66,1)-2,1),0)+IFERROR(IF(AD49+1&gt;LARGE(AD$7:AD$66,1)-2,1),0)+IFERROR(IF(AE49+1&gt;LARGE(AE$7:AE$66,1)-2,1),0)+IFERROR(IF(AF49+1&gt;LARGE(AF$7:AF$66,1)-2,1),0)+IFERROR(IF(AG49+1&gt;LARGE(AG$7:AG$66,1)-2,1),0)+IFERROR(IF(AH49+1&gt;LARGE(AH$7:AH$66,1)-2,1),0)+IFERROR(IF(AI49+1&gt;LARGE(AI$7:AI$66,1)-2,1),0)+IFERROR(IF(AJ49+1&gt;LARGE(AJ$7:AJ$66,1)-2,1),0)+IFERROR(IF(AK49+1&gt;LARGE(AK$7:AK$66,1)-2,1),0)+IFERROR(IF(AL49+1&gt;LARGE(AL$7:AL$66,1)-2,1),0)+IFERROR(IF(AM49+1&gt;LARGE(AM$7:AM$66,1)-2,1),0)+IFERROR(IF(AN49+1&gt;LARGE(AN$7:AN$66,1)-2,1),0)</f>
        <v>0</v>
      </c>
      <c r="AT49" s="707">
        <f>IF(Z49=0,0,IF(Z49=IFERROR(LARGE(Z$7:Z$66,1),0),1,0))+IF(AA49=0,0,IF(AA49=IFERROR(LARGE(AA$7:AA$66,1),0),1,0))+IF(AB49=0,0,IF(AB49=IFERROR(LARGE(AB$7:AB$66,1),0),1,0))+IF(AC49=0,0,IF(AC49=IFERROR(LARGE(AC$7:AC$66,1),0),1,0))+IF(AD49=0,0,IF(AD49=IFERROR(LARGE(AD$7:AD$66,1),0),1,0))+IF(AE49=0,0,IF(AE49=IFERROR(LARGE(AE$7:AE$66,1),0),1,0))+IF(AF49=0,0,IF(AF49=IFERROR(LARGE(AF$7:AF$66,1),0),1,0))+IF(AG49=0,0,IF(AG49=IFERROR(LARGE(AG$7:AG$66,1),0),1,0))+IF(AH49=0,0,IF(AH49=IFERROR(LARGE(AH$7:AH$66,1),0),1,0))+IF(AI49=0,0,IF(AI49=IFERROR(LARGE(AI$7:AI$66,1),0),1,0))+IF(AJ49=0,0,IF(AJ49=IFERROR(LARGE(AJ$7:AJ$66,1),0),1,0))+IF(AK49=0,0,IF(AK49=IFERROR(LARGE(AK$7:AK$66,1),0),1,0))+IF(AL49=0,0,IF(AL49=IFERROR(LARGE(AL$7:AL$66,1),0),1,0))+IF(AM49=0,0,IF(AM49=IFERROR(LARGE(AM$7:AM$66,1),0),1,0))+IF(AN49=0,0,IF(AN49=IFERROR(LARGE(AN$7:AN$66,1),0),1,0))</f>
        <v>0</v>
      </c>
      <c r="AU49" s="629"/>
      <c r="AV49" s="708">
        <f t="shared" si="11"/>
        <v>5.9999999999999995E-4</v>
      </c>
      <c r="AW49" s="709">
        <f t="shared" si="15"/>
        <v>1E-4</v>
      </c>
      <c r="AX49" s="709">
        <f t="shared" si="15"/>
        <v>2.0000000000000001E-4</v>
      </c>
      <c r="AY49" s="709">
        <f t="shared" si="15"/>
        <v>7.0003000000000002</v>
      </c>
      <c r="AZ49" s="709">
        <f t="shared" si="15"/>
        <v>4.0000000000000002E-4</v>
      </c>
      <c r="BA49" s="709">
        <f t="shared" si="15"/>
        <v>10.000500000000001</v>
      </c>
      <c r="BB49" s="709">
        <f t="shared" si="15"/>
        <v>5.9999999999999995E-4</v>
      </c>
      <c r="BC49" s="709">
        <f t="shared" si="15"/>
        <v>6.9999999999999999E-4</v>
      </c>
      <c r="BD49" s="709">
        <f t="shared" si="15"/>
        <v>8.0000000000000004E-4</v>
      </c>
      <c r="BE49" s="709">
        <f t="shared" si="15"/>
        <v>8.9999999999999998E-4</v>
      </c>
      <c r="BF49" s="709">
        <f t="shared" si="15"/>
        <v>1E-3</v>
      </c>
      <c r="BG49" s="709">
        <f t="shared" si="15"/>
        <v>1.1000000000000001E-3</v>
      </c>
      <c r="BH49" s="709">
        <f t="shared" si="15"/>
        <v>1.1999999999999999E-3</v>
      </c>
      <c r="BI49" s="709">
        <f t="shared" si="15"/>
        <v>1.2999999999999999E-3</v>
      </c>
      <c r="BJ49" s="709">
        <f t="shared" si="15"/>
        <v>1.4E-3</v>
      </c>
      <c r="BK49" s="709">
        <f t="shared" si="15"/>
        <v>1.5E-3</v>
      </c>
      <c r="BL49" s="629"/>
    </row>
    <row r="50" spans="1:64" x14ac:dyDescent="0.2">
      <c r="A50" s="686">
        <f>IF(R50&gt;0,IF(Q50="v",RANK(B50,B$7:B$66,1)-COUNTBLANK(Q$7:Q$66),""),"")</f>
        <v>29</v>
      </c>
      <c r="B50" s="687">
        <f t="shared" si="0"/>
        <v>44</v>
      </c>
      <c r="C50" s="688"/>
      <c r="D50" s="687">
        <f t="shared" si="1"/>
        <v>-956</v>
      </c>
      <c r="E50" s="689" t="str">
        <f>IF(R50&gt;0,IF(N50="m",RANK(F50,F$7:F$66,1)-COUNTBLANK(N$7:N$66),""),"")</f>
        <v/>
      </c>
      <c r="F50" s="687">
        <f t="shared" si="2"/>
        <v>-956</v>
      </c>
      <c r="G50" s="690">
        <f>IF(R50&gt;0,IF(M50="n",RANK(H50,H$7:H$66,1)-COUNTBLANK(M$7:M$66),""),"")</f>
        <v>9</v>
      </c>
      <c r="H50" s="687">
        <f t="shared" si="3"/>
        <v>44</v>
      </c>
      <c r="I50" s="691">
        <f>IF(R50&gt;0,IF(O50="j",RANK(J50,J$7:J$66,1)-COUNTBLANK(O$7:O$66),""),"")</f>
        <v>6</v>
      </c>
      <c r="J50" s="692">
        <f t="shared" si="4"/>
        <v>44</v>
      </c>
      <c r="K50" s="654">
        <f>IF(R50&gt;0,RANK(U50,U$7:U$66,1),"")</f>
        <v>44</v>
      </c>
      <c r="L50" s="711" t="s">
        <v>306</v>
      </c>
      <c r="M50" s="694" t="s">
        <v>280</v>
      </c>
      <c r="N50" s="695" t="str">
        <f>IF(M50="","m","")</f>
        <v/>
      </c>
      <c r="O50" s="696" t="s">
        <v>287</v>
      </c>
      <c r="P50" s="697"/>
      <c r="Q50" s="698" t="s">
        <v>269</v>
      </c>
      <c r="R50" s="699">
        <f>(IF(COUNT(Z50,AA50,AB50,AC50,AD50,AE50,AF50,AG50,AH50,AI50,AJ50,AK50,AL50,AM50,AN50)&lt;11,SUM(Z50,AA50,AB50,AC50,AD50,AE50,AF50,AG50,AH50,AI50,AJ50,AK50,AL50,AM50,AN50),SUM(LARGE((Z50,AA50,AB50,AC50,AD50,AE50,AF50,AG50,AH50,AI50,AJ50,AK50,AL50,AM50,AN50),{1;2;3;4;5;6;7;8;9;10;11}))))</f>
        <v>16</v>
      </c>
      <c r="S50" s="700" t="str">
        <f>INDEX(ETAPP!B$1:B$32,MATCH(COUNTIF(Z50:AN50,PVO!A$1),ETAPP!A$1:A$32,0))&amp;INDEX(ETAPP!B$1:B$32,MATCH(COUNTIF(Z50:AN50,PVO!A$2),ETAPP!A$1:A$32,0))&amp;INDEX(ETAPP!B$1:B$32,MATCH(COUNTIF(Z50:AN50,PVO!A$3),ETAPP!A$1:A$32,0))&amp;INDEX(ETAPP!B$1:B$32,MATCH(COUNTIF(Z50:AN50,PVO!A$4),ETAPP!A$1:A$32,0))&amp;INDEX(ETAPP!B$1:B$32,MATCH(COUNTIF(Z50:AN50,PVO!A$5),ETAPP!A$1:A$32,0))&amp;INDEX(ETAPP!B$1:B$32,MATCH(COUNTIF(Z50:AN50,PVO!A$6),ETAPP!A$1:A$32,0))&amp;INDEX(ETAPP!B$1:B$32,MATCH(COUNTIF(Z50:AN50,PVO!A$7),ETAPP!A$1:A$32,0))&amp;INDEX(ETAPP!B$1:B$32,MATCH(COUNTIF(Z50:AN50,PVO!A$8),ETAPP!A$1:A$32,0))&amp;INDEX(ETAPP!B$1:B$32,MATCH(COUNTIF(Z50:AN50,PVO!A$9),ETAPP!A$1:A$32,0))&amp;INDEX(ETAPP!B$1:B$32,MATCH(COUNTIF(Z50:AN50,PVO!A$10),ETAPP!A$1:A$32,0))&amp;INDEX(ETAPP!B$1:B$32,MATCH(COUNTIF(Z50:AN50,PVO!A$11),ETAPP!A$1:A$32,0))&amp;INDEX(ETAPP!B$1:B$32,MATCH(COUNTIF(Z50:AN50,PVO!A$12),ETAPP!A$1:A$32,0))&amp;INDEX(ETAPP!B$1:B$32,MATCH(COUNTIF(Z50:AN50,PVO!A$13),ETAPP!A$1:A$32,0))&amp;INDEX(ETAPP!B$1:B$32,MATCH(COUNTIF(Z50:AN50,PVO!A$14),ETAPP!A$1:A$32,0))&amp;INDEX(ETAPP!B$1:B$32,MATCH(COUNTIF(Z50:AN50,PVO!A$15),ETAPP!A$1:A$32,0))&amp;INDEX(ETAPP!B$1:B$32,MATCH(COUNTIF(Z50:AN50,PVO!A$16),ETAPP!A$1:A$32,0))&amp;INDEX(ETAPP!B$1:B$32,MATCH(COUNTIF(Z50:AN50,PVO!A$17),ETAPP!A$1:A$32,0))&amp;INDEX(ETAPP!B$1:B$32,MATCH(COUNTIF(Z50:AN50,PVO!A$18),ETAPP!A$1:A$32,0))&amp;INDEX(ETAPP!B$1:B$32,MATCH(COUNTIF(Z50:AN50,PVO!A$19),ETAPP!A$1:A$32,0))</f>
        <v>00000000000A00C0A0E</v>
      </c>
      <c r="T50" s="700" t="str">
        <f t="shared" si="6"/>
        <v>016,0-00000000000A00C0A0E</v>
      </c>
      <c r="U50" s="700">
        <f>COUNTIF(T$7:T$66,"&gt;="&amp;T50)</f>
        <v>44</v>
      </c>
      <c r="V50" s="700">
        <f>COUNTIF(L$7:L$66,"&gt;="&amp;L50)</f>
        <v>32</v>
      </c>
      <c r="W50" s="700" t="str">
        <f t="shared" si="7"/>
        <v>016,0-00000000000A00C0A0E-032</v>
      </c>
      <c r="X50" s="700">
        <f>COUNTIF(W$7:W$66,"&gt;="&amp;W50)</f>
        <v>44</v>
      </c>
      <c r="Y50" s="701">
        <f>RANK(X50,X$7:X$66,0)</f>
        <v>17</v>
      </c>
      <c r="Z50" s="702" t="str">
        <f>IFERROR(INDEX('V1'!C$300:C$400,MATCH("*"&amp;L50&amp;"*",'V1'!B$300:B$400,0)),"  ")</f>
        <v xml:space="preserve">  </v>
      </c>
      <c r="AA50" s="702" t="str">
        <f>IFERROR(INDEX('V2'!C$300:C$400,MATCH("*"&amp;L50&amp;"*",'V2'!B$300:B$400,0)),"  ")</f>
        <v xml:space="preserve">  </v>
      </c>
      <c r="AB50" s="702" t="str">
        <f>IFERROR(INDEX('V3'!C$300:C$400,MATCH("*"&amp;L50&amp;"*",'V3'!B$300:B$400,0)),"  ")</f>
        <v xml:space="preserve">  </v>
      </c>
      <c r="AC50" s="702" t="str">
        <f>IFERROR(INDEX('V4'!C$300:C$400,MATCH("*"&amp;L50&amp;"*",'V4'!B$300:B$400,0)),"  ")</f>
        <v xml:space="preserve">  </v>
      </c>
      <c r="AD50" s="702" t="str">
        <f>IFERROR(INDEX('V5'!C$300:C$400,MATCH("*"&amp;L50&amp;"*",'V5'!B$300:B$400,0)),"  ")</f>
        <v xml:space="preserve">  </v>
      </c>
      <c r="AE50" s="702" t="str">
        <f>IFERROR(INDEX('V6'!C$300:C$400,MATCH("*"&amp;L50&amp;"*",'V6'!B$300:B$400,0)),"  ")</f>
        <v xml:space="preserve">  </v>
      </c>
      <c r="AF50" s="702" t="str">
        <f>IFERROR(INDEX('V7'!C$300:C$400,MATCH("*"&amp;L50&amp;"*",'V7'!B$300:B$400,0)),"  ")</f>
        <v xml:space="preserve">  </v>
      </c>
      <c r="AG50" s="702" t="str">
        <f>IFERROR(INDEX('V8'!C$300:C$400,MATCH("*"&amp;L50&amp;"*",'V8'!B$300:B$400,0)),"  ")</f>
        <v xml:space="preserve">  </v>
      </c>
      <c r="AH50" s="702">
        <f>IFERROR(INDEX('V9'!C$300:C$400,MATCH("*"&amp;L50&amp;"*",'V9'!B$300:B$400,0)),"  ")</f>
        <v>6</v>
      </c>
      <c r="AI50" s="702">
        <f>IFERROR(INDEX('V10'!C$300:C$400,MATCH("*"&amp;L50&amp;"*",'V10'!B$300:B$400,0)),"  ")</f>
        <v>3</v>
      </c>
      <c r="AJ50" s="702">
        <f>IFERROR(INDEX('V11'!C$300:C$400,MATCH("*"&amp;L50&amp;"*",'V11'!B$300:B$400,0)),"  ")</f>
        <v>3</v>
      </c>
      <c r="AK50" s="702">
        <f>IFERROR(INDEX('V12'!C$300:C$400,MATCH("*"&amp;L50&amp;"*",'V12'!B$300:B$400,0)),"  ")</f>
        <v>3</v>
      </c>
      <c r="AL50" s="702" t="str">
        <f>IFERROR(INDEX('V13'!C$300:C$400,MATCH("*"&amp;L50&amp;"*",'V13'!B$300:B$400,0)),"  ")</f>
        <v xml:space="preserve">  </v>
      </c>
      <c r="AM50" s="702">
        <f>IFERROR(INDEX('V14'!C$300:C$400,MATCH("*"&amp;L50&amp;"*",'V14'!B$300:B$400,0)),"  ")</f>
        <v>1</v>
      </c>
      <c r="AN50" s="702" t="str">
        <f>IFERROR(INDEX('V15'!C$300:C$400,MATCH("*"&amp;L50&amp;"*",'V15'!B$300:B$400,0)),"  ")</f>
        <v xml:space="preserve">  </v>
      </c>
      <c r="AO50" s="703">
        <f t="shared" si="10"/>
        <v>44</v>
      </c>
      <c r="AP50" s="704" t="str">
        <f>IFERROR("edasi "&amp;RANK(AO50,AO$7:AO$66,1),K50)</f>
        <v>edasi 44</v>
      </c>
      <c r="AQ50" s="705" t="str">
        <f>IFERROR(INDEX('V-fin'!A$300:A$401,MATCH("*"&amp;L50&amp;"*",'V-fin'!B$300:B$401,0)),"  ")</f>
        <v xml:space="preserve">  </v>
      </c>
      <c r="AR50" s="706">
        <f t="shared" si="8"/>
        <v>5</v>
      </c>
      <c r="AS50" s="707">
        <f>IFERROR(IF(Z50+1&gt;LARGE(Z$7:Z$66,1)-2,1),0)+IFERROR(IF(AA50+1&gt;LARGE(AA$7:AA$66,1)-2,1),0)+IFERROR(IF(AB50+1&gt;LARGE(AB$7:AB$66,1)-2,1),0)+IFERROR(IF(AC50+1&gt;LARGE(AC$7:AC$66,1)-2,1),0)+IFERROR(IF(AD50+1&gt;LARGE(AD$7:AD$66,1)-2,1),0)+IFERROR(IF(AE50+1&gt;LARGE(AE$7:AE$66,1)-2,1),0)+IFERROR(IF(AF50+1&gt;LARGE(AF$7:AF$66,1)-2,1),0)+IFERROR(IF(AG50+1&gt;LARGE(AG$7:AG$66,1)-2,1),0)+IFERROR(IF(AH50+1&gt;LARGE(AH$7:AH$66,1)-2,1),0)+IFERROR(IF(AI50+1&gt;LARGE(AI$7:AI$66,1)-2,1),0)+IFERROR(IF(AJ50+1&gt;LARGE(AJ$7:AJ$66,1)-2,1),0)+IFERROR(IF(AK50+1&gt;LARGE(AK$7:AK$66,1)-2,1),0)+IFERROR(IF(AL50+1&gt;LARGE(AL$7:AL$66,1)-2,1),0)+IFERROR(IF(AM50+1&gt;LARGE(AM$7:AM$66,1)-2,1),0)+IFERROR(IF(AN50+1&gt;LARGE(AN$7:AN$66,1)-2,1),0)</f>
        <v>0</v>
      </c>
      <c r="AT50" s="707">
        <f>IF(Z50=0,0,IF(Z50=IFERROR(LARGE(Z$7:Z$66,1),0),1,0))+IF(AA50=0,0,IF(AA50=IFERROR(LARGE(AA$7:AA$66,1),0),1,0))+IF(AB50=0,0,IF(AB50=IFERROR(LARGE(AB$7:AB$66,1),0),1,0))+IF(AC50=0,0,IF(AC50=IFERROR(LARGE(AC$7:AC$66,1),0),1,0))+IF(AD50=0,0,IF(AD50=IFERROR(LARGE(AD$7:AD$66,1),0),1,0))+IF(AE50=0,0,IF(AE50=IFERROR(LARGE(AE$7:AE$66,1),0),1,0))+IF(AF50=0,0,IF(AF50=IFERROR(LARGE(AF$7:AF$66,1),0),1,0))+IF(AG50=0,0,IF(AG50=IFERROR(LARGE(AG$7:AG$66,1),0),1,0))+IF(AH50=0,0,IF(AH50=IFERROR(LARGE(AH$7:AH$66,1),0),1,0))+IF(AI50=0,0,IF(AI50=IFERROR(LARGE(AI$7:AI$66,1),0),1,0))+IF(AJ50=0,0,IF(AJ50=IFERROR(LARGE(AJ$7:AJ$66,1),0),1,0))+IF(AK50=0,0,IF(AK50=IFERROR(LARGE(AK$7:AK$66,1),0),1,0))+IF(AL50=0,0,IF(AL50=IFERROR(LARGE(AL$7:AL$66,1),0),1,0))+IF(AM50=0,0,IF(AM50=IFERROR(LARGE(AM$7:AM$66,1),0),1,0))+IF(AN50=0,0,IF(AN50=IFERROR(LARGE(AN$7:AN$66,1),0),1,0))</f>
        <v>0</v>
      </c>
      <c r="AU50" s="629"/>
      <c r="AV50" s="708">
        <f t="shared" si="11"/>
        <v>4.0000000000000002E-4</v>
      </c>
      <c r="AW50" s="709">
        <f t="shared" si="15"/>
        <v>1E-4</v>
      </c>
      <c r="AX50" s="709">
        <f t="shared" si="15"/>
        <v>2.0000000000000001E-4</v>
      </c>
      <c r="AY50" s="709">
        <f t="shared" si="15"/>
        <v>2.9999999999999997E-4</v>
      </c>
      <c r="AZ50" s="709">
        <f t="shared" si="15"/>
        <v>4.0000000000000002E-4</v>
      </c>
      <c r="BA50" s="709">
        <f t="shared" si="15"/>
        <v>5.0000000000000001E-4</v>
      </c>
      <c r="BB50" s="709">
        <f t="shared" si="15"/>
        <v>5.9999999999999995E-4</v>
      </c>
      <c r="BC50" s="709">
        <f t="shared" si="15"/>
        <v>6.9999999999999999E-4</v>
      </c>
      <c r="BD50" s="709">
        <f t="shared" si="15"/>
        <v>8.0000000000000004E-4</v>
      </c>
      <c r="BE50" s="709">
        <f t="shared" si="15"/>
        <v>6.0008999999999997</v>
      </c>
      <c r="BF50" s="709">
        <f t="shared" si="15"/>
        <v>3.0009999999999999</v>
      </c>
      <c r="BG50" s="709">
        <f t="shared" si="15"/>
        <v>3.0011000000000001</v>
      </c>
      <c r="BH50" s="709">
        <f t="shared" si="15"/>
        <v>3.0011999999999999</v>
      </c>
      <c r="BI50" s="709">
        <f t="shared" si="15"/>
        <v>1.2999999999999999E-3</v>
      </c>
      <c r="BJ50" s="709">
        <f t="shared" si="15"/>
        <v>1.0014000000000001</v>
      </c>
      <c r="BK50" s="709">
        <f t="shared" si="15"/>
        <v>1.5E-3</v>
      </c>
      <c r="BL50" s="629"/>
    </row>
    <row r="51" spans="1:64" x14ac:dyDescent="0.2">
      <c r="A51" s="686">
        <f>IF(R51&gt;0,IF(Q51="v",RANK(B51,B$7:B$66,1)-COUNTBLANK(Q$7:Q$66),""),"")</f>
        <v>30</v>
      </c>
      <c r="B51" s="687">
        <f t="shared" si="0"/>
        <v>45</v>
      </c>
      <c r="C51" s="688" t="str">
        <f>IF(R51&gt;0,IF(P51="k",RANK(D51,D$7:D$66,1)-COUNTBLANK(P$7:P$66),""),"")</f>
        <v/>
      </c>
      <c r="D51" s="687">
        <f t="shared" si="1"/>
        <v>-955</v>
      </c>
      <c r="E51" s="689" t="str">
        <f>IF(R51&gt;0,IF(N51="m",RANK(F51,F$7:F$66,1)-COUNTBLANK(N$7:N$66),""),"")</f>
        <v/>
      </c>
      <c r="F51" s="687">
        <f t="shared" si="2"/>
        <v>-955</v>
      </c>
      <c r="G51" s="690">
        <f>IF(R51&gt;0,IF(M51="n",RANK(H51,H$7:H$66,1)-COUNTBLANK(M$7:M$66),""),"")</f>
        <v>10</v>
      </c>
      <c r="H51" s="687">
        <f t="shared" si="3"/>
        <v>45</v>
      </c>
      <c r="I51" s="691" t="str">
        <f>IF(R51&gt;0,IF(O51="j",RANK(J51,J$7:J$66,1)-COUNTBLANK(O$7:O$66),""),"")</f>
        <v/>
      </c>
      <c r="J51" s="692">
        <f t="shared" si="4"/>
        <v>-955</v>
      </c>
      <c r="K51" s="654">
        <f>IF(R51&gt;0,RANK(U51,U$7:U$66,1),"")</f>
        <v>45</v>
      </c>
      <c r="L51" s="711" t="s">
        <v>307</v>
      </c>
      <c r="M51" s="694" t="s">
        <v>280</v>
      </c>
      <c r="N51" s="695"/>
      <c r="O51" s="696"/>
      <c r="P51" s="697"/>
      <c r="Q51" s="698" t="s">
        <v>269</v>
      </c>
      <c r="R51" s="699">
        <f>(IF(COUNT(Z51,AA51,AB51,AC51,AD51,AE51,AF51,AG51,AH51,AI51,AJ51,AK51,AL51,AM51,AN51)&lt;11,SUM(Z51,AA51,AB51,AC51,AD51,AE51,AF51,AG51,AH51,AI51,AJ51,AK51,AL51,AM51,AN51),SUM(LARGE((Z51,AA51,AB51,AC51,AD51,AE51,AF51,AG51,AH51,AI51,AJ51,AK51,AL51,AM51,AN51),{1;2;3;4;5;6;7;8;9;10;11}))))</f>
        <v>15.5</v>
      </c>
      <c r="S51" s="700" t="str">
        <f>INDEX(ETAPP!B$1:B$32,MATCH(COUNTIF(Z51:AN51,PVO!A$1),ETAPP!A$1:A$32,0))&amp;INDEX(ETAPP!B$1:B$32,MATCH(COUNTIF(Z51:AN51,PVO!A$2),ETAPP!A$1:A$32,0))&amp;INDEX(ETAPP!B$1:B$32,MATCH(COUNTIF(Z51:AN51,PVO!A$3),ETAPP!A$1:A$32,0))&amp;INDEX(ETAPP!B$1:B$32,MATCH(COUNTIF(Z51:AN51,PVO!A$4),ETAPP!A$1:A$32,0))&amp;INDEX(ETAPP!B$1:B$32,MATCH(COUNTIF(Z51:AN51,PVO!A$5),ETAPP!A$1:A$32,0))&amp;INDEX(ETAPP!B$1:B$32,MATCH(COUNTIF(Z51:AN51,PVO!A$6),ETAPP!A$1:A$32,0))&amp;INDEX(ETAPP!B$1:B$32,MATCH(COUNTIF(Z51:AN51,PVO!A$7),ETAPP!A$1:A$32,0))&amp;INDEX(ETAPP!B$1:B$32,MATCH(COUNTIF(Z51:AN51,PVO!A$8),ETAPP!A$1:A$32,0))&amp;INDEX(ETAPP!B$1:B$32,MATCH(COUNTIF(Z51:AN51,PVO!A$9),ETAPP!A$1:A$32,0))&amp;INDEX(ETAPP!B$1:B$32,MATCH(COUNTIF(Z51:AN51,PVO!A$10),ETAPP!A$1:A$32,0))&amp;INDEX(ETAPP!B$1:B$32,MATCH(COUNTIF(Z51:AN51,PVO!A$11),ETAPP!A$1:A$32,0))&amp;INDEX(ETAPP!B$1:B$32,MATCH(COUNTIF(Z51:AN51,PVO!A$12),ETAPP!A$1:A$32,0))&amp;INDEX(ETAPP!B$1:B$32,MATCH(COUNTIF(Z51:AN51,PVO!A$13),ETAPP!A$1:A$32,0))&amp;INDEX(ETAPP!B$1:B$32,MATCH(COUNTIF(Z51:AN51,PVO!A$14),ETAPP!A$1:A$32,0))&amp;INDEX(ETAPP!B$1:B$32,MATCH(COUNTIF(Z51:AN51,PVO!A$15),ETAPP!A$1:A$32,0))&amp;INDEX(ETAPP!B$1:B$32,MATCH(COUNTIF(Z51:AN51,PVO!A$16),ETAPP!A$1:A$32,0))&amp;INDEX(ETAPP!B$1:B$32,MATCH(COUNTIF(Z51:AN51,PVO!A$17),ETAPP!A$1:A$32,0))&amp;INDEX(ETAPP!B$1:B$32,MATCH(COUNTIF(Z51:AN51,PVO!A$18),ETAPP!A$1:A$32,0))&amp;INDEX(ETAPP!B$1:B$32,MATCH(COUNTIF(Z51:AN51,PVO!A$19),ETAPP!A$1:A$32,0))</f>
        <v>000000000A00000000H</v>
      </c>
      <c r="T51" s="700" t="str">
        <f t="shared" si="6"/>
        <v>015,5-000000000A00000000H</v>
      </c>
      <c r="U51" s="700">
        <f>COUNTIF(T$7:T$66,"&gt;="&amp;T51)</f>
        <v>45</v>
      </c>
      <c r="V51" s="700">
        <f>COUNTIF(L$7:L$66,"&gt;="&amp;L51)</f>
        <v>24</v>
      </c>
      <c r="W51" s="700" t="str">
        <f t="shared" si="7"/>
        <v>015,5-000000000A00000000H-024</v>
      </c>
      <c r="X51" s="700">
        <f>COUNTIF(W$7:W$66,"&gt;="&amp;W51)</f>
        <v>45</v>
      </c>
      <c r="Y51" s="701">
        <f>RANK(X51,X$7:X$66,0)</f>
        <v>16</v>
      </c>
      <c r="Z51" s="702" t="str">
        <f>IFERROR(INDEX('V1'!C$300:C$400,MATCH("*"&amp;L51&amp;"*",'V1'!B$300:B$400,0)),"  ")</f>
        <v xml:space="preserve">  </v>
      </c>
      <c r="AA51" s="702">
        <f>IFERROR(INDEX('V2'!C$300:C$400,MATCH("*"&amp;L51&amp;"*",'V2'!B$300:B$400,0)),"  ")</f>
        <v>8</v>
      </c>
      <c r="AB51" s="702" t="str">
        <f>IFERROR(INDEX('V3'!C$300:C$400,MATCH("*"&amp;L51&amp;"*",'V3'!B$300:B$400,0)),"  ")</f>
        <v xml:space="preserve">  </v>
      </c>
      <c r="AC51" s="702" t="str">
        <f>IFERROR(INDEX('V4'!C$300:C$400,MATCH("*"&amp;L51&amp;"*",'V4'!B$300:B$400,0)),"  ")</f>
        <v xml:space="preserve">  </v>
      </c>
      <c r="AD51" s="702" t="str">
        <f>IFERROR(INDEX('V5'!C$300:C$400,MATCH("*"&amp;L51&amp;"*",'V5'!B$300:B$400,0)),"  ")</f>
        <v xml:space="preserve">  </v>
      </c>
      <c r="AE51" s="702" t="str">
        <f>IFERROR(INDEX('V6'!C$300:C$400,MATCH("*"&amp;L51&amp;"*",'V6'!B$300:B$400,0)),"  ")</f>
        <v xml:space="preserve">  </v>
      </c>
      <c r="AF51" s="702" t="str">
        <f>IFERROR(INDEX('V7'!C$300:C$400,MATCH("*"&amp;L51&amp;"*",'V7'!B$300:B$400,0)),"  ")</f>
        <v xml:space="preserve">  </v>
      </c>
      <c r="AG51" s="702">
        <f>IFERROR(INDEX('V8'!C$300:C$400,MATCH("*"&amp;L51&amp;"*",'V8'!B$300:B$400,0)),"  ")</f>
        <v>7.5</v>
      </c>
      <c r="AH51" s="702" t="str">
        <f>IFERROR(INDEX('V9'!C$300:C$400,MATCH("*"&amp;L51&amp;"*",'V9'!B$300:B$400,0)),"  ")</f>
        <v xml:space="preserve">  </v>
      </c>
      <c r="AI51" s="702" t="str">
        <f>IFERROR(INDEX('V10'!C$300:C$400,MATCH("*"&amp;L51&amp;"*",'V10'!B$300:B$400,0)),"  ")</f>
        <v xml:space="preserve">  </v>
      </c>
      <c r="AJ51" s="702" t="str">
        <f>IFERROR(INDEX('V11'!C$300:C$400,MATCH("*"&amp;L51&amp;"*",'V11'!B$300:B$400,0)),"  ")</f>
        <v xml:space="preserve">  </v>
      </c>
      <c r="AK51" s="702" t="str">
        <f>IFERROR(INDEX('V12'!C$300:C$400,MATCH("*"&amp;L51&amp;"*",'V12'!B$300:B$400,0)),"  ")</f>
        <v xml:space="preserve">  </v>
      </c>
      <c r="AL51" s="702" t="str">
        <f>IFERROR(INDEX('V13'!C$300:C$400,MATCH("*"&amp;L51&amp;"*",'V13'!B$300:B$400,0)),"  ")</f>
        <v xml:space="preserve">  </v>
      </c>
      <c r="AM51" s="702" t="str">
        <f>IFERROR(INDEX('V14'!C$300:C$400,MATCH("*"&amp;L51&amp;"*",'V14'!B$300:B$400,0)),"  ")</f>
        <v xml:space="preserve">  </v>
      </c>
      <c r="AN51" s="702" t="str">
        <f>IFERROR(INDEX('V15'!C$300:C$400,MATCH("*"&amp;L51&amp;"*",'V15'!B$300:B$400,0)),"  ")</f>
        <v xml:space="preserve">  </v>
      </c>
      <c r="AO51" s="703">
        <f t="shared" si="10"/>
        <v>45</v>
      </c>
      <c r="AP51" s="704" t="str">
        <f>IFERROR("edasi "&amp;RANK(AO51,AO$7:AO$66,1),K51)</f>
        <v>edasi 45</v>
      </c>
      <c r="AQ51" s="705" t="str">
        <f>IFERROR(INDEX('V-fin'!A$300:A$401,MATCH("*"&amp;L51&amp;"*",'V-fin'!B$300:B$401,0)),"  ")</f>
        <v xml:space="preserve">  </v>
      </c>
      <c r="AR51" s="706">
        <f t="shared" si="8"/>
        <v>2</v>
      </c>
      <c r="AS51" s="707">
        <f>IFERROR(IF(Z51+1&gt;LARGE(Z$7:Z$66,1)-2,1),0)+IFERROR(IF(AA51+1&gt;LARGE(AA$7:AA$66,1)-2,1),0)+IFERROR(IF(AB51+1&gt;LARGE(AB$7:AB$66,1)-2,1),0)+IFERROR(IF(AC51+1&gt;LARGE(AC$7:AC$66,1)-2,1),0)+IFERROR(IF(AD51+1&gt;LARGE(AD$7:AD$66,1)-2,1),0)+IFERROR(IF(AE51+1&gt;LARGE(AE$7:AE$66,1)-2,1),0)+IFERROR(IF(AF51+1&gt;LARGE(AF$7:AF$66,1)-2,1),0)+IFERROR(IF(AG51+1&gt;LARGE(AG$7:AG$66,1)-2,1),0)+IFERROR(IF(AH51+1&gt;LARGE(AH$7:AH$66,1)-2,1),0)+IFERROR(IF(AI51+1&gt;LARGE(AI$7:AI$66,1)-2,1),0)+IFERROR(IF(AJ51+1&gt;LARGE(AJ$7:AJ$66,1)-2,1),0)+IFERROR(IF(AK51+1&gt;LARGE(AK$7:AK$66,1)-2,1),0)+IFERROR(IF(AL51+1&gt;LARGE(AL$7:AL$66,1)-2,1),0)+IFERROR(IF(AM51+1&gt;LARGE(AM$7:AM$66,1)-2,1),0)+IFERROR(IF(AN51+1&gt;LARGE(AN$7:AN$66,1)-2,1),0)</f>
        <v>0</v>
      </c>
      <c r="AT51" s="707">
        <f>IF(Z51=0,0,IF(Z51=IFERROR(LARGE(Z$7:Z$66,1),0),1,0))+IF(AA51=0,0,IF(AA51=IFERROR(LARGE(AA$7:AA$66,1),0),1,0))+IF(AB51=0,0,IF(AB51=IFERROR(LARGE(AB$7:AB$66,1),0),1,0))+IF(AC51=0,0,IF(AC51=IFERROR(LARGE(AC$7:AC$66,1),0),1,0))+IF(AD51=0,0,IF(AD51=IFERROR(LARGE(AD$7:AD$66,1),0),1,0))+IF(AE51=0,0,IF(AE51=IFERROR(LARGE(AE$7:AE$66,1),0),1,0))+IF(AF51=0,0,IF(AF51=IFERROR(LARGE(AF$7:AF$66,1),0),1,0))+IF(AG51=0,0,IF(AG51=IFERROR(LARGE(AG$7:AG$66,1),0),1,0))+IF(AH51=0,0,IF(AH51=IFERROR(LARGE(AH$7:AH$66,1),0),1,0))+IF(AI51=0,0,IF(AI51=IFERROR(LARGE(AI$7:AI$66,1),0),1,0))+IF(AJ51=0,0,IF(AJ51=IFERROR(LARGE(AJ$7:AJ$66,1),0),1,0))+IF(AK51=0,0,IF(AK51=IFERROR(LARGE(AK$7:AK$66,1),0),1,0))+IF(AL51=0,0,IF(AL51=IFERROR(LARGE(AL$7:AL$66,1),0),1,0))+IF(AM51=0,0,IF(AM51=IFERROR(LARGE(AM$7:AM$66,1),0),1,0))+IF(AN51=0,0,IF(AN51=IFERROR(LARGE(AN$7:AN$66,1),0),1,0))</f>
        <v>0</v>
      </c>
      <c r="AU51" s="629"/>
      <c r="AV51" s="708">
        <f t="shared" si="11"/>
        <v>5.0000000000000001E-4</v>
      </c>
      <c r="AW51" s="709">
        <f t="shared" si="15"/>
        <v>1E-4</v>
      </c>
      <c r="AX51" s="709">
        <f t="shared" si="15"/>
        <v>8.0001999999999995</v>
      </c>
      <c r="AY51" s="709">
        <f t="shared" si="15"/>
        <v>2.9999999999999997E-4</v>
      </c>
      <c r="AZ51" s="709">
        <f t="shared" si="15"/>
        <v>4.0000000000000002E-4</v>
      </c>
      <c r="BA51" s="709">
        <f t="shared" si="15"/>
        <v>5.0000000000000001E-4</v>
      </c>
      <c r="BB51" s="709">
        <f t="shared" si="15"/>
        <v>5.9999999999999995E-4</v>
      </c>
      <c r="BC51" s="709">
        <f t="shared" si="15"/>
        <v>6.9999999999999999E-4</v>
      </c>
      <c r="BD51" s="709">
        <f t="shared" si="15"/>
        <v>7.5007999999999999</v>
      </c>
      <c r="BE51" s="709">
        <f t="shared" si="15"/>
        <v>8.9999999999999998E-4</v>
      </c>
      <c r="BF51" s="709">
        <f t="shared" si="15"/>
        <v>1E-3</v>
      </c>
      <c r="BG51" s="709">
        <f t="shared" si="15"/>
        <v>1.1000000000000001E-3</v>
      </c>
      <c r="BH51" s="709">
        <f t="shared" si="15"/>
        <v>1.1999999999999999E-3</v>
      </c>
      <c r="BI51" s="709">
        <f t="shared" si="15"/>
        <v>1.2999999999999999E-3</v>
      </c>
      <c r="BJ51" s="709">
        <f t="shared" si="15"/>
        <v>1.4E-3</v>
      </c>
      <c r="BK51" s="709">
        <f t="shared" si="15"/>
        <v>1.5E-3</v>
      </c>
      <c r="BL51" s="629"/>
    </row>
    <row r="52" spans="1:64" x14ac:dyDescent="0.2">
      <c r="A52" s="686">
        <f>IF(R52&gt;0,IF(Q52="v",RANK(B52,B$7:B$66,1)-COUNTBLANK(Q$7:Q$66),""),"")</f>
        <v>31</v>
      </c>
      <c r="B52" s="687">
        <f t="shared" si="0"/>
        <v>46</v>
      </c>
      <c r="C52" s="688"/>
      <c r="D52" s="687">
        <f t="shared" si="1"/>
        <v>-954</v>
      </c>
      <c r="E52" s="689" t="str">
        <f>IF(R52&gt;0,IF(N52="m",RANK(F52,F$7:F$66,1)-COUNTBLANK(N$7:N$66),""),"")</f>
        <v/>
      </c>
      <c r="F52" s="687">
        <f t="shared" si="2"/>
        <v>-954</v>
      </c>
      <c r="G52" s="690">
        <f>IF(R52&gt;0,IF(M52="n",RANK(H52,H$7:H$66,1)-COUNTBLANK(M$7:M$66),""),"")</f>
        <v>11</v>
      </c>
      <c r="H52" s="687">
        <f t="shared" si="3"/>
        <v>46</v>
      </c>
      <c r="I52" s="691">
        <f>IF(R52&gt;0,IF(O52="j",RANK(J52,J$7:J$66,1)-COUNTBLANK(O$7:O$66),""),"")</f>
        <v>7</v>
      </c>
      <c r="J52" s="692">
        <f t="shared" si="4"/>
        <v>46</v>
      </c>
      <c r="K52" s="654">
        <f>IF(R52&gt;0,RANK(U52,U$7:U$66,1),"")</f>
        <v>46</v>
      </c>
      <c r="L52" s="711" t="s">
        <v>308</v>
      </c>
      <c r="M52" s="694" t="s">
        <v>280</v>
      </c>
      <c r="N52" s="695" t="str">
        <f>IF(M52="","m","")</f>
        <v/>
      </c>
      <c r="O52" s="696" t="s">
        <v>287</v>
      </c>
      <c r="P52" s="697"/>
      <c r="Q52" s="698" t="s">
        <v>269</v>
      </c>
      <c r="R52" s="699">
        <f>(IF(COUNT(Z52,AA52,AB52,AC52,AD52,AE52,AF52,AG52,AH52,AI52,AJ52,AK52,AL52,AM52,AN52)&lt;11,SUM(Z52,AA52,AB52,AC52,AD52,AE52,AF52,AG52,AH52,AI52,AJ52,AK52,AL52,AM52,AN52),SUM(LARGE((Z52,AA52,AB52,AC52,AD52,AE52,AF52,AG52,AH52,AI52,AJ52,AK52,AL52,AM52,AN52),{1;2;3;4;5;6;7;8;9;10;11}))))</f>
        <v>15</v>
      </c>
      <c r="S52" s="700" t="str">
        <f>INDEX(ETAPP!B$1:B$32,MATCH(COUNTIF(Z52:AN52,PVO!A$1),ETAPP!A$1:A$32,0))&amp;INDEX(ETAPP!B$1:B$32,MATCH(COUNTIF(Z52:AN52,PVO!A$2),ETAPP!A$1:A$32,0))&amp;INDEX(ETAPP!B$1:B$32,MATCH(COUNTIF(Z52:AN52,PVO!A$3),ETAPP!A$1:A$32,0))&amp;INDEX(ETAPP!B$1:B$32,MATCH(COUNTIF(Z52:AN52,PVO!A$4),ETAPP!A$1:A$32,0))&amp;INDEX(ETAPP!B$1:B$32,MATCH(COUNTIF(Z52:AN52,PVO!A$5),ETAPP!A$1:A$32,0))&amp;INDEX(ETAPP!B$1:B$32,MATCH(COUNTIF(Z52:AN52,PVO!A$6),ETAPP!A$1:A$32,0))&amp;INDEX(ETAPP!B$1:B$32,MATCH(COUNTIF(Z52:AN52,PVO!A$7),ETAPP!A$1:A$32,0))&amp;INDEX(ETAPP!B$1:B$32,MATCH(COUNTIF(Z52:AN52,PVO!A$8),ETAPP!A$1:A$32,0))&amp;INDEX(ETAPP!B$1:B$32,MATCH(COUNTIF(Z52:AN52,PVO!A$9),ETAPP!A$1:A$32,0))&amp;INDEX(ETAPP!B$1:B$32,MATCH(COUNTIF(Z52:AN52,PVO!A$10),ETAPP!A$1:A$32,0))&amp;INDEX(ETAPP!B$1:B$32,MATCH(COUNTIF(Z52:AN52,PVO!A$11),ETAPP!A$1:A$32,0))&amp;INDEX(ETAPP!B$1:B$32,MATCH(COUNTIF(Z52:AN52,PVO!A$12),ETAPP!A$1:A$32,0))&amp;INDEX(ETAPP!B$1:B$32,MATCH(COUNTIF(Z52:AN52,PVO!A$13),ETAPP!A$1:A$32,0))&amp;INDEX(ETAPP!B$1:B$32,MATCH(COUNTIF(Z52:AN52,PVO!A$14),ETAPP!A$1:A$32,0))&amp;INDEX(ETAPP!B$1:B$32,MATCH(COUNTIF(Z52:AN52,PVO!A$15),ETAPP!A$1:A$32,0))&amp;INDEX(ETAPP!B$1:B$32,MATCH(COUNTIF(Z52:AN52,PVO!A$16),ETAPP!A$1:A$32,0))&amp;INDEX(ETAPP!B$1:B$32,MATCH(COUNTIF(Z52:AN52,PVO!A$17),ETAPP!A$1:A$32,0))&amp;INDEX(ETAPP!B$1:B$32,MATCH(COUNTIF(Z52:AN52,PVO!A$18),ETAPP!A$1:A$32,0))&amp;INDEX(ETAPP!B$1:B$32,MATCH(COUNTIF(Z52:AN52,PVO!A$19),ETAPP!A$1:A$32,0))</f>
        <v>00000000000A00BAA0E</v>
      </c>
      <c r="T52" s="700" t="str">
        <f t="shared" si="6"/>
        <v>015,0-00000000000A00BAA0E</v>
      </c>
      <c r="U52" s="700">
        <f>COUNTIF(T$7:T$66,"&gt;="&amp;T52)</f>
        <v>46</v>
      </c>
      <c r="V52" s="700">
        <f>COUNTIF(L$7:L$66,"&gt;="&amp;L52)</f>
        <v>4</v>
      </c>
      <c r="W52" s="700" t="str">
        <f t="shared" si="7"/>
        <v>015,0-00000000000A00BAA0E-004</v>
      </c>
      <c r="X52" s="700">
        <f>COUNTIF(W$7:W$66,"&gt;="&amp;W52)</f>
        <v>46</v>
      </c>
      <c r="Y52" s="701">
        <f>RANK(X52,X$7:X$66,0)</f>
        <v>15</v>
      </c>
      <c r="Z52" s="702" t="str">
        <f>IFERROR(INDEX('V1'!C$300:C$400,MATCH("*"&amp;L52&amp;"*",'V1'!B$300:B$400,0)),"  ")</f>
        <v xml:space="preserve">  </v>
      </c>
      <c r="AA52" s="702" t="str">
        <f>IFERROR(INDEX('V2'!C$300:C$400,MATCH("*"&amp;L52&amp;"*",'V2'!B$300:B$400,0)),"  ")</f>
        <v xml:space="preserve">  </v>
      </c>
      <c r="AB52" s="702" t="str">
        <f>IFERROR(INDEX('V3'!C$300:C$400,MATCH("*"&amp;L52&amp;"*",'V3'!B$300:B$400,0)),"  ")</f>
        <v xml:space="preserve">  </v>
      </c>
      <c r="AC52" s="702" t="str">
        <f>IFERROR(INDEX('V4'!C$300:C$400,MATCH("*"&amp;L52&amp;"*",'V4'!B$300:B$400,0)),"  ")</f>
        <v xml:space="preserve">  </v>
      </c>
      <c r="AD52" s="702" t="str">
        <f>IFERROR(INDEX('V5'!C$300:C$400,MATCH("*"&amp;L52&amp;"*",'V5'!B$300:B$400,0)),"  ")</f>
        <v xml:space="preserve">  </v>
      </c>
      <c r="AE52" s="702" t="str">
        <f>IFERROR(INDEX('V6'!C$300:C$400,MATCH("*"&amp;L52&amp;"*",'V6'!B$300:B$400,0)),"  ")</f>
        <v xml:space="preserve">  </v>
      </c>
      <c r="AF52" s="702" t="str">
        <f>IFERROR(INDEX('V7'!C$300:C$400,MATCH("*"&amp;L52&amp;"*",'V7'!B$300:B$400,0)),"  ")</f>
        <v xml:space="preserve">  </v>
      </c>
      <c r="AG52" s="702" t="str">
        <f>IFERROR(INDEX('V8'!C$300:C$400,MATCH("*"&amp;L52&amp;"*",'V8'!B$300:B$400,0)),"  ")</f>
        <v xml:space="preserve">  </v>
      </c>
      <c r="AH52" s="702">
        <f>IFERROR(INDEX('V9'!C$300:C$400,MATCH("*"&amp;L52&amp;"*",'V9'!B$300:B$400,0)),"  ")</f>
        <v>6</v>
      </c>
      <c r="AI52" s="702" t="str">
        <f>IFERROR(INDEX('V10'!C$300:C$400,MATCH("*"&amp;L52&amp;"*",'V10'!B$300:B$400,0)),"  ")</f>
        <v xml:space="preserve">  </v>
      </c>
      <c r="AJ52" s="702">
        <f>IFERROR(INDEX('V11'!C$300:C$400,MATCH("*"&amp;L52&amp;"*",'V11'!B$300:B$400,0)),"  ")</f>
        <v>3</v>
      </c>
      <c r="AK52" s="702">
        <f>IFERROR(INDEX('V12'!C$300:C$400,MATCH("*"&amp;L52&amp;"*",'V12'!B$300:B$400,0)),"  ")</f>
        <v>3</v>
      </c>
      <c r="AL52" s="702" t="str">
        <f>IFERROR(INDEX('V13'!C$300:C$400,MATCH("*"&amp;L52&amp;"*",'V13'!B$300:B$400,0)),"  ")</f>
        <v xml:space="preserve">  </v>
      </c>
      <c r="AM52" s="702">
        <f>IFERROR(INDEX('V14'!C$300:C$400,MATCH("*"&amp;L52&amp;"*",'V14'!B$300:B$400,0)),"  ")</f>
        <v>1</v>
      </c>
      <c r="AN52" s="702">
        <f>IFERROR(INDEX('V15'!C$300:C$400,MATCH("*"&amp;L52&amp;"*",'V15'!B$300:B$400,0)),"  ")</f>
        <v>2</v>
      </c>
      <c r="AO52" s="703">
        <f t="shared" si="10"/>
        <v>46</v>
      </c>
      <c r="AP52" s="704" t="str">
        <f>IFERROR("edasi "&amp;RANK(AO52,AO$7:AO$66,1),K52)</f>
        <v>edasi 46</v>
      </c>
      <c r="AQ52" s="705" t="str">
        <f>IFERROR(INDEX('V-fin'!A$300:A$401,MATCH("*"&amp;L52&amp;"*",'V-fin'!B$300:B$401,0)),"  ")</f>
        <v xml:space="preserve">  </v>
      </c>
      <c r="AR52" s="706">
        <f t="shared" si="8"/>
        <v>5</v>
      </c>
      <c r="AS52" s="707">
        <f>IFERROR(IF(Z52+1&gt;LARGE(Z$7:Z$66,1)-2,1),0)+IFERROR(IF(AA52+1&gt;LARGE(AA$7:AA$66,1)-2,1),0)+IFERROR(IF(AB52+1&gt;LARGE(AB$7:AB$66,1)-2,1),0)+IFERROR(IF(AC52+1&gt;LARGE(AC$7:AC$66,1)-2,1),0)+IFERROR(IF(AD52+1&gt;LARGE(AD$7:AD$66,1)-2,1),0)+IFERROR(IF(AE52+1&gt;LARGE(AE$7:AE$66,1)-2,1),0)+IFERROR(IF(AF52+1&gt;LARGE(AF$7:AF$66,1)-2,1),0)+IFERROR(IF(AG52+1&gt;LARGE(AG$7:AG$66,1)-2,1),0)+IFERROR(IF(AH52+1&gt;LARGE(AH$7:AH$66,1)-2,1),0)+IFERROR(IF(AI52+1&gt;LARGE(AI$7:AI$66,1)-2,1),0)+IFERROR(IF(AJ52+1&gt;LARGE(AJ$7:AJ$66,1)-2,1),0)+IFERROR(IF(AK52+1&gt;LARGE(AK$7:AK$66,1)-2,1),0)+IFERROR(IF(AL52+1&gt;LARGE(AL$7:AL$66,1)-2,1),0)+IFERROR(IF(AM52+1&gt;LARGE(AM$7:AM$66,1)-2,1),0)+IFERROR(IF(AN52+1&gt;LARGE(AN$7:AN$66,1)-2,1),0)</f>
        <v>0</v>
      </c>
      <c r="AT52" s="707">
        <f>IF(Z52=0,0,IF(Z52=IFERROR(LARGE(Z$7:Z$66,1),0),1,0))+IF(AA52=0,0,IF(AA52=IFERROR(LARGE(AA$7:AA$66,1),0),1,0))+IF(AB52=0,0,IF(AB52=IFERROR(LARGE(AB$7:AB$66,1),0),1,0))+IF(AC52=0,0,IF(AC52=IFERROR(LARGE(AC$7:AC$66,1),0),1,0))+IF(AD52=0,0,IF(AD52=IFERROR(LARGE(AD$7:AD$66,1),0),1,0))+IF(AE52=0,0,IF(AE52=IFERROR(LARGE(AE$7:AE$66,1),0),1,0))+IF(AF52=0,0,IF(AF52=IFERROR(LARGE(AF$7:AF$66,1),0),1,0))+IF(AG52=0,0,IF(AG52=IFERROR(LARGE(AG$7:AG$66,1),0),1,0))+IF(AH52=0,0,IF(AH52=IFERROR(LARGE(AH$7:AH$66,1),0),1,0))+IF(AI52=0,0,IF(AI52=IFERROR(LARGE(AI$7:AI$66,1),0),1,0))+IF(AJ52=0,0,IF(AJ52=IFERROR(LARGE(AJ$7:AJ$66,1),0),1,0))+IF(AK52=0,0,IF(AK52=IFERROR(LARGE(AK$7:AK$66,1),0),1,0))+IF(AL52=0,0,IF(AL52=IFERROR(LARGE(AL$7:AL$66,1),0),1,0))+IF(AM52=0,0,IF(AM52=IFERROR(LARGE(AM$7:AM$66,1),0),1,0))+IF(AN52=0,0,IF(AN52=IFERROR(LARGE(AN$7:AN$66,1),0),1,0))</f>
        <v>0</v>
      </c>
      <c r="AU52" s="629"/>
      <c r="AV52" s="708">
        <f t="shared" si="11"/>
        <v>4.0000000000000002E-4</v>
      </c>
      <c r="AW52" s="709">
        <f t="shared" si="15"/>
        <v>1E-4</v>
      </c>
      <c r="AX52" s="709">
        <f t="shared" si="15"/>
        <v>2.0000000000000001E-4</v>
      </c>
      <c r="AY52" s="709">
        <f t="shared" si="15"/>
        <v>2.9999999999999997E-4</v>
      </c>
      <c r="AZ52" s="709">
        <f t="shared" si="15"/>
        <v>4.0000000000000002E-4</v>
      </c>
      <c r="BA52" s="709">
        <f t="shared" si="15"/>
        <v>5.0000000000000001E-4</v>
      </c>
      <c r="BB52" s="709">
        <f t="shared" si="15"/>
        <v>5.9999999999999995E-4</v>
      </c>
      <c r="BC52" s="709">
        <f t="shared" si="15"/>
        <v>6.9999999999999999E-4</v>
      </c>
      <c r="BD52" s="709">
        <f t="shared" si="15"/>
        <v>8.0000000000000004E-4</v>
      </c>
      <c r="BE52" s="709">
        <f t="shared" si="15"/>
        <v>6.0008999999999997</v>
      </c>
      <c r="BF52" s="709">
        <f t="shared" si="15"/>
        <v>1E-3</v>
      </c>
      <c r="BG52" s="709">
        <f t="shared" si="15"/>
        <v>3.0011000000000001</v>
      </c>
      <c r="BH52" s="709">
        <f t="shared" si="15"/>
        <v>3.0011999999999999</v>
      </c>
      <c r="BI52" s="709">
        <f t="shared" si="15"/>
        <v>1.2999999999999999E-3</v>
      </c>
      <c r="BJ52" s="709">
        <f t="shared" si="15"/>
        <v>1.0014000000000001</v>
      </c>
      <c r="BK52" s="709">
        <f t="shared" si="15"/>
        <v>2.0015000000000001</v>
      </c>
      <c r="BL52" s="629"/>
    </row>
    <row r="53" spans="1:64" x14ac:dyDescent="0.2">
      <c r="A53" s="686">
        <f>IF(R53&gt;0,IF(Q53="v",RANK(B53,B$7:B$66,1)-COUNTBLANK(Q$7:Q$66),""),"")</f>
        <v>32</v>
      </c>
      <c r="B53" s="687">
        <f t="shared" si="0"/>
        <v>47</v>
      </c>
      <c r="C53" s="688" t="str">
        <f>IF(R53&gt;0,IF(P53="k",RANK(D53,D$7:D$66,1)-COUNTBLANK(P$7:P$66),""),"")</f>
        <v/>
      </c>
      <c r="D53" s="687">
        <f t="shared" si="1"/>
        <v>-953</v>
      </c>
      <c r="E53" s="689" t="str">
        <f>IF(R53&gt;0,IF(N53="m",RANK(F53,F$7:F$66,1)-COUNTBLANK(N$7:N$66),""),"")</f>
        <v/>
      </c>
      <c r="F53" s="687">
        <f t="shared" si="2"/>
        <v>-953</v>
      </c>
      <c r="G53" s="690">
        <f>IF(R53&gt;0,IF(M53="n",RANK(H53,H$7:H$66,1)-COUNTBLANK(M$7:M$66),""),"")</f>
        <v>12</v>
      </c>
      <c r="H53" s="687">
        <f t="shared" si="3"/>
        <v>47</v>
      </c>
      <c r="I53" s="691" t="str">
        <f>IF(R53&gt;0,IF(O53="j",RANK(J53,J$7:J$66,1)-COUNTBLANK(O$7:O$66),""),"")</f>
        <v/>
      </c>
      <c r="J53" s="692">
        <f t="shared" si="4"/>
        <v>-953</v>
      </c>
      <c r="K53" s="654">
        <f>IF(R53&gt;0,RANK(U53,U$7:U$66,1),"")</f>
        <v>47</v>
      </c>
      <c r="L53" s="713" t="s">
        <v>309</v>
      </c>
      <c r="M53" s="694" t="s">
        <v>280</v>
      </c>
      <c r="N53" s="695"/>
      <c r="O53" s="696"/>
      <c r="P53" s="697"/>
      <c r="Q53" s="698" t="s">
        <v>269</v>
      </c>
      <c r="R53" s="699">
        <f>(IF(COUNT(Z53,AA53,AB53,AC53,AD53,AE53,AF53,AG53,AH53,AI53,AJ53,AK53,AL53,AM53,AN53)&lt;11,SUM(Z53,AA53,AB53,AC53,AD53,AE53,AF53,AG53,AH53,AI53,AJ53,AK53,AL53,AM53,AN53),SUM(LARGE((Z53,AA53,AB53,AC53,AD53,AE53,AF53,AG53,AH53,AI53,AJ53,AK53,AL53,AM53,AN53),{1;2;3;4;5;6;7;8;9;10;11}))))</f>
        <v>14</v>
      </c>
      <c r="S53" s="700" t="str">
        <f>INDEX(ETAPP!B$1:B$32,MATCH(COUNTIF(Z53:AN53,PVO!A$1),ETAPP!A$1:A$32,0))&amp;INDEX(ETAPP!B$1:B$32,MATCH(COUNTIF(Z53:AN53,PVO!A$2),ETAPP!A$1:A$32,0))&amp;INDEX(ETAPP!B$1:B$32,MATCH(COUNTIF(Z53:AN53,PVO!A$3),ETAPP!A$1:A$32,0))&amp;INDEX(ETAPP!B$1:B$32,MATCH(COUNTIF(Z53:AN53,PVO!A$4),ETAPP!A$1:A$32,0))&amp;INDEX(ETAPP!B$1:B$32,MATCH(COUNTIF(Z53:AN53,PVO!A$5),ETAPP!A$1:A$32,0))&amp;INDEX(ETAPP!B$1:B$32,MATCH(COUNTIF(Z53:AN53,PVO!A$6),ETAPP!A$1:A$32,0))&amp;INDEX(ETAPP!B$1:B$32,MATCH(COUNTIF(Z53:AN53,PVO!A$7),ETAPP!A$1:A$32,0))&amp;INDEX(ETAPP!B$1:B$32,MATCH(COUNTIF(Z53:AN53,PVO!A$8),ETAPP!A$1:A$32,0))&amp;INDEX(ETAPP!B$1:B$32,MATCH(COUNTIF(Z53:AN53,PVO!A$9),ETAPP!A$1:A$32,0))&amp;INDEX(ETAPP!B$1:B$32,MATCH(COUNTIF(Z53:AN53,PVO!A$10),ETAPP!A$1:A$32,0))&amp;INDEX(ETAPP!B$1:B$32,MATCH(COUNTIF(Z53:AN53,PVO!A$11),ETAPP!A$1:A$32,0))&amp;INDEX(ETAPP!B$1:B$32,MATCH(COUNTIF(Z53:AN53,PVO!A$12),ETAPP!A$1:A$32,0))&amp;INDEX(ETAPP!B$1:B$32,MATCH(COUNTIF(Z53:AN53,PVO!A$13),ETAPP!A$1:A$32,0))&amp;INDEX(ETAPP!B$1:B$32,MATCH(COUNTIF(Z53:AN53,PVO!A$14),ETAPP!A$1:A$32,0))&amp;INDEX(ETAPP!B$1:B$32,MATCH(COUNTIF(Z53:AN53,PVO!A$15),ETAPP!A$1:A$32,0))&amp;INDEX(ETAPP!B$1:B$32,MATCH(COUNTIF(Z53:AN53,PVO!A$16),ETAPP!A$1:A$32,0))&amp;INDEX(ETAPP!B$1:B$32,MATCH(COUNTIF(Z53:AN53,PVO!A$17),ETAPP!A$1:A$32,0))&amp;INDEX(ETAPP!B$1:B$32,MATCH(COUNTIF(Z53:AN53,PVO!A$18),ETAPP!A$1:A$32,0))&amp;INDEX(ETAPP!B$1:B$32,MATCH(COUNTIF(Z53:AN53,PVO!A$19),ETAPP!A$1:A$32,0))</f>
        <v>00000000A000A00000H</v>
      </c>
      <c r="T53" s="700" t="str">
        <f t="shared" si="6"/>
        <v>014,0-00000000A000A00000H</v>
      </c>
      <c r="U53" s="700">
        <f>COUNTIF(T$7:T$66,"&gt;="&amp;T53)</f>
        <v>47</v>
      </c>
      <c r="V53" s="700">
        <f>COUNTIF(L$7:L$66,"&gt;="&amp;L53)</f>
        <v>17</v>
      </c>
      <c r="W53" s="700" t="str">
        <f t="shared" si="7"/>
        <v>014,0-00000000A000A00000H-017</v>
      </c>
      <c r="X53" s="700">
        <f>COUNTIF(W$7:W$66,"&gt;="&amp;W53)</f>
        <v>47</v>
      </c>
      <c r="Y53" s="701">
        <f>RANK(X53,X$7:X$66,0)</f>
        <v>14</v>
      </c>
      <c r="Z53" s="702" t="str">
        <f>IFERROR(INDEX('V1'!C$300:C$400,MATCH("*"&amp;L53&amp;"*",'V1'!B$300:B$400,0)),"  ")</f>
        <v xml:space="preserve">  </v>
      </c>
      <c r="AA53" s="702" t="str">
        <f>IFERROR(INDEX('V2'!C$300:C$400,MATCH("*"&amp;L53&amp;"*",'V2'!B$300:B$400,0)),"  ")</f>
        <v xml:space="preserve">  </v>
      </c>
      <c r="AB53" s="702" t="str">
        <f>IFERROR(INDEX('V3'!C$300:C$400,MATCH("*"&amp;L53&amp;"*",'V3'!B$300:B$400,0)),"  ")</f>
        <v xml:space="preserve">  </v>
      </c>
      <c r="AC53" s="702" t="str">
        <f>IFERROR(INDEX('V4'!C$300:C$400,MATCH("*"&amp;L53&amp;"*",'V4'!B$300:B$400,0)),"  ")</f>
        <v xml:space="preserve">  </v>
      </c>
      <c r="AD53" s="702" t="str">
        <f>IFERROR(INDEX('V5'!C$300:C$400,MATCH("*"&amp;L53&amp;"*",'V5'!B$300:B$400,0)),"  ")</f>
        <v xml:space="preserve">  </v>
      </c>
      <c r="AE53" s="702" t="str">
        <f>IFERROR(INDEX('V6'!C$300:C$400,MATCH("*"&amp;L53&amp;"*",'V6'!B$300:B$400,0)),"  ")</f>
        <v xml:space="preserve">  </v>
      </c>
      <c r="AF53" s="702" t="str">
        <f>IFERROR(INDEX('V7'!C$300:C$400,MATCH("*"&amp;L53&amp;"*",'V7'!B$300:B$400,0)),"  ")</f>
        <v xml:space="preserve">  </v>
      </c>
      <c r="AG53" s="702" t="str">
        <f>IFERROR(INDEX('V8'!C$300:C$400,MATCH("*"&amp;L53&amp;"*",'V8'!B$300:B$400,0)),"  ")</f>
        <v xml:space="preserve">  </v>
      </c>
      <c r="AH53" s="702" t="str">
        <f>IFERROR(INDEX('V9'!C$300:C$400,MATCH("*"&amp;L53&amp;"*",'V9'!B$300:B$400,0)),"  ")</f>
        <v xml:space="preserve">  </v>
      </c>
      <c r="AI53" s="702" t="str">
        <f>IFERROR(INDEX('V10'!C$300:C$400,MATCH("*"&amp;L53&amp;"*",'V10'!B$300:B$400,0)),"  ")</f>
        <v xml:space="preserve">  </v>
      </c>
      <c r="AJ53" s="702" t="str">
        <f>IFERROR(INDEX('V11'!C$300:C$400,MATCH("*"&amp;L53&amp;"*",'V11'!B$300:B$400,0)),"  ")</f>
        <v xml:space="preserve">  </v>
      </c>
      <c r="AK53" s="702" t="str">
        <f>IFERROR(INDEX('V12'!C$300:C$400,MATCH("*"&amp;L53&amp;"*",'V12'!B$300:B$400,0)),"  ")</f>
        <v xml:space="preserve">  </v>
      </c>
      <c r="AL53" s="702" t="str">
        <f>IFERROR(INDEX('V13'!C$300:C$400,MATCH("*"&amp;L53&amp;"*",'V13'!B$300:B$400,0)),"  ")</f>
        <v xml:space="preserve">  </v>
      </c>
      <c r="AM53" s="702">
        <f>IFERROR(INDEX('V14'!C$300:C$400,MATCH("*"&amp;L53&amp;"*",'V14'!B$300:B$400,0)),"  ")</f>
        <v>9</v>
      </c>
      <c r="AN53" s="702">
        <f>IFERROR(INDEX('V15'!C$300:C$400,MATCH("*"&amp;L53&amp;"*",'V15'!B$300:B$400,0)),"  ")</f>
        <v>5</v>
      </c>
      <c r="AO53" s="703">
        <f t="shared" si="10"/>
        <v>47</v>
      </c>
      <c r="AP53" s="704" t="str">
        <f>IFERROR("edasi "&amp;RANK(AO53,AO$7:AO$66,1),K53)</f>
        <v>edasi 47</v>
      </c>
      <c r="AQ53" s="705">
        <f>IFERROR(INDEX('V-fin'!A$300:A$401,MATCH("*"&amp;L53&amp;"*",'V-fin'!B$300:B$401,0)),"  ")</f>
        <v>1</v>
      </c>
      <c r="AR53" s="706">
        <f t="shared" si="8"/>
        <v>2</v>
      </c>
      <c r="AS53" s="707">
        <f>IFERROR(IF(Z53+1&gt;LARGE(Z$7:Z$66,1)-2,1),0)+IFERROR(IF(AA53+1&gt;LARGE(AA$7:AA$66,1)-2,1),0)+IFERROR(IF(AB53+1&gt;LARGE(AB$7:AB$66,1)-2,1),0)+IFERROR(IF(AC53+1&gt;LARGE(AC$7:AC$66,1)-2,1),0)+IFERROR(IF(AD53+1&gt;LARGE(AD$7:AD$66,1)-2,1),0)+IFERROR(IF(AE53+1&gt;LARGE(AE$7:AE$66,1)-2,1),0)+IFERROR(IF(AF53+1&gt;LARGE(AF$7:AF$66,1)-2,1),0)+IFERROR(IF(AG53+1&gt;LARGE(AG$7:AG$66,1)-2,1),0)+IFERROR(IF(AH53+1&gt;LARGE(AH$7:AH$66,1)-2,1),0)+IFERROR(IF(AI53+1&gt;LARGE(AI$7:AI$66,1)-2,1),0)+IFERROR(IF(AJ53+1&gt;LARGE(AJ$7:AJ$66,1)-2,1),0)+IFERROR(IF(AK53+1&gt;LARGE(AK$7:AK$66,1)-2,1),0)+IFERROR(IF(AL53+1&gt;LARGE(AL$7:AL$66,1)-2,1),0)+IFERROR(IF(AM53+1&gt;LARGE(AM$7:AM$66,1)-2,1),0)+IFERROR(IF(AN53+1&gt;LARGE(AN$7:AN$66,1)-2,1),0)</f>
        <v>0</v>
      </c>
      <c r="AT53" s="707">
        <f>IF(Z53=0,0,IF(Z53=IFERROR(LARGE(Z$7:Z$66,1),0),1,0))+IF(AA53=0,0,IF(AA53=IFERROR(LARGE(AA$7:AA$66,1),0),1,0))+IF(AB53=0,0,IF(AB53=IFERROR(LARGE(AB$7:AB$66,1),0),1,0))+IF(AC53=0,0,IF(AC53=IFERROR(LARGE(AC$7:AC$66,1),0),1,0))+IF(AD53=0,0,IF(AD53=IFERROR(LARGE(AD$7:AD$66,1),0),1,0))+IF(AE53=0,0,IF(AE53=IFERROR(LARGE(AE$7:AE$66,1),0),1,0))+IF(AF53=0,0,IF(AF53=IFERROR(LARGE(AF$7:AF$66,1),0),1,0))+IF(AG53=0,0,IF(AG53=IFERROR(LARGE(AG$7:AG$66,1),0),1,0))+IF(AH53=0,0,IF(AH53=IFERROR(LARGE(AH$7:AH$66,1),0),1,0))+IF(AI53=0,0,IF(AI53=IFERROR(LARGE(AI$7:AI$66,1),0),1,0))+IF(AJ53=0,0,IF(AJ53=IFERROR(LARGE(AJ$7:AJ$66,1),0),1,0))+IF(AK53=0,0,IF(AK53=IFERROR(LARGE(AK$7:AK$66,1),0),1,0))+IF(AL53=0,0,IF(AL53=IFERROR(LARGE(AL$7:AL$66,1),0),1,0))+IF(AM53=0,0,IF(AM53=IFERROR(LARGE(AM$7:AM$66,1),0),1,0))+IF(AN53=0,0,IF(AN53=IFERROR(LARGE(AN$7:AN$66,1),0),1,0))</f>
        <v>0</v>
      </c>
      <c r="AU53" s="629"/>
      <c r="AV53" s="708">
        <f t="shared" si="11"/>
        <v>4.0000000000000002E-4</v>
      </c>
      <c r="AW53" s="709">
        <f t="shared" si="15"/>
        <v>1E-4</v>
      </c>
      <c r="AX53" s="709">
        <f t="shared" si="15"/>
        <v>2.0000000000000001E-4</v>
      </c>
      <c r="AY53" s="709">
        <f t="shared" si="15"/>
        <v>2.9999999999999997E-4</v>
      </c>
      <c r="AZ53" s="709">
        <f t="shared" si="15"/>
        <v>4.0000000000000002E-4</v>
      </c>
      <c r="BA53" s="709">
        <f t="shared" si="15"/>
        <v>5.0000000000000001E-4</v>
      </c>
      <c r="BB53" s="709">
        <f t="shared" si="15"/>
        <v>5.9999999999999995E-4</v>
      </c>
      <c r="BC53" s="709">
        <f t="shared" si="15"/>
        <v>6.9999999999999999E-4</v>
      </c>
      <c r="BD53" s="709">
        <f t="shared" si="15"/>
        <v>8.0000000000000004E-4</v>
      </c>
      <c r="BE53" s="709">
        <f t="shared" si="15"/>
        <v>8.9999999999999998E-4</v>
      </c>
      <c r="BF53" s="709">
        <f t="shared" si="15"/>
        <v>1E-3</v>
      </c>
      <c r="BG53" s="709">
        <f t="shared" si="15"/>
        <v>1.1000000000000001E-3</v>
      </c>
      <c r="BH53" s="709">
        <f t="shared" si="15"/>
        <v>1.1999999999999999E-3</v>
      </c>
      <c r="BI53" s="709">
        <f t="shared" si="15"/>
        <v>1.2999999999999999E-3</v>
      </c>
      <c r="BJ53" s="709">
        <f t="shared" si="15"/>
        <v>9.0014000000000003</v>
      </c>
      <c r="BK53" s="709">
        <f t="shared" si="15"/>
        <v>5.0015000000000001</v>
      </c>
      <c r="BL53" s="629"/>
    </row>
    <row r="54" spans="1:64" x14ac:dyDescent="0.2">
      <c r="A54" s="686" t="str">
        <f>IF(R54&gt;0,IF(Q54="v",RANK(B54,B$7:B$66,1)-COUNTBLANK(Q$7:Q$66),""),"")</f>
        <v/>
      </c>
      <c r="B54" s="687">
        <f t="shared" si="0"/>
        <v>-952</v>
      </c>
      <c r="C54" s="688" t="str">
        <f>IF(R54&gt;0,IF(P54="k",RANK(D54,D$7:D$66,1)-COUNTBLANK(P$7:P$66),""),"")</f>
        <v/>
      </c>
      <c r="D54" s="687">
        <f t="shared" si="1"/>
        <v>-952</v>
      </c>
      <c r="E54" s="689">
        <f>IF(R54&gt;0,IF(N54="m",RANK(F54,F$7:F$66,1)-COUNTBLANK(N$7:N$66),""),"")</f>
        <v>36</v>
      </c>
      <c r="F54" s="687">
        <f t="shared" si="2"/>
        <v>48</v>
      </c>
      <c r="G54" s="690" t="str">
        <f>IF(R54&gt;0,IF(M54="n",RANK(H54,H$7:H$66,1)-COUNTBLANK(M$7:M$66),""),"")</f>
        <v/>
      </c>
      <c r="H54" s="687">
        <f t="shared" si="3"/>
        <v>-952</v>
      </c>
      <c r="I54" s="691" t="str">
        <f>IF(R54&gt;0,IF(O54="j",RANK(J54,J$7:J$66,1)-COUNTBLANK(O$7:O$66),""),"")</f>
        <v/>
      </c>
      <c r="J54" s="692">
        <f t="shared" si="4"/>
        <v>-952</v>
      </c>
      <c r="K54" s="654">
        <f>IF(R54&gt;0,RANK(U54,U$7:U$66,1),"")</f>
        <v>48</v>
      </c>
      <c r="L54" s="711" t="s">
        <v>222</v>
      </c>
      <c r="M54" s="694"/>
      <c r="N54" s="695" t="s">
        <v>273</v>
      </c>
      <c r="O54" s="696"/>
      <c r="P54" s="697"/>
      <c r="Q54" s="698"/>
      <c r="R54" s="699">
        <f>(IF(COUNT(Z54,AA54,AB54,AC54,AD54,AE54,AF54,AG54,AH54,AI54,AJ54,AK54,AL54,AM54,AN54)&lt;11,SUM(Z54,AA54,AB54,AC54,AD54,AE54,AF54,AG54,AH54,AI54,AJ54,AK54,AL54,AM54,AN54),SUM(LARGE((Z54,AA54,AB54,AC54,AD54,AE54,AF54,AG54,AH54,AI54,AJ54,AK54,AL54,AM54,AN54),{1;2;3;4;5;6;7;8;9;10;11}))))</f>
        <v>13</v>
      </c>
      <c r="S54" s="700" t="str">
        <f>INDEX(ETAPP!B$1:B$32,MATCH(COUNTIF(Z54:AN54,PVO!A$1),ETAPP!A$1:A$32,0))&amp;INDEX(ETAPP!B$1:B$32,MATCH(COUNTIF(Z54:AN54,PVO!A$2),ETAPP!A$1:A$32,0))&amp;INDEX(ETAPP!B$1:B$32,MATCH(COUNTIF(Z54:AN54,PVO!A$3),ETAPP!A$1:A$32,0))&amp;INDEX(ETAPP!B$1:B$32,MATCH(COUNTIF(Z54:AN54,PVO!A$4),ETAPP!A$1:A$32,0))&amp;INDEX(ETAPP!B$1:B$32,MATCH(COUNTIF(Z54:AN54,PVO!A$5),ETAPP!A$1:A$32,0))&amp;INDEX(ETAPP!B$1:B$32,MATCH(COUNTIF(Z54:AN54,PVO!A$6),ETAPP!A$1:A$32,0))&amp;INDEX(ETAPP!B$1:B$32,MATCH(COUNTIF(Z54:AN54,PVO!A$7),ETAPP!A$1:A$32,0))&amp;INDEX(ETAPP!B$1:B$32,MATCH(COUNTIF(Z54:AN54,PVO!A$8),ETAPP!A$1:A$32,0))&amp;INDEX(ETAPP!B$1:B$32,MATCH(COUNTIF(Z54:AN54,PVO!A$9),ETAPP!A$1:A$32,0))&amp;INDEX(ETAPP!B$1:B$32,MATCH(COUNTIF(Z54:AN54,PVO!A$10),ETAPP!A$1:A$32,0))&amp;INDEX(ETAPP!B$1:B$32,MATCH(COUNTIF(Z54:AN54,PVO!A$11),ETAPP!A$1:A$32,0))&amp;INDEX(ETAPP!B$1:B$32,MATCH(COUNTIF(Z54:AN54,PVO!A$12),ETAPP!A$1:A$32,0))&amp;INDEX(ETAPP!B$1:B$32,MATCH(COUNTIF(Z54:AN54,PVO!A$13),ETAPP!A$1:A$32,0))&amp;INDEX(ETAPP!B$1:B$32,MATCH(COUNTIF(Z54:AN54,PVO!A$14),ETAPP!A$1:A$32,0))&amp;INDEX(ETAPP!B$1:B$32,MATCH(COUNTIF(Z54:AN54,PVO!A$15),ETAPP!A$1:A$32,0))&amp;INDEX(ETAPP!B$1:B$32,MATCH(COUNTIF(Z54:AN54,PVO!A$16),ETAPP!A$1:A$32,0))&amp;INDEX(ETAPP!B$1:B$32,MATCH(COUNTIF(Z54:AN54,PVO!A$17),ETAPP!A$1:A$32,0))&amp;INDEX(ETAPP!B$1:B$32,MATCH(COUNTIF(Z54:AN54,PVO!A$18),ETAPP!A$1:A$32,0))&amp;INDEX(ETAPP!B$1:B$32,MATCH(COUNTIF(Z54:AN54,PVO!A$19),ETAPP!A$1:A$32,0))</f>
        <v>0000A0000000000000I</v>
      </c>
      <c r="T54" s="700" t="str">
        <f t="shared" si="6"/>
        <v>013,0-0000A0000000000000I</v>
      </c>
      <c r="U54" s="700">
        <f>COUNTIF(T$7:T$66,"&gt;="&amp;T54)</f>
        <v>48</v>
      </c>
      <c r="V54" s="700">
        <f>COUNTIF(L$7:L$66,"&gt;="&amp;L54)</f>
        <v>33</v>
      </c>
      <c r="W54" s="700" t="str">
        <f t="shared" si="7"/>
        <v>013,0-0000A0000000000000I-033</v>
      </c>
      <c r="X54" s="700">
        <f>COUNTIF(W$7:W$66,"&gt;="&amp;W54)</f>
        <v>48</v>
      </c>
      <c r="Y54" s="701">
        <f>RANK(X54,X$7:X$66,0)</f>
        <v>13</v>
      </c>
      <c r="Z54" s="702" t="str">
        <f>IFERROR(INDEX('V1'!C$300:C$400,MATCH("*"&amp;L54&amp;"*",'V1'!B$300:B$400,0)),"  ")</f>
        <v xml:space="preserve">  </v>
      </c>
      <c r="AA54" s="702" t="str">
        <f>IFERROR(INDEX('V2'!C$300:C$400,MATCH("*"&amp;L54&amp;"*",'V2'!B$300:B$400,0)),"  ")</f>
        <v xml:space="preserve">  </v>
      </c>
      <c r="AB54" s="702" t="str">
        <f>IFERROR(INDEX('V3'!C$300:C$400,MATCH("*"&amp;L54&amp;"*",'V3'!B$300:B$400,0)),"  ")</f>
        <v xml:space="preserve">  </v>
      </c>
      <c r="AC54" s="702" t="str">
        <f>IFERROR(INDEX('V4'!C$300:C$400,MATCH("*"&amp;L54&amp;"*",'V4'!B$300:B$400,0)),"  ")</f>
        <v xml:space="preserve">  </v>
      </c>
      <c r="AD54" s="702">
        <f>IFERROR(INDEX('V5'!C$300:C$400,MATCH("*"&amp;L54&amp;"*",'V5'!B$300:B$400,0)),"  ")</f>
        <v>13</v>
      </c>
      <c r="AE54" s="702" t="str">
        <f>IFERROR(INDEX('V6'!C$300:C$400,MATCH("*"&amp;L54&amp;"*",'V6'!B$300:B$400,0)),"  ")</f>
        <v xml:space="preserve">  </v>
      </c>
      <c r="AF54" s="702" t="str">
        <f>IFERROR(INDEX('V7'!C$300:C$400,MATCH("*"&amp;L54&amp;"*",'V7'!B$300:B$400,0)),"  ")</f>
        <v xml:space="preserve">  </v>
      </c>
      <c r="AG54" s="702" t="str">
        <f>IFERROR(INDEX('V8'!C$300:C$400,MATCH("*"&amp;L54&amp;"*",'V8'!B$300:B$400,0)),"  ")</f>
        <v xml:space="preserve">  </v>
      </c>
      <c r="AH54" s="702" t="str">
        <f>IFERROR(INDEX('V9'!C$300:C$400,MATCH("*"&amp;L54&amp;"*",'V9'!B$300:B$400,0)),"  ")</f>
        <v xml:space="preserve">  </v>
      </c>
      <c r="AI54" s="702" t="str">
        <f>IFERROR(INDEX('V10'!C$300:C$400,MATCH("*"&amp;L54&amp;"*",'V10'!B$300:B$400,0)),"  ")</f>
        <v xml:space="preserve">  </v>
      </c>
      <c r="AJ54" s="702" t="str">
        <f>IFERROR(INDEX('V11'!C$300:C$400,MATCH("*"&amp;L54&amp;"*",'V11'!B$300:B$400,0)),"  ")</f>
        <v xml:space="preserve">  </v>
      </c>
      <c r="AK54" s="702" t="str">
        <f>IFERROR(INDEX('V12'!C$300:C$400,MATCH("*"&amp;L54&amp;"*",'V12'!B$300:B$400,0)),"  ")</f>
        <v xml:space="preserve">  </v>
      </c>
      <c r="AL54" s="702" t="str">
        <f>IFERROR(INDEX('V13'!C$300:C$400,MATCH("*"&amp;L54&amp;"*",'V13'!B$300:B$400,0)),"  ")</f>
        <v xml:space="preserve">  </v>
      </c>
      <c r="AM54" s="702" t="str">
        <f>IFERROR(INDEX('V14'!C$300:C$400,MATCH("*"&amp;L54&amp;"*",'V14'!B$300:B$400,0)),"  ")</f>
        <v xml:space="preserve">  </v>
      </c>
      <c r="AN54" s="702" t="str">
        <f>IFERROR(INDEX('V15'!C$300:C$400,MATCH("*"&amp;L54&amp;"*",'V15'!B$300:B$400,0)),"  ")</f>
        <v xml:space="preserve">  </v>
      </c>
      <c r="AO54" s="703" t="str">
        <f t="shared" si="10"/>
        <v/>
      </c>
      <c r="AP54" s="704">
        <f>IFERROR("edasi "&amp;RANK(AO54,AO$7:AO$66,1),K54)</f>
        <v>48</v>
      </c>
      <c r="AQ54" s="705" t="str">
        <f>IFERROR(INDEX('V-fin'!A$300:A$401,MATCH("*"&amp;L54&amp;"*",'V-fin'!B$300:B$401,0)),"  ")</f>
        <v xml:space="preserve">  </v>
      </c>
      <c r="AR54" s="706">
        <f t="shared" si="8"/>
        <v>1</v>
      </c>
      <c r="AS54" s="707">
        <f>IFERROR(IF(Z54+1&gt;LARGE(Z$7:Z$66,1)-2,1),0)+IFERROR(IF(AA54+1&gt;LARGE(AA$7:AA$66,1)-2,1),0)+IFERROR(IF(AB54+1&gt;LARGE(AB$7:AB$66,1)-2,1),0)+IFERROR(IF(AC54+1&gt;LARGE(AC$7:AC$66,1)-2,1),0)+IFERROR(IF(AD54+1&gt;LARGE(AD$7:AD$66,1)-2,1),0)+IFERROR(IF(AE54+1&gt;LARGE(AE$7:AE$66,1)-2,1),0)+IFERROR(IF(AF54+1&gt;LARGE(AF$7:AF$66,1)-2,1),0)+IFERROR(IF(AG54+1&gt;LARGE(AG$7:AG$66,1)-2,1),0)+IFERROR(IF(AH54+1&gt;LARGE(AH$7:AH$66,1)-2,1),0)+IFERROR(IF(AI54+1&gt;LARGE(AI$7:AI$66,1)-2,1),0)+IFERROR(IF(AJ54+1&gt;LARGE(AJ$7:AJ$66,1)-2,1),0)+IFERROR(IF(AK54+1&gt;LARGE(AK$7:AK$66,1)-2,1),0)+IFERROR(IF(AL54+1&gt;LARGE(AL$7:AL$66,1)-2,1),0)+IFERROR(IF(AM54+1&gt;LARGE(AM$7:AM$66,1)-2,1),0)+IFERROR(IF(AN54+1&gt;LARGE(AN$7:AN$66,1)-2,1),0)</f>
        <v>1</v>
      </c>
      <c r="AT54" s="707">
        <f>IF(Z54=0,0,IF(Z54=IFERROR(LARGE(Z$7:Z$66,1),0),1,0))+IF(AA54=0,0,IF(AA54=IFERROR(LARGE(AA$7:AA$66,1),0),1,0))+IF(AB54=0,0,IF(AB54=IFERROR(LARGE(AB$7:AB$66,1),0),1,0))+IF(AC54=0,0,IF(AC54=IFERROR(LARGE(AC$7:AC$66,1),0),1,0))+IF(AD54=0,0,IF(AD54=IFERROR(LARGE(AD$7:AD$66,1),0),1,0))+IF(AE54=0,0,IF(AE54=IFERROR(LARGE(AE$7:AE$66,1),0),1,0))+IF(AF54=0,0,IF(AF54=IFERROR(LARGE(AF$7:AF$66,1),0),1,0))+IF(AG54=0,0,IF(AG54=IFERROR(LARGE(AG$7:AG$66,1),0),1,0))+IF(AH54=0,0,IF(AH54=IFERROR(LARGE(AH$7:AH$66,1),0),1,0))+IF(AI54=0,0,IF(AI54=IFERROR(LARGE(AI$7:AI$66,1),0),1,0))+IF(AJ54=0,0,IF(AJ54=IFERROR(LARGE(AJ$7:AJ$66,1),0),1,0))+IF(AK54=0,0,IF(AK54=IFERROR(LARGE(AK$7:AK$66,1),0),1,0))+IF(AL54=0,0,IF(AL54=IFERROR(LARGE(AL$7:AL$66,1),0),1,0))+IF(AM54=0,0,IF(AM54=IFERROR(LARGE(AM$7:AM$66,1),0),1,0))+IF(AN54=0,0,IF(AN54=IFERROR(LARGE(AN$7:AN$66,1),0),1,0))</f>
        <v>0</v>
      </c>
      <c r="AU54" s="629"/>
      <c r="AV54" s="708">
        <f t="shared" si="11"/>
        <v>4.0000000000000002E-4</v>
      </c>
      <c r="AW54" s="709">
        <f t="shared" si="15"/>
        <v>1E-4</v>
      </c>
      <c r="AX54" s="709">
        <f t="shared" si="15"/>
        <v>2.0000000000000001E-4</v>
      </c>
      <c r="AY54" s="709">
        <f t="shared" si="15"/>
        <v>2.9999999999999997E-4</v>
      </c>
      <c r="AZ54" s="709">
        <f t="shared" si="15"/>
        <v>4.0000000000000002E-4</v>
      </c>
      <c r="BA54" s="709">
        <f t="shared" si="15"/>
        <v>13.000500000000001</v>
      </c>
      <c r="BB54" s="709">
        <f t="shared" si="15"/>
        <v>5.9999999999999995E-4</v>
      </c>
      <c r="BC54" s="709">
        <f t="shared" si="15"/>
        <v>6.9999999999999999E-4</v>
      </c>
      <c r="BD54" s="709">
        <f t="shared" si="15"/>
        <v>8.0000000000000004E-4</v>
      </c>
      <c r="BE54" s="709">
        <f t="shared" si="15"/>
        <v>8.9999999999999998E-4</v>
      </c>
      <c r="BF54" s="709">
        <f t="shared" si="15"/>
        <v>1E-3</v>
      </c>
      <c r="BG54" s="709">
        <f t="shared" si="15"/>
        <v>1.1000000000000001E-3</v>
      </c>
      <c r="BH54" s="709">
        <f t="shared" si="15"/>
        <v>1.1999999999999999E-3</v>
      </c>
      <c r="BI54" s="709">
        <f t="shared" si="15"/>
        <v>1.2999999999999999E-3</v>
      </c>
      <c r="BJ54" s="709">
        <f t="shared" si="15"/>
        <v>1.4E-3</v>
      </c>
      <c r="BK54" s="709">
        <f t="shared" si="15"/>
        <v>1.5E-3</v>
      </c>
      <c r="BL54" s="629"/>
    </row>
    <row r="55" spans="1:64" x14ac:dyDescent="0.2">
      <c r="A55" s="686">
        <f>IF(R55&gt;0,IF(Q55="v",RANK(B55,B$7:B$66,1)-COUNTBLANK(Q$7:Q$66),""),"")</f>
        <v>33</v>
      </c>
      <c r="B55" s="687">
        <f t="shared" si="0"/>
        <v>51</v>
      </c>
      <c r="C55" s="688" t="str">
        <f>IF(R55&gt;0,IF(P55="k",RANK(D55,D$7:D$66,1)-COUNTBLANK(P$7:P$66),""),"")</f>
        <v/>
      </c>
      <c r="D55" s="687">
        <f t="shared" si="1"/>
        <v>-949</v>
      </c>
      <c r="E55" s="689">
        <f>IF(R55&gt;0,IF(N55="m",RANK(F55,F$7:F$66,1)-COUNTBLANK(N$7:N$66),""),"")</f>
        <v>37</v>
      </c>
      <c r="F55" s="687">
        <f t="shared" si="2"/>
        <v>51</v>
      </c>
      <c r="G55" s="690" t="str">
        <f>IF(R55&gt;0,IF(M55="n",RANK(H55,H$7:H$66,1)-COUNTBLANK(M$7:M$66),""),"")</f>
        <v/>
      </c>
      <c r="H55" s="687">
        <f t="shared" si="3"/>
        <v>-949</v>
      </c>
      <c r="I55" s="691" t="str">
        <f>IF(R55&gt;0,IF(O55="j",RANK(J55,J$7:J$66,1)-COUNTBLANK(O$7:O$66),""),"")</f>
        <v/>
      </c>
      <c r="J55" s="692">
        <f t="shared" si="4"/>
        <v>-949</v>
      </c>
      <c r="K55" s="654">
        <f>IF(R55&gt;0,RANK(U55,U$7:U$66,1),"")</f>
        <v>49</v>
      </c>
      <c r="L55" s="693" t="s">
        <v>310</v>
      </c>
      <c r="M55" s="694"/>
      <c r="N55" s="695" t="s">
        <v>273</v>
      </c>
      <c r="O55" s="696"/>
      <c r="P55" s="697"/>
      <c r="Q55" s="698" t="s">
        <v>269</v>
      </c>
      <c r="R55" s="699">
        <f>(IF(COUNT(Z55,AA55,AB55,AC55,AD55,AE55,AF55,AG55,AH55,AI55,AJ55,AK55,AL55,AM55,AN55)&lt;11,SUM(Z55,AA55,AB55,AC55,AD55,AE55,AF55,AG55,AH55,AI55,AJ55,AK55,AL55,AM55,AN55),SUM(LARGE((Z55,AA55,AB55,AC55,AD55,AE55,AF55,AG55,AH55,AI55,AJ55,AK55,AL55,AM55,AN55),{1;2;3;4;5;6;7;8;9;10;11}))))</f>
        <v>12</v>
      </c>
      <c r="S55" s="700" t="str">
        <f>INDEX(ETAPP!B$1:B$32,MATCH(COUNTIF(Z55:AN55,PVO!A$1),ETAPP!A$1:A$32,0))&amp;INDEX(ETAPP!B$1:B$32,MATCH(COUNTIF(Z55:AN55,PVO!A$2),ETAPP!A$1:A$32,0))&amp;INDEX(ETAPP!B$1:B$32,MATCH(COUNTIF(Z55:AN55,PVO!A$3),ETAPP!A$1:A$32,0))&amp;INDEX(ETAPP!B$1:B$32,MATCH(COUNTIF(Z55:AN55,PVO!A$4),ETAPP!A$1:A$32,0))&amp;INDEX(ETAPP!B$1:B$32,MATCH(COUNTIF(Z55:AN55,PVO!A$5),ETAPP!A$1:A$32,0))&amp;INDEX(ETAPP!B$1:B$32,MATCH(COUNTIF(Z55:AN55,PVO!A$6),ETAPP!A$1:A$32,0))&amp;INDEX(ETAPP!B$1:B$32,MATCH(COUNTIF(Z55:AN55,PVO!A$7),ETAPP!A$1:A$32,0))&amp;INDEX(ETAPP!B$1:B$32,MATCH(COUNTIF(Z55:AN55,PVO!A$8),ETAPP!A$1:A$32,0))&amp;INDEX(ETAPP!B$1:B$32,MATCH(COUNTIF(Z55:AN55,PVO!A$9),ETAPP!A$1:A$32,0))&amp;INDEX(ETAPP!B$1:B$32,MATCH(COUNTIF(Z55:AN55,PVO!A$10),ETAPP!A$1:A$32,0))&amp;INDEX(ETAPP!B$1:B$32,MATCH(COUNTIF(Z55:AN55,PVO!A$11),ETAPP!A$1:A$32,0))&amp;INDEX(ETAPP!B$1:B$32,MATCH(COUNTIF(Z55:AN55,PVO!A$12),ETAPP!A$1:A$32,0))&amp;INDEX(ETAPP!B$1:B$32,MATCH(COUNTIF(Z55:AN55,PVO!A$13),ETAPP!A$1:A$32,0))&amp;INDEX(ETAPP!B$1:B$32,MATCH(COUNTIF(Z55:AN55,PVO!A$14),ETAPP!A$1:A$32,0))&amp;INDEX(ETAPP!B$1:B$32,MATCH(COUNTIF(Z55:AN55,PVO!A$15),ETAPP!A$1:A$32,0))&amp;INDEX(ETAPP!B$1:B$32,MATCH(COUNTIF(Z55:AN55,PVO!A$16),ETAPP!A$1:A$32,0))&amp;INDEX(ETAPP!B$1:B$32,MATCH(COUNTIF(Z55:AN55,PVO!A$17),ETAPP!A$1:A$32,0))&amp;INDEX(ETAPP!B$1:B$32,MATCH(COUNTIF(Z55:AN55,PVO!A$18),ETAPP!A$1:A$32,0))&amp;INDEX(ETAPP!B$1:B$32,MATCH(COUNTIF(Z55:AN55,PVO!A$19),ETAPP!A$1:A$32,0))</f>
        <v>00000A000000000000I</v>
      </c>
      <c r="T55" s="700" t="str">
        <f t="shared" si="6"/>
        <v>012,0-00000A000000000000I</v>
      </c>
      <c r="U55" s="700">
        <f>COUNTIF(T$7:T$66,"&gt;="&amp;T55)</f>
        <v>51</v>
      </c>
      <c r="V55" s="700">
        <f>COUNTIF(L$7:L$66,"&gt;="&amp;L55)</f>
        <v>57</v>
      </c>
      <c r="W55" s="700" t="str">
        <f t="shared" si="7"/>
        <v>012,0-00000A000000000000I-057</v>
      </c>
      <c r="X55" s="700">
        <f>COUNTIF(W$7:W$66,"&gt;="&amp;W55)</f>
        <v>49</v>
      </c>
      <c r="Y55" s="701">
        <f>RANK(X55,X$7:X$66,0)</f>
        <v>12</v>
      </c>
      <c r="Z55" s="702" t="str">
        <f>IFERROR(INDEX('V1'!C$300:C$400,MATCH("*"&amp;L55&amp;"*",'V1'!B$300:B$400,0)),"  ")</f>
        <v xml:space="preserve">  </v>
      </c>
      <c r="AA55" s="702" t="str">
        <f>IFERROR(INDEX('V2'!C$300:C$400,MATCH("*"&amp;L55&amp;"*",'V2'!B$300:B$400,0)),"  ")</f>
        <v xml:space="preserve">  </v>
      </c>
      <c r="AB55" s="702" t="str">
        <f>IFERROR(INDEX('V3'!C$300:C$400,MATCH("*"&amp;L55&amp;"*",'V3'!B$300:B$400,0)),"  ")</f>
        <v xml:space="preserve">  </v>
      </c>
      <c r="AC55" s="702" t="str">
        <f>IFERROR(INDEX('V4'!C$300:C$400,MATCH("*"&amp;L55&amp;"*",'V4'!B$300:B$400,0)),"  ")</f>
        <v xml:space="preserve">  </v>
      </c>
      <c r="AD55" s="702">
        <f>IFERROR(INDEX('V5'!C$300:C$400,MATCH("*"&amp;L55&amp;"*",'V5'!B$300:B$400,0)),"  ")</f>
        <v>12</v>
      </c>
      <c r="AE55" s="702" t="str">
        <f>IFERROR(INDEX('V6'!C$300:C$400,MATCH("*"&amp;L55&amp;"*",'V6'!B$300:B$400,0)),"  ")</f>
        <v xml:space="preserve">  </v>
      </c>
      <c r="AF55" s="702" t="str">
        <f>IFERROR(INDEX('V7'!C$300:C$400,MATCH("*"&amp;L55&amp;"*",'V7'!B$300:B$400,0)),"  ")</f>
        <v xml:space="preserve">  </v>
      </c>
      <c r="AG55" s="702" t="str">
        <f>IFERROR(INDEX('V8'!C$300:C$400,MATCH("*"&amp;L55&amp;"*",'V8'!B$300:B$400,0)),"  ")</f>
        <v xml:space="preserve">  </v>
      </c>
      <c r="AH55" s="702" t="str">
        <f>IFERROR(INDEX('V9'!C$300:C$400,MATCH("*"&amp;L55&amp;"*",'V9'!B$300:B$400,0)),"  ")</f>
        <v xml:space="preserve">  </v>
      </c>
      <c r="AI55" s="702" t="str">
        <f>IFERROR(INDEX('V10'!C$300:C$400,MATCH("*"&amp;L55&amp;"*",'V10'!B$300:B$400,0)),"  ")</f>
        <v xml:space="preserve">  </v>
      </c>
      <c r="AJ55" s="702" t="str">
        <f>IFERROR(INDEX('V11'!C$300:C$400,MATCH("*"&amp;L55&amp;"*",'V11'!B$300:B$400,0)),"  ")</f>
        <v xml:space="preserve">  </v>
      </c>
      <c r="AK55" s="702" t="str">
        <f>IFERROR(INDEX('V12'!C$300:C$400,MATCH("*"&amp;L55&amp;"*",'V12'!B$300:B$400,0)),"  ")</f>
        <v xml:space="preserve">  </v>
      </c>
      <c r="AL55" s="702" t="str">
        <f>IFERROR(INDEX('V13'!C$300:C$400,MATCH("*"&amp;L55&amp;"*",'V13'!B$300:B$400,0)),"  ")</f>
        <v xml:space="preserve">  </v>
      </c>
      <c r="AM55" s="702" t="str">
        <f>IFERROR(INDEX('V14'!C$300:C$400,MATCH("*"&amp;L55&amp;"*",'V14'!B$300:B$400,0)),"  ")</f>
        <v xml:space="preserve">  </v>
      </c>
      <c r="AN55" s="702" t="str">
        <f>IFERROR(INDEX('V15'!C$300:C$400,MATCH("*"&amp;L55&amp;"*",'V15'!B$300:B$400,0)),"  ")</f>
        <v xml:space="preserve">  </v>
      </c>
      <c r="AO55" s="703" t="str">
        <f t="shared" si="10"/>
        <v/>
      </c>
      <c r="AP55" s="704">
        <f>IFERROR("edasi "&amp;RANK(AO55,AO$7:AO$66,1),K55)</f>
        <v>49</v>
      </c>
      <c r="AQ55" s="705" t="str">
        <f>IFERROR(INDEX('V-fin'!A$300:A$401,MATCH("*"&amp;L55&amp;"*",'V-fin'!B$300:B$401,0)),"  ")</f>
        <v xml:space="preserve">  </v>
      </c>
      <c r="AR55" s="706">
        <f t="shared" si="8"/>
        <v>1</v>
      </c>
      <c r="AS55" s="707">
        <f>IFERROR(IF(Z55+1&gt;LARGE(Z$7:Z$66,1)-2,1),0)+IFERROR(IF(AA55+1&gt;LARGE(AA$7:AA$66,1)-2,1),0)+IFERROR(IF(AB55+1&gt;LARGE(AB$7:AB$66,1)-2,1),0)+IFERROR(IF(AC55+1&gt;LARGE(AC$7:AC$66,1)-2,1),0)+IFERROR(IF(AD55+1&gt;LARGE(AD$7:AD$66,1)-2,1),0)+IFERROR(IF(AE55+1&gt;LARGE(AE$7:AE$66,1)-2,1),0)+IFERROR(IF(AF55+1&gt;LARGE(AF$7:AF$66,1)-2,1),0)+IFERROR(IF(AG55+1&gt;LARGE(AG$7:AG$66,1)-2,1),0)+IFERROR(IF(AH55+1&gt;LARGE(AH$7:AH$66,1)-2,1),0)+IFERROR(IF(AI55+1&gt;LARGE(AI$7:AI$66,1)-2,1),0)+IFERROR(IF(AJ55+1&gt;LARGE(AJ$7:AJ$66,1)-2,1),0)+IFERROR(IF(AK55+1&gt;LARGE(AK$7:AK$66,1)-2,1),0)+IFERROR(IF(AL55+1&gt;LARGE(AL$7:AL$66,1)-2,1),0)+IFERROR(IF(AM55+1&gt;LARGE(AM$7:AM$66,1)-2,1),0)+IFERROR(IF(AN55+1&gt;LARGE(AN$7:AN$66,1)-2,1),0)</f>
        <v>0</v>
      </c>
      <c r="AT55" s="707">
        <f>IF(Z55=0,0,IF(Z55=IFERROR(LARGE(Z$7:Z$66,1),0),1,0))+IF(AA55=0,0,IF(AA55=IFERROR(LARGE(AA$7:AA$66,1),0),1,0))+IF(AB55=0,0,IF(AB55=IFERROR(LARGE(AB$7:AB$66,1),0),1,0))+IF(AC55=0,0,IF(AC55=IFERROR(LARGE(AC$7:AC$66,1),0),1,0))+IF(AD55=0,0,IF(AD55=IFERROR(LARGE(AD$7:AD$66,1),0),1,0))+IF(AE55=0,0,IF(AE55=IFERROR(LARGE(AE$7:AE$66,1),0),1,0))+IF(AF55=0,0,IF(AF55=IFERROR(LARGE(AF$7:AF$66,1),0),1,0))+IF(AG55=0,0,IF(AG55=IFERROR(LARGE(AG$7:AG$66,1),0),1,0))+IF(AH55=0,0,IF(AH55=IFERROR(LARGE(AH$7:AH$66,1),0),1,0))+IF(AI55=0,0,IF(AI55=IFERROR(LARGE(AI$7:AI$66,1),0),1,0))+IF(AJ55=0,0,IF(AJ55=IFERROR(LARGE(AJ$7:AJ$66,1),0),1,0))+IF(AK55=0,0,IF(AK55=IFERROR(LARGE(AK$7:AK$66,1),0),1,0))+IF(AL55=0,0,IF(AL55=IFERROR(LARGE(AL$7:AL$66,1),0),1,0))+IF(AM55=0,0,IF(AM55=IFERROR(LARGE(AM$7:AM$66,1),0),1,0))+IF(AN55=0,0,IF(AN55=IFERROR(LARGE(AN$7:AN$66,1),0),1,0))</f>
        <v>0</v>
      </c>
      <c r="AU55" s="629"/>
      <c r="AV55" s="708">
        <f t="shared" si="11"/>
        <v>4.0000000000000002E-4</v>
      </c>
      <c r="AW55" s="709">
        <f t="shared" si="15"/>
        <v>1E-4</v>
      </c>
      <c r="AX55" s="709">
        <f t="shared" si="15"/>
        <v>2.0000000000000001E-4</v>
      </c>
      <c r="AY55" s="709">
        <f t="shared" si="15"/>
        <v>2.9999999999999997E-4</v>
      </c>
      <c r="AZ55" s="709">
        <f t="shared" si="15"/>
        <v>4.0000000000000002E-4</v>
      </c>
      <c r="BA55" s="709">
        <f t="shared" si="15"/>
        <v>12.000500000000001</v>
      </c>
      <c r="BB55" s="709">
        <f t="shared" si="15"/>
        <v>5.9999999999999995E-4</v>
      </c>
      <c r="BC55" s="709">
        <f t="shared" si="15"/>
        <v>6.9999999999999999E-4</v>
      </c>
      <c r="BD55" s="709">
        <f t="shared" si="15"/>
        <v>8.0000000000000004E-4</v>
      </c>
      <c r="BE55" s="709">
        <f t="shared" si="15"/>
        <v>8.9999999999999998E-4</v>
      </c>
      <c r="BF55" s="709">
        <f t="shared" si="15"/>
        <v>1E-3</v>
      </c>
      <c r="BG55" s="709">
        <f t="shared" si="15"/>
        <v>1.1000000000000001E-3</v>
      </c>
      <c r="BH55" s="709">
        <f t="shared" si="15"/>
        <v>1.1999999999999999E-3</v>
      </c>
      <c r="BI55" s="709">
        <f t="shared" si="15"/>
        <v>1.2999999999999999E-3</v>
      </c>
      <c r="BJ55" s="709">
        <f t="shared" si="15"/>
        <v>1.4E-3</v>
      </c>
      <c r="BK55" s="709">
        <f t="shared" si="15"/>
        <v>1.5E-3</v>
      </c>
      <c r="BL55" s="629"/>
    </row>
    <row r="56" spans="1:64" x14ac:dyDescent="0.2">
      <c r="A56" s="686" t="str">
        <f>IF(R56&gt;0,IF(Q56="v",RANK(B56,B$7:B$66,1)-COUNTBLANK(Q$7:Q$66),""),"")</f>
        <v/>
      </c>
      <c r="B56" s="687">
        <f t="shared" si="0"/>
        <v>-949</v>
      </c>
      <c r="C56" s="688" t="str">
        <f>IF(R56&gt;0,IF(P56="k",RANK(D56,D$7:D$66,1)-COUNTBLANK(P$7:P$66),""),"")</f>
        <v/>
      </c>
      <c r="D56" s="687">
        <f t="shared" si="1"/>
        <v>-949</v>
      </c>
      <c r="E56" s="689">
        <f>IF(R56&gt;0,IF(N56="m",RANK(F56,F$7:F$66,1)-COUNTBLANK(N$7:N$66),""),"")</f>
        <v>37</v>
      </c>
      <c r="F56" s="687">
        <f t="shared" si="2"/>
        <v>51</v>
      </c>
      <c r="G56" s="690" t="str">
        <f>IF(R56&gt;0,IF(M56="n",RANK(H56,H$7:H$66,1)-COUNTBLANK(M$7:M$66),""),"")</f>
        <v/>
      </c>
      <c r="H56" s="687">
        <f t="shared" si="3"/>
        <v>-949</v>
      </c>
      <c r="I56" s="691" t="str">
        <f>IF(R56&gt;0,IF(O56="j",RANK(J56,J$7:J$66,1)-COUNTBLANK(O$7:O$66),""),"")</f>
        <v/>
      </c>
      <c r="J56" s="692">
        <f t="shared" si="4"/>
        <v>-949</v>
      </c>
      <c r="K56" s="654">
        <f>IF(R56&gt;0,RANK(U56,U$7:U$66,1),"")</f>
        <v>49</v>
      </c>
      <c r="L56" s="711" t="s">
        <v>311</v>
      </c>
      <c r="M56" s="694"/>
      <c r="N56" s="695" t="s">
        <v>273</v>
      </c>
      <c r="O56" s="696"/>
      <c r="P56" s="697"/>
      <c r="Q56" s="698"/>
      <c r="R56" s="699">
        <f>(IF(COUNT(Z56,AA56,AB56,AC56,AD56,AE56,AF56,AG56,AH56,AI56,AJ56,AK56,AL56,AM56,AN56)&lt;11,SUM(Z56,AA56,AB56,AC56,AD56,AE56,AF56,AG56,AH56,AI56,AJ56,AK56,AL56,AM56,AN56),SUM(LARGE((Z56,AA56,AB56,AC56,AD56,AE56,AF56,AG56,AH56,AI56,AJ56,AK56,AL56,AM56,AN56),{1;2;3;4;5;6;7;8;9;10;11}))))</f>
        <v>12</v>
      </c>
      <c r="S56" s="700" t="str">
        <f>INDEX(ETAPP!B$1:B$32,MATCH(COUNTIF(Z56:AN56,PVO!A$1),ETAPP!A$1:A$32,0))&amp;INDEX(ETAPP!B$1:B$32,MATCH(COUNTIF(Z56:AN56,PVO!A$2),ETAPP!A$1:A$32,0))&amp;INDEX(ETAPP!B$1:B$32,MATCH(COUNTIF(Z56:AN56,PVO!A$3),ETAPP!A$1:A$32,0))&amp;INDEX(ETAPP!B$1:B$32,MATCH(COUNTIF(Z56:AN56,PVO!A$4),ETAPP!A$1:A$32,0))&amp;INDEX(ETAPP!B$1:B$32,MATCH(COUNTIF(Z56:AN56,PVO!A$5),ETAPP!A$1:A$32,0))&amp;INDEX(ETAPP!B$1:B$32,MATCH(COUNTIF(Z56:AN56,PVO!A$6),ETAPP!A$1:A$32,0))&amp;INDEX(ETAPP!B$1:B$32,MATCH(COUNTIF(Z56:AN56,PVO!A$7),ETAPP!A$1:A$32,0))&amp;INDEX(ETAPP!B$1:B$32,MATCH(COUNTIF(Z56:AN56,PVO!A$8),ETAPP!A$1:A$32,0))&amp;INDEX(ETAPP!B$1:B$32,MATCH(COUNTIF(Z56:AN56,PVO!A$9),ETAPP!A$1:A$32,0))&amp;INDEX(ETAPP!B$1:B$32,MATCH(COUNTIF(Z56:AN56,PVO!A$10),ETAPP!A$1:A$32,0))&amp;INDEX(ETAPP!B$1:B$32,MATCH(COUNTIF(Z56:AN56,PVO!A$11),ETAPP!A$1:A$32,0))&amp;INDEX(ETAPP!B$1:B$32,MATCH(COUNTIF(Z56:AN56,PVO!A$12),ETAPP!A$1:A$32,0))&amp;INDEX(ETAPP!B$1:B$32,MATCH(COUNTIF(Z56:AN56,PVO!A$13),ETAPP!A$1:A$32,0))&amp;INDEX(ETAPP!B$1:B$32,MATCH(COUNTIF(Z56:AN56,PVO!A$14),ETAPP!A$1:A$32,0))&amp;INDEX(ETAPP!B$1:B$32,MATCH(COUNTIF(Z56:AN56,PVO!A$15),ETAPP!A$1:A$32,0))&amp;INDEX(ETAPP!B$1:B$32,MATCH(COUNTIF(Z56:AN56,PVO!A$16),ETAPP!A$1:A$32,0))&amp;INDEX(ETAPP!B$1:B$32,MATCH(COUNTIF(Z56:AN56,PVO!A$17),ETAPP!A$1:A$32,0))&amp;INDEX(ETAPP!B$1:B$32,MATCH(COUNTIF(Z56:AN56,PVO!A$18),ETAPP!A$1:A$32,0))&amp;INDEX(ETAPP!B$1:B$32,MATCH(COUNTIF(Z56:AN56,PVO!A$19),ETAPP!A$1:A$32,0))</f>
        <v>00000A000000000000I</v>
      </c>
      <c r="T56" s="700" t="str">
        <f t="shared" si="6"/>
        <v>012,0-00000A000000000000I</v>
      </c>
      <c r="U56" s="700">
        <f>COUNTIF(T$7:T$66,"&gt;="&amp;T56)</f>
        <v>51</v>
      </c>
      <c r="V56" s="700">
        <f>COUNTIF(L$7:L$66,"&gt;="&amp;L56)</f>
        <v>25</v>
      </c>
      <c r="W56" s="700" t="str">
        <f t="shared" si="7"/>
        <v>012,0-00000A000000000000I-025</v>
      </c>
      <c r="X56" s="700">
        <f>COUNTIF(W$7:W$66,"&gt;="&amp;W56)</f>
        <v>50</v>
      </c>
      <c r="Y56" s="701">
        <f>RANK(X56,X$7:X$66,0)</f>
        <v>11</v>
      </c>
      <c r="Z56" s="702" t="str">
        <f>IFERROR(INDEX('V1'!C$300:C$400,MATCH("*"&amp;L56&amp;"*",'V1'!B$300:B$400,0)),"  ")</f>
        <v xml:space="preserve">  </v>
      </c>
      <c r="AA56" s="702" t="str">
        <f>IFERROR(INDEX('V2'!C$300:C$400,MATCH("*"&amp;L56&amp;"*",'V2'!B$300:B$400,0)),"  ")</f>
        <v xml:space="preserve">  </v>
      </c>
      <c r="AB56" s="702" t="str">
        <f>IFERROR(INDEX('V3'!C$300:C$400,MATCH("*"&amp;L56&amp;"*",'V3'!B$300:B$400,0)),"  ")</f>
        <v xml:space="preserve">  </v>
      </c>
      <c r="AC56" s="702" t="str">
        <f>IFERROR(INDEX('V4'!C$300:C$400,MATCH("*"&amp;L56&amp;"*",'V4'!B$300:B$400,0)),"  ")</f>
        <v xml:space="preserve">  </v>
      </c>
      <c r="AD56" s="702" t="str">
        <f>IFERROR(INDEX('V5'!C$300:C$400,MATCH("*"&amp;L56&amp;"*",'V5'!B$300:B$400,0)),"  ")</f>
        <v xml:space="preserve">  </v>
      </c>
      <c r="AE56" s="702" t="str">
        <f>IFERROR(INDEX('V6'!C$300:C$400,MATCH("*"&amp;L56&amp;"*",'V6'!B$300:B$400,0)),"  ")</f>
        <v xml:space="preserve">  </v>
      </c>
      <c r="AF56" s="702" t="str">
        <f>IFERROR(INDEX('V7'!C$300:C$400,MATCH("*"&amp;L56&amp;"*",'V7'!B$300:B$400,0)),"  ")</f>
        <v xml:space="preserve">  </v>
      </c>
      <c r="AG56" s="702" t="str">
        <f>IFERROR(INDEX('V8'!C$300:C$400,MATCH("*"&amp;L56&amp;"*",'V8'!B$300:B$400,0)),"  ")</f>
        <v xml:space="preserve">  </v>
      </c>
      <c r="AH56" s="702" t="str">
        <f>IFERROR(INDEX('V9'!C$300:C$400,MATCH("*"&amp;L56&amp;"*",'V9'!B$300:B$400,0)),"  ")</f>
        <v xml:space="preserve">  </v>
      </c>
      <c r="AI56" s="702" t="str">
        <f>IFERROR(INDEX('V10'!C$300:C$400,MATCH("*"&amp;L56&amp;"*",'V10'!B$300:B$400,0)),"  ")</f>
        <v xml:space="preserve">  </v>
      </c>
      <c r="AJ56" s="702" t="str">
        <f>IFERROR(INDEX('V11'!C$300:C$400,MATCH("*"&amp;L56&amp;"*",'V11'!B$300:B$400,0)),"  ")</f>
        <v xml:space="preserve">  </v>
      </c>
      <c r="AK56" s="702" t="str">
        <f>IFERROR(INDEX('V12'!C$300:C$400,MATCH("*"&amp;L56&amp;"*",'V12'!B$300:B$400,0)),"  ")</f>
        <v xml:space="preserve">  </v>
      </c>
      <c r="AL56" s="702" t="str">
        <f>IFERROR(INDEX('V13'!C$300:C$400,MATCH("*"&amp;L56&amp;"*",'V13'!B$300:B$400,0)),"  ")</f>
        <v xml:space="preserve">  </v>
      </c>
      <c r="AM56" s="702" t="str">
        <f>IFERROR(INDEX('V14'!C$300:C$400,MATCH("*"&amp;L56&amp;"*",'V14'!B$300:B$400,0)),"  ")</f>
        <v xml:space="preserve">  </v>
      </c>
      <c r="AN56" s="702">
        <f>IFERROR(INDEX('V15'!C$300:C$400,MATCH("*"&amp;L56&amp;"*",'V15'!B$300:B$400,0)),"  ")</f>
        <v>12</v>
      </c>
      <c r="AO56" s="703" t="str">
        <f t="shared" si="10"/>
        <v/>
      </c>
      <c r="AP56" s="704">
        <f>IFERROR("edasi "&amp;RANK(AO56,AO$7:AO$66,1),K56)</f>
        <v>49</v>
      </c>
      <c r="AQ56" s="705" t="str">
        <f>IFERROR(INDEX('V-fin'!A$300:A$401,MATCH("*"&amp;L56&amp;"*",'V-fin'!B$300:B$401,0)),"  ")</f>
        <v xml:space="preserve">  </v>
      </c>
      <c r="AR56" s="706">
        <f t="shared" si="8"/>
        <v>1</v>
      </c>
      <c r="AS56" s="707">
        <f>IFERROR(IF(Z56+1&gt;LARGE(Z$7:Z$66,1)-2,1),0)+IFERROR(IF(AA56+1&gt;LARGE(AA$7:AA$66,1)-2,1),0)+IFERROR(IF(AB56+1&gt;LARGE(AB$7:AB$66,1)-2,1),0)+IFERROR(IF(AC56+1&gt;LARGE(AC$7:AC$66,1)-2,1),0)+IFERROR(IF(AD56+1&gt;LARGE(AD$7:AD$66,1)-2,1),0)+IFERROR(IF(AE56+1&gt;LARGE(AE$7:AE$66,1)-2,1),0)+IFERROR(IF(AF56+1&gt;LARGE(AF$7:AF$66,1)-2,1),0)+IFERROR(IF(AG56+1&gt;LARGE(AG$7:AG$66,1)-2,1),0)+IFERROR(IF(AH56+1&gt;LARGE(AH$7:AH$66,1)-2,1),0)+IFERROR(IF(AI56+1&gt;LARGE(AI$7:AI$66,1)-2,1),0)+IFERROR(IF(AJ56+1&gt;LARGE(AJ$7:AJ$66,1)-2,1),0)+IFERROR(IF(AK56+1&gt;LARGE(AK$7:AK$66,1)-2,1),0)+IFERROR(IF(AL56+1&gt;LARGE(AL$7:AL$66,1)-2,1),0)+IFERROR(IF(AM56+1&gt;LARGE(AM$7:AM$66,1)-2,1),0)+IFERROR(IF(AN56+1&gt;LARGE(AN$7:AN$66,1)-2,1),0)</f>
        <v>0</v>
      </c>
      <c r="AT56" s="707">
        <f>IF(Z56=0,0,IF(Z56=IFERROR(LARGE(Z$7:Z$66,1),0),1,0))+IF(AA56=0,0,IF(AA56=IFERROR(LARGE(AA$7:AA$66,1),0),1,0))+IF(AB56=0,0,IF(AB56=IFERROR(LARGE(AB$7:AB$66,1),0),1,0))+IF(AC56=0,0,IF(AC56=IFERROR(LARGE(AC$7:AC$66,1),0),1,0))+IF(AD56=0,0,IF(AD56=IFERROR(LARGE(AD$7:AD$66,1),0),1,0))+IF(AE56=0,0,IF(AE56=IFERROR(LARGE(AE$7:AE$66,1),0),1,0))+IF(AF56=0,0,IF(AF56=IFERROR(LARGE(AF$7:AF$66,1),0),1,0))+IF(AG56=0,0,IF(AG56=IFERROR(LARGE(AG$7:AG$66,1),0),1,0))+IF(AH56=0,0,IF(AH56=IFERROR(LARGE(AH$7:AH$66,1),0),1,0))+IF(AI56=0,0,IF(AI56=IFERROR(LARGE(AI$7:AI$66,1),0),1,0))+IF(AJ56=0,0,IF(AJ56=IFERROR(LARGE(AJ$7:AJ$66,1),0),1,0))+IF(AK56=0,0,IF(AK56=IFERROR(LARGE(AK$7:AK$66,1),0),1,0))+IF(AL56=0,0,IF(AL56=IFERROR(LARGE(AL$7:AL$66,1),0),1,0))+IF(AM56=0,0,IF(AM56=IFERROR(LARGE(AM$7:AM$66,1),0),1,0))+IF(AN56=0,0,IF(AN56=IFERROR(LARGE(AN$7:AN$66,1),0),1,0))</f>
        <v>0</v>
      </c>
      <c r="AU56" s="629"/>
      <c r="AV56" s="708">
        <f t="shared" si="11"/>
        <v>4.0000000000000002E-4</v>
      </c>
      <c r="AW56" s="709">
        <f t="shared" si="15"/>
        <v>1E-4</v>
      </c>
      <c r="AX56" s="709">
        <f t="shared" si="15"/>
        <v>2.0000000000000001E-4</v>
      </c>
      <c r="AY56" s="709">
        <f t="shared" si="15"/>
        <v>2.9999999999999997E-4</v>
      </c>
      <c r="AZ56" s="709">
        <f t="shared" si="15"/>
        <v>4.0000000000000002E-4</v>
      </c>
      <c r="BA56" s="709">
        <f t="shared" si="15"/>
        <v>5.0000000000000001E-4</v>
      </c>
      <c r="BB56" s="709">
        <f t="shared" si="15"/>
        <v>5.9999999999999995E-4</v>
      </c>
      <c r="BC56" s="709">
        <f t="shared" si="15"/>
        <v>6.9999999999999999E-4</v>
      </c>
      <c r="BD56" s="709">
        <f t="shared" si="15"/>
        <v>8.0000000000000004E-4</v>
      </c>
      <c r="BE56" s="709">
        <f t="shared" si="15"/>
        <v>8.9999999999999998E-4</v>
      </c>
      <c r="BF56" s="709">
        <f t="shared" si="15"/>
        <v>1E-3</v>
      </c>
      <c r="BG56" s="709">
        <f t="shared" si="15"/>
        <v>1.1000000000000001E-3</v>
      </c>
      <c r="BH56" s="709">
        <f t="shared" si="15"/>
        <v>1.1999999999999999E-3</v>
      </c>
      <c r="BI56" s="709">
        <f t="shared" si="15"/>
        <v>1.2999999999999999E-3</v>
      </c>
      <c r="BJ56" s="709">
        <f t="shared" si="15"/>
        <v>1.4E-3</v>
      </c>
      <c r="BK56" s="709">
        <f t="shared" si="15"/>
        <v>12.0015</v>
      </c>
      <c r="BL56" s="629"/>
    </row>
    <row r="57" spans="1:64" x14ac:dyDescent="0.2">
      <c r="A57" s="686" t="str">
        <f>IF(R57&gt;0,IF(Q57="v",RANK(B57,B$7:B$66,1)-COUNTBLANK(Q$7:Q$66),""),"")</f>
        <v/>
      </c>
      <c r="B57" s="687">
        <f t="shared" si="0"/>
        <v>-949</v>
      </c>
      <c r="C57" s="688" t="str">
        <f>IF(R57&gt;0,IF(P57="k",RANK(D57,D$7:D$66,1)-COUNTBLANK(P$7:P$66),""),"")</f>
        <v/>
      </c>
      <c r="D57" s="687">
        <f t="shared" si="1"/>
        <v>-949</v>
      </c>
      <c r="E57" s="689">
        <f>IF(R57&gt;0,IF(N57="m",RANK(F57,F$7:F$66,1)-COUNTBLANK(N$7:N$66),""),"")</f>
        <v>37</v>
      </c>
      <c r="F57" s="687">
        <f t="shared" si="2"/>
        <v>51</v>
      </c>
      <c r="G57" s="690" t="str">
        <f>IF(R57&gt;0,IF(M57="n",RANK(H57,H$7:H$66,1)-COUNTBLANK(M$7:M$66),""),"")</f>
        <v/>
      </c>
      <c r="H57" s="687">
        <f t="shared" si="3"/>
        <v>-949</v>
      </c>
      <c r="I57" s="691" t="str">
        <f>IF(R57&gt;0,IF(O57="j",RANK(J57,J$7:J$66,1)-COUNTBLANK(O$7:O$66),""),"")</f>
        <v/>
      </c>
      <c r="J57" s="692">
        <f t="shared" si="4"/>
        <v>-949</v>
      </c>
      <c r="K57" s="654">
        <f>IF(R57&gt;0,RANK(U57,U$7:U$66,1),"")</f>
        <v>49</v>
      </c>
      <c r="L57" s="711" t="s">
        <v>312</v>
      </c>
      <c r="M57" s="694"/>
      <c r="N57" s="695" t="s">
        <v>273</v>
      </c>
      <c r="O57" s="696"/>
      <c r="P57" s="697"/>
      <c r="Q57" s="698"/>
      <c r="R57" s="699">
        <f>(IF(COUNT(Z57,AA57,AB57,AC57,AD57,AE57,AF57,AG57,AH57,AI57,AJ57,AK57,AL57,AM57,AN57)&lt;11,SUM(Z57,AA57,AB57,AC57,AD57,AE57,AF57,AG57,AH57,AI57,AJ57,AK57,AL57,AM57,AN57),SUM(LARGE((Z57,AA57,AB57,AC57,AD57,AE57,AF57,AG57,AH57,AI57,AJ57,AK57,AL57,AM57,AN57),{1;2;3;4;5;6;7;8;9;10;11}))))</f>
        <v>12</v>
      </c>
      <c r="S57" s="700" t="str">
        <f>INDEX(ETAPP!B$1:B$32,MATCH(COUNTIF(Z57:AN57,PVO!A$1),ETAPP!A$1:A$32,0))&amp;INDEX(ETAPP!B$1:B$32,MATCH(COUNTIF(Z57:AN57,PVO!A$2),ETAPP!A$1:A$32,0))&amp;INDEX(ETAPP!B$1:B$32,MATCH(COUNTIF(Z57:AN57,PVO!A$3),ETAPP!A$1:A$32,0))&amp;INDEX(ETAPP!B$1:B$32,MATCH(COUNTIF(Z57:AN57,PVO!A$4),ETAPP!A$1:A$32,0))&amp;INDEX(ETAPP!B$1:B$32,MATCH(COUNTIF(Z57:AN57,PVO!A$5),ETAPP!A$1:A$32,0))&amp;INDEX(ETAPP!B$1:B$32,MATCH(COUNTIF(Z57:AN57,PVO!A$6),ETAPP!A$1:A$32,0))&amp;INDEX(ETAPP!B$1:B$32,MATCH(COUNTIF(Z57:AN57,PVO!A$7),ETAPP!A$1:A$32,0))&amp;INDEX(ETAPP!B$1:B$32,MATCH(COUNTIF(Z57:AN57,PVO!A$8),ETAPP!A$1:A$32,0))&amp;INDEX(ETAPP!B$1:B$32,MATCH(COUNTIF(Z57:AN57,PVO!A$9),ETAPP!A$1:A$32,0))&amp;INDEX(ETAPP!B$1:B$32,MATCH(COUNTIF(Z57:AN57,PVO!A$10),ETAPP!A$1:A$32,0))&amp;INDEX(ETAPP!B$1:B$32,MATCH(COUNTIF(Z57:AN57,PVO!A$11),ETAPP!A$1:A$32,0))&amp;INDEX(ETAPP!B$1:B$32,MATCH(COUNTIF(Z57:AN57,PVO!A$12),ETAPP!A$1:A$32,0))&amp;INDEX(ETAPP!B$1:B$32,MATCH(COUNTIF(Z57:AN57,PVO!A$13),ETAPP!A$1:A$32,0))&amp;INDEX(ETAPP!B$1:B$32,MATCH(COUNTIF(Z57:AN57,PVO!A$14),ETAPP!A$1:A$32,0))&amp;INDEX(ETAPP!B$1:B$32,MATCH(COUNTIF(Z57:AN57,PVO!A$15),ETAPP!A$1:A$32,0))&amp;INDEX(ETAPP!B$1:B$32,MATCH(COUNTIF(Z57:AN57,PVO!A$16),ETAPP!A$1:A$32,0))&amp;INDEX(ETAPP!B$1:B$32,MATCH(COUNTIF(Z57:AN57,PVO!A$17),ETAPP!A$1:A$32,0))&amp;INDEX(ETAPP!B$1:B$32,MATCH(COUNTIF(Z57:AN57,PVO!A$18),ETAPP!A$1:A$32,0))&amp;INDEX(ETAPP!B$1:B$32,MATCH(COUNTIF(Z57:AN57,PVO!A$19),ETAPP!A$1:A$32,0))</f>
        <v>00000A000000000000I</v>
      </c>
      <c r="T57" s="700" t="str">
        <f t="shared" si="6"/>
        <v>012,0-00000A000000000000I</v>
      </c>
      <c r="U57" s="700">
        <f>COUNTIF(T$7:T$66,"&gt;="&amp;T57)</f>
        <v>51</v>
      </c>
      <c r="V57" s="700">
        <f>COUNTIF(L$7:L$66,"&gt;="&amp;L57)</f>
        <v>8</v>
      </c>
      <c r="W57" s="700" t="str">
        <f t="shared" si="7"/>
        <v>012,0-00000A000000000000I-008</v>
      </c>
      <c r="X57" s="700">
        <f>COUNTIF(W$7:W$66,"&gt;="&amp;W57)</f>
        <v>51</v>
      </c>
      <c r="Y57" s="701">
        <f>RANK(X57,X$7:X$66,0)</f>
        <v>10</v>
      </c>
      <c r="Z57" s="702" t="str">
        <f>IFERROR(INDEX('V1'!C$300:C$400,MATCH("*"&amp;L57&amp;"*",'V1'!B$300:B$400,0)),"  ")</f>
        <v xml:space="preserve">  </v>
      </c>
      <c r="AA57" s="702" t="str">
        <f>IFERROR(INDEX('V2'!C$300:C$400,MATCH("*"&amp;L57&amp;"*",'V2'!B$300:B$400,0)),"  ")</f>
        <v xml:space="preserve">  </v>
      </c>
      <c r="AB57" s="702" t="str">
        <f>IFERROR(INDEX('V3'!C$300:C$400,MATCH("*"&amp;L57&amp;"*",'V3'!B$300:B$400,0)),"  ")</f>
        <v xml:space="preserve">  </v>
      </c>
      <c r="AC57" s="702" t="str">
        <f>IFERROR(INDEX('V4'!C$300:C$400,MATCH("*"&amp;L57&amp;"*",'V4'!B$300:B$400,0)),"  ")</f>
        <v xml:space="preserve">  </v>
      </c>
      <c r="AD57" s="702" t="str">
        <f>IFERROR(INDEX('V5'!C$300:C$400,MATCH("*"&amp;L57&amp;"*",'V5'!B$300:B$400,0)),"  ")</f>
        <v xml:space="preserve">  </v>
      </c>
      <c r="AE57" s="702" t="str">
        <f>IFERROR(INDEX('V6'!C$300:C$400,MATCH("*"&amp;L57&amp;"*",'V6'!B$300:B$400,0)),"  ")</f>
        <v xml:space="preserve">  </v>
      </c>
      <c r="AF57" s="702" t="str">
        <f>IFERROR(INDEX('V7'!C$300:C$400,MATCH("*"&amp;L57&amp;"*",'V7'!B$300:B$400,0)),"  ")</f>
        <v xml:space="preserve">  </v>
      </c>
      <c r="AG57" s="702" t="str">
        <f>IFERROR(INDEX('V8'!C$300:C$400,MATCH("*"&amp;L57&amp;"*",'V8'!B$300:B$400,0)),"  ")</f>
        <v xml:space="preserve">  </v>
      </c>
      <c r="AH57" s="702" t="str">
        <f>IFERROR(INDEX('V9'!C$300:C$400,MATCH("*"&amp;L57&amp;"*",'V9'!B$300:B$400,0)),"  ")</f>
        <v xml:space="preserve">  </v>
      </c>
      <c r="AI57" s="702" t="str">
        <f>IFERROR(INDEX('V10'!C$300:C$400,MATCH("*"&amp;L57&amp;"*",'V10'!B$300:B$400,0)),"  ")</f>
        <v xml:space="preserve">  </v>
      </c>
      <c r="AJ57" s="702" t="str">
        <f>IFERROR(INDEX('V11'!C$300:C$400,MATCH("*"&amp;L57&amp;"*",'V11'!B$300:B$400,0)),"  ")</f>
        <v xml:space="preserve">  </v>
      </c>
      <c r="AK57" s="702" t="str">
        <f>IFERROR(INDEX('V12'!C$300:C$400,MATCH("*"&amp;L57&amp;"*",'V12'!B$300:B$400,0)),"  ")</f>
        <v xml:space="preserve">  </v>
      </c>
      <c r="AL57" s="702" t="str">
        <f>IFERROR(INDEX('V13'!C$300:C$400,MATCH("*"&amp;L57&amp;"*",'V13'!B$300:B$400,0)),"  ")</f>
        <v xml:space="preserve">  </v>
      </c>
      <c r="AM57" s="702" t="str">
        <f>IFERROR(INDEX('V14'!C$300:C$400,MATCH("*"&amp;L57&amp;"*",'V14'!B$300:B$400,0)),"  ")</f>
        <v xml:space="preserve">  </v>
      </c>
      <c r="AN57" s="702">
        <f>IFERROR(INDEX('V15'!C$300:C$400,MATCH("*"&amp;L57&amp;"*",'V15'!B$300:B$400,0)),"  ")</f>
        <v>12</v>
      </c>
      <c r="AO57" s="703" t="str">
        <f t="shared" si="10"/>
        <v/>
      </c>
      <c r="AP57" s="704">
        <f>IFERROR("edasi "&amp;RANK(AO57,AO$7:AO$66,1),K57)</f>
        <v>49</v>
      </c>
      <c r="AQ57" s="705" t="str">
        <f>IFERROR(INDEX('V-fin'!A$300:A$401,MATCH("*"&amp;L57&amp;"*",'V-fin'!B$300:B$401,0)),"  ")</f>
        <v xml:space="preserve">  </v>
      </c>
      <c r="AR57" s="706">
        <f t="shared" si="8"/>
        <v>1</v>
      </c>
      <c r="AS57" s="707">
        <f>IFERROR(IF(Z57+1&gt;LARGE(Z$7:Z$66,1)-2,1),0)+IFERROR(IF(AA57+1&gt;LARGE(AA$7:AA$66,1)-2,1),0)+IFERROR(IF(AB57+1&gt;LARGE(AB$7:AB$66,1)-2,1),0)+IFERROR(IF(AC57+1&gt;LARGE(AC$7:AC$66,1)-2,1),0)+IFERROR(IF(AD57+1&gt;LARGE(AD$7:AD$66,1)-2,1),0)+IFERROR(IF(AE57+1&gt;LARGE(AE$7:AE$66,1)-2,1),0)+IFERROR(IF(AF57+1&gt;LARGE(AF$7:AF$66,1)-2,1),0)+IFERROR(IF(AG57+1&gt;LARGE(AG$7:AG$66,1)-2,1),0)+IFERROR(IF(AH57+1&gt;LARGE(AH$7:AH$66,1)-2,1),0)+IFERROR(IF(AI57+1&gt;LARGE(AI$7:AI$66,1)-2,1),0)+IFERROR(IF(AJ57+1&gt;LARGE(AJ$7:AJ$66,1)-2,1),0)+IFERROR(IF(AK57+1&gt;LARGE(AK$7:AK$66,1)-2,1),0)+IFERROR(IF(AL57+1&gt;LARGE(AL$7:AL$66,1)-2,1),0)+IFERROR(IF(AM57+1&gt;LARGE(AM$7:AM$66,1)-2,1),0)+IFERROR(IF(AN57+1&gt;LARGE(AN$7:AN$66,1)-2,1),0)</f>
        <v>0</v>
      </c>
      <c r="AT57" s="707">
        <f>IF(Z57=0,0,IF(Z57=IFERROR(LARGE(Z$7:Z$66,1),0),1,0))+IF(AA57=0,0,IF(AA57=IFERROR(LARGE(AA$7:AA$66,1),0),1,0))+IF(AB57=0,0,IF(AB57=IFERROR(LARGE(AB$7:AB$66,1),0),1,0))+IF(AC57=0,0,IF(AC57=IFERROR(LARGE(AC$7:AC$66,1),0),1,0))+IF(AD57=0,0,IF(AD57=IFERROR(LARGE(AD$7:AD$66,1),0),1,0))+IF(AE57=0,0,IF(AE57=IFERROR(LARGE(AE$7:AE$66,1),0),1,0))+IF(AF57=0,0,IF(AF57=IFERROR(LARGE(AF$7:AF$66,1),0),1,0))+IF(AG57=0,0,IF(AG57=IFERROR(LARGE(AG$7:AG$66,1),0),1,0))+IF(AH57=0,0,IF(AH57=IFERROR(LARGE(AH$7:AH$66,1),0),1,0))+IF(AI57=0,0,IF(AI57=IFERROR(LARGE(AI$7:AI$66,1),0),1,0))+IF(AJ57=0,0,IF(AJ57=IFERROR(LARGE(AJ$7:AJ$66,1),0),1,0))+IF(AK57=0,0,IF(AK57=IFERROR(LARGE(AK$7:AK$66,1),0),1,0))+IF(AL57=0,0,IF(AL57=IFERROR(LARGE(AL$7:AL$66,1),0),1,0))+IF(AM57=0,0,IF(AM57=IFERROR(LARGE(AM$7:AM$66,1),0),1,0))+IF(AN57=0,0,IF(AN57=IFERROR(LARGE(AN$7:AN$66,1),0),1,0))</f>
        <v>0</v>
      </c>
      <c r="AU57" s="629"/>
      <c r="AV57" s="708">
        <f t="shared" si="11"/>
        <v>4.0000000000000002E-4</v>
      </c>
      <c r="AW57" s="709">
        <f t="shared" si="15"/>
        <v>1E-4</v>
      </c>
      <c r="AX57" s="709">
        <f t="shared" si="15"/>
        <v>2.0000000000000001E-4</v>
      </c>
      <c r="AY57" s="709">
        <f t="shared" si="15"/>
        <v>2.9999999999999997E-4</v>
      </c>
      <c r="AZ57" s="709">
        <f t="shared" si="15"/>
        <v>4.0000000000000002E-4</v>
      </c>
      <c r="BA57" s="709">
        <f t="shared" si="15"/>
        <v>5.0000000000000001E-4</v>
      </c>
      <c r="BB57" s="709">
        <f t="shared" si="15"/>
        <v>5.9999999999999995E-4</v>
      </c>
      <c r="BC57" s="709">
        <f t="shared" si="15"/>
        <v>6.9999999999999999E-4</v>
      </c>
      <c r="BD57" s="709">
        <f t="shared" si="15"/>
        <v>8.0000000000000004E-4</v>
      </c>
      <c r="BE57" s="709">
        <f t="shared" si="15"/>
        <v>8.9999999999999998E-4</v>
      </c>
      <c r="BF57" s="709">
        <f t="shared" si="15"/>
        <v>1E-3</v>
      </c>
      <c r="BG57" s="709">
        <f t="shared" si="15"/>
        <v>1.1000000000000001E-3</v>
      </c>
      <c r="BH57" s="709">
        <f t="shared" si="15"/>
        <v>1.1999999999999999E-3</v>
      </c>
      <c r="BI57" s="709">
        <f t="shared" si="15"/>
        <v>1.2999999999999999E-3</v>
      </c>
      <c r="BJ57" s="709">
        <f t="shared" si="15"/>
        <v>1.4E-3</v>
      </c>
      <c r="BK57" s="709">
        <f t="shared" si="15"/>
        <v>12.0015</v>
      </c>
      <c r="BL57" s="629"/>
    </row>
    <row r="58" spans="1:64" x14ac:dyDescent="0.2">
      <c r="A58" s="686">
        <f>IF(R58&gt;0,IF(Q58="v",RANK(B58,B$7:B$66,1)-COUNTBLANK(Q$7:Q$66),""),"")</f>
        <v>34</v>
      </c>
      <c r="B58" s="687">
        <f t="shared" si="0"/>
        <v>52</v>
      </c>
      <c r="C58" s="688">
        <f>IF(R58&gt;0,IF(P58="k",RANK(D58,D$7:D$66,1)-COUNTBLANK(P$7:P$66),""),"")</f>
        <v>16</v>
      </c>
      <c r="D58" s="687">
        <f t="shared" si="1"/>
        <v>52</v>
      </c>
      <c r="E58" s="689">
        <f>IF(R58&gt;0,IF(N58="m",RANK(F58,F$7:F$66,1)-COUNTBLANK(N$7:N$66),""),"")</f>
        <v>40</v>
      </c>
      <c r="F58" s="687">
        <f t="shared" si="2"/>
        <v>52</v>
      </c>
      <c r="G58" s="690" t="str">
        <f>IF(R58&gt;0,IF(M58="n",RANK(H58,H$7:H$66,1)-COUNTBLANK(M$7:M$66),""),"")</f>
        <v/>
      </c>
      <c r="H58" s="687">
        <f t="shared" si="3"/>
        <v>-948</v>
      </c>
      <c r="I58" s="691" t="str">
        <f>IF(R58&gt;0,IF(O58="j",RANK(J58,J$7:J$66,1)-COUNTBLANK(O$7:O$66),""),"")</f>
        <v/>
      </c>
      <c r="J58" s="692">
        <f t="shared" si="4"/>
        <v>-948</v>
      </c>
      <c r="K58" s="654">
        <f>IF(R58&gt;0,RANK(U58,U$7:U$66,1),"")</f>
        <v>52</v>
      </c>
      <c r="L58" s="693" t="s">
        <v>313</v>
      </c>
      <c r="M58" s="694"/>
      <c r="N58" s="695" t="s">
        <v>273</v>
      </c>
      <c r="O58" s="696"/>
      <c r="P58" s="697" t="s">
        <v>268</v>
      </c>
      <c r="Q58" s="698" t="s">
        <v>269</v>
      </c>
      <c r="R58" s="699">
        <f>(IF(COUNT(Z58,AA58,AB58,AC58,AD58,AE58,AF58,AG58,AH58,AI58,AJ58,AK58,AL58,AM58,AN58)&lt;11,SUM(Z58,AA58,AB58,AC58,AD58,AE58,AF58,AG58,AH58,AI58,AJ58,AK58,AL58,AM58,AN58),SUM(LARGE((Z58,AA58,AB58,AC58,AD58,AE58,AF58,AG58,AH58,AI58,AJ58,AK58,AL58,AM58,AN58),{1;2;3;4;5;6;7;8;9;10;11}))))</f>
        <v>10</v>
      </c>
      <c r="S58" s="700" t="str">
        <f>INDEX(ETAPP!B$1:B$32,MATCH(COUNTIF(Z58:AN58,PVO!A$1),ETAPP!A$1:A$32,0))&amp;INDEX(ETAPP!B$1:B$32,MATCH(COUNTIF(Z58:AN58,PVO!A$2),ETAPP!A$1:A$32,0))&amp;INDEX(ETAPP!B$1:B$32,MATCH(COUNTIF(Z58:AN58,PVO!A$3),ETAPP!A$1:A$32,0))&amp;INDEX(ETAPP!B$1:B$32,MATCH(COUNTIF(Z58:AN58,PVO!A$4),ETAPP!A$1:A$32,0))&amp;INDEX(ETAPP!B$1:B$32,MATCH(COUNTIF(Z58:AN58,PVO!A$5),ETAPP!A$1:A$32,0))&amp;INDEX(ETAPP!B$1:B$32,MATCH(COUNTIF(Z58:AN58,PVO!A$6),ETAPP!A$1:A$32,0))&amp;INDEX(ETAPP!B$1:B$32,MATCH(COUNTIF(Z58:AN58,PVO!A$7),ETAPP!A$1:A$32,0))&amp;INDEX(ETAPP!B$1:B$32,MATCH(COUNTIF(Z58:AN58,PVO!A$8),ETAPP!A$1:A$32,0))&amp;INDEX(ETAPP!B$1:B$32,MATCH(COUNTIF(Z58:AN58,PVO!A$9),ETAPP!A$1:A$32,0))&amp;INDEX(ETAPP!B$1:B$32,MATCH(COUNTIF(Z58:AN58,PVO!A$10),ETAPP!A$1:A$32,0))&amp;INDEX(ETAPP!B$1:B$32,MATCH(COUNTIF(Z58:AN58,PVO!A$11),ETAPP!A$1:A$32,0))&amp;INDEX(ETAPP!B$1:B$32,MATCH(COUNTIF(Z58:AN58,PVO!A$12),ETAPP!A$1:A$32,0))&amp;INDEX(ETAPP!B$1:B$32,MATCH(COUNTIF(Z58:AN58,PVO!A$13),ETAPP!A$1:A$32,0))&amp;INDEX(ETAPP!B$1:B$32,MATCH(COUNTIF(Z58:AN58,PVO!A$14),ETAPP!A$1:A$32,0))&amp;INDEX(ETAPP!B$1:B$32,MATCH(COUNTIF(Z58:AN58,PVO!A$15),ETAPP!A$1:A$32,0))&amp;INDEX(ETAPP!B$1:B$32,MATCH(COUNTIF(Z58:AN58,PVO!A$16),ETAPP!A$1:A$32,0))&amp;INDEX(ETAPP!B$1:B$32,MATCH(COUNTIF(Z58:AN58,PVO!A$17),ETAPP!A$1:A$32,0))&amp;INDEX(ETAPP!B$1:B$32,MATCH(COUNTIF(Z58:AN58,PVO!A$18),ETAPP!A$1:A$32,0))&amp;INDEX(ETAPP!B$1:B$32,MATCH(COUNTIF(Z58:AN58,PVO!A$19),ETAPP!A$1:A$32,0))</f>
        <v>0000000A0000000000I</v>
      </c>
      <c r="T58" s="700" t="str">
        <f t="shared" si="6"/>
        <v>010,0-0000000A0000000000I</v>
      </c>
      <c r="U58" s="700">
        <f>COUNTIF(T$7:T$66,"&gt;="&amp;T58)</f>
        <v>52</v>
      </c>
      <c r="V58" s="700">
        <f>COUNTIF(L$7:L$66,"&gt;="&amp;L58)</f>
        <v>49</v>
      </c>
      <c r="W58" s="700" t="str">
        <f t="shared" si="7"/>
        <v>010,0-0000000A0000000000I-049</v>
      </c>
      <c r="X58" s="700">
        <f>COUNTIF(W$7:W$66,"&gt;="&amp;W58)</f>
        <v>52</v>
      </c>
      <c r="Y58" s="701">
        <f>RANK(X58,X$7:X$66,0)</f>
        <v>9</v>
      </c>
      <c r="Z58" s="702">
        <f>IFERROR(INDEX('V1'!C$300:C$400,MATCH("*"&amp;L58&amp;"*",'V1'!B$300:B$400,0)),"  ")</f>
        <v>10</v>
      </c>
      <c r="AA58" s="702" t="str">
        <f>IFERROR(INDEX('V2'!C$300:C$400,MATCH("*"&amp;L58&amp;"*",'V2'!B$300:B$400,0)),"  ")</f>
        <v xml:space="preserve">  </v>
      </c>
      <c r="AB58" s="702" t="str">
        <f>IFERROR(INDEX('V3'!C$300:C$400,MATCH("*"&amp;L58&amp;"*",'V3'!B$300:B$400,0)),"  ")</f>
        <v xml:space="preserve">  </v>
      </c>
      <c r="AC58" s="702" t="str">
        <f>IFERROR(INDEX('V4'!C$300:C$400,MATCH("*"&amp;L58&amp;"*",'V4'!B$300:B$400,0)),"  ")</f>
        <v xml:space="preserve">  </v>
      </c>
      <c r="AD58" s="702" t="str">
        <f>IFERROR(INDEX('V5'!C$300:C$400,MATCH("*"&amp;L58&amp;"*",'V5'!B$300:B$400,0)),"  ")</f>
        <v xml:space="preserve">  </v>
      </c>
      <c r="AE58" s="702" t="str">
        <f>IFERROR(INDEX('V6'!C$300:C$400,MATCH("*"&amp;L58&amp;"*",'V6'!B$300:B$400,0)),"  ")</f>
        <v xml:space="preserve">  </v>
      </c>
      <c r="AF58" s="702" t="str">
        <f>IFERROR(INDEX('V7'!C$300:C$400,MATCH("*"&amp;L58&amp;"*",'V7'!B$300:B$400,0)),"  ")</f>
        <v xml:space="preserve">  </v>
      </c>
      <c r="AG58" s="702" t="str">
        <f>IFERROR(INDEX('V8'!C$300:C$400,MATCH("*"&amp;L58&amp;"*",'V8'!B$300:B$400,0)),"  ")</f>
        <v xml:space="preserve">  </v>
      </c>
      <c r="AH58" s="702" t="str">
        <f>IFERROR(INDEX('V9'!C$300:C$400,MATCH("*"&amp;L58&amp;"*",'V9'!B$300:B$400,0)),"  ")</f>
        <v xml:space="preserve">  </v>
      </c>
      <c r="AI58" s="702" t="str">
        <f>IFERROR(INDEX('V10'!C$300:C$400,MATCH("*"&amp;L58&amp;"*",'V10'!B$300:B$400,0)),"  ")</f>
        <v xml:space="preserve">  </v>
      </c>
      <c r="AJ58" s="702" t="str">
        <f>IFERROR(INDEX('V11'!C$300:C$400,MATCH("*"&amp;L58&amp;"*",'V11'!B$300:B$400,0)),"  ")</f>
        <v xml:space="preserve">  </v>
      </c>
      <c r="AK58" s="702" t="str">
        <f>IFERROR(INDEX('V12'!C$300:C$400,MATCH("*"&amp;L58&amp;"*",'V12'!B$300:B$400,0)),"  ")</f>
        <v xml:space="preserve">  </v>
      </c>
      <c r="AL58" s="702" t="str">
        <f>IFERROR(INDEX('V13'!C$300:C$400,MATCH("*"&amp;L58&amp;"*",'V13'!B$300:B$400,0)),"  ")</f>
        <v xml:space="preserve">  </v>
      </c>
      <c r="AM58" s="702" t="str">
        <f>IFERROR(INDEX('V14'!C$300:C$400,MATCH("*"&amp;L58&amp;"*",'V14'!B$300:B$400,0)),"  ")</f>
        <v xml:space="preserve">  </v>
      </c>
      <c r="AN58" s="702" t="str">
        <f>IFERROR(INDEX('V15'!C$300:C$400,MATCH("*"&amp;L58&amp;"*",'V15'!B$300:B$400,0)),"  ")</f>
        <v xml:space="preserve">  </v>
      </c>
      <c r="AO58" s="703" t="str">
        <f t="shared" si="10"/>
        <v/>
      </c>
      <c r="AP58" s="704">
        <f>IFERROR("edasi "&amp;RANK(AO58,AO$7:AO$66,1),K58)</f>
        <v>52</v>
      </c>
      <c r="AQ58" s="705" t="str">
        <f>IFERROR(INDEX('V-fin'!A$300:A$401,MATCH("*"&amp;L58&amp;"*",'V-fin'!B$300:B$401,0)),"  ")</f>
        <v xml:space="preserve">  </v>
      </c>
      <c r="AR58" s="706">
        <f t="shared" si="8"/>
        <v>1</v>
      </c>
      <c r="AS58" s="707">
        <f>IFERROR(IF(Z58+1&gt;LARGE(Z$7:Z$66,1)-2,1),0)+IFERROR(IF(AA58+1&gt;LARGE(AA$7:AA$66,1)-2,1),0)+IFERROR(IF(AB58+1&gt;LARGE(AB$7:AB$66,1)-2,1),0)+IFERROR(IF(AC58+1&gt;LARGE(AC$7:AC$66,1)-2,1),0)+IFERROR(IF(AD58+1&gt;LARGE(AD$7:AD$66,1)-2,1),0)+IFERROR(IF(AE58+1&gt;LARGE(AE$7:AE$66,1)-2,1),0)+IFERROR(IF(AF58+1&gt;LARGE(AF$7:AF$66,1)-2,1),0)+IFERROR(IF(AG58+1&gt;LARGE(AG$7:AG$66,1)-2,1),0)+IFERROR(IF(AH58+1&gt;LARGE(AH$7:AH$66,1)-2,1),0)+IFERROR(IF(AI58+1&gt;LARGE(AI$7:AI$66,1)-2,1),0)+IFERROR(IF(AJ58+1&gt;LARGE(AJ$7:AJ$66,1)-2,1),0)+IFERROR(IF(AK58+1&gt;LARGE(AK$7:AK$66,1)-2,1),0)+IFERROR(IF(AL58+1&gt;LARGE(AL$7:AL$66,1)-2,1),0)+IFERROR(IF(AM58+1&gt;LARGE(AM$7:AM$66,1)-2,1),0)+IFERROR(IF(AN58+1&gt;LARGE(AN$7:AN$66,1)-2,1),0)</f>
        <v>0</v>
      </c>
      <c r="AT58" s="707">
        <f>IF(Z58=0,0,IF(Z58=IFERROR(LARGE(Z$7:Z$66,1),0),1,0))+IF(AA58=0,0,IF(AA58=IFERROR(LARGE(AA$7:AA$66,1),0),1,0))+IF(AB58=0,0,IF(AB58=IFERROR(LARGE(AB$7:AB$66,1),0),1,0))+IF(AC58=0,0,IF(AC58=IFERROR(LARGE(AC$7:AC$66,1),0),1,0))+IF(AD58=0,0,IF(AD58=IFERROR(LARGE(AD$7:AD$66,1),0),1,0))+IF(AE58=0,0,IF(AE58=IFERROR(LARGE(AE$7:AE$66,1),0),1,0))+IF(AF58=0,0,IF(AF58=IFERROR(LARGE(AF$7:AF$66,1),0),1,0))+IF(AG58=0,0,IF(AG58=IFERROR(LARGE(AG$7:AG$66,1),0),1,0))+IF(AH58=0,0,IF(AH58=IFERROR(LARGE(AH$7:AH$66,1),0),1,0))+IF(AI58=0,0,IF(AI58=IFERROR(LARGE(AI$7:AI$66,1),0),1,0))+IF(AJ58=0,0,IF(AJ58=IFERROR(LARGE(AJ$7:AJ$66,1),0),1,0))+IF(AK58=0,0,IF(AK58=IFERROR(LARGE(AK$7:AK$66,1),0),1,0))+IF(AL58=0,0,IF(AL58=IFERROR(LARGE(AL$7:AL$66,1),0),1,0))+IF(AM58=0,0,IF(AM58=IFERROR(LARGE(AM$7:AM$66,1),0),1,0))+IF(AN58=0,0,IF(AN58=IFERROR(LARGE(AN$7:AN$66,1),0),1,0))</f>
        <v>0</v>
      </c>
      <c r="AU58" s="629"/>
      <c r="AV58" s="708">
        <f t="shared" si="11"/>
        <v>5.0000000000000001E-4</v>
      </c>
      <c r="AW58" s="709">
        <f t="shared" ref="AW58:BK66" si="16">IF(Z58="  ",0+MID(Z$6,FIND("V",Z$6)+1,256)/10000,Z58+MID(Z$6,FIND("V",Z$6)+1,256)/10000)</f>
        <v>10.0001</v>
      </c>
      <c r="AX58" s="709">
        <f t="shared" si="16"/>
        <v>2.0000000000000001E-4</v>
      </c>
      <c r="AY58" s="709">
        <f t="shared" si="16"/>
        <v>2.9999999999999997E-4</v>
      </c>
      <c r="AZ58" s="709">
        <f t="shared" si="16"/>
        <v>4.0000000000000002E-4</v>
      </c>
      <c r="BA58" s="709">
        <f t="shared" si="16"/>
        <v>5.0000000000000001E-4</v>
      </c>
      <c r="BB58" s="709">
        <f t="shared" si="16"/>
        <v>5.9999999999999995E-4</v>
      </c>
      <c r="BC58" s="709">
        <f t="shared" si="16"/>
        <v>6.9999999999999999E-4</v>
      </c>
      <c r="BD58" s="709">
        <f t="shared" si="16"/>
        <v>8.0000000000000004E-4</v>
      </c>
      <c r="BE58" s="709">
        <f t="shared" si="16"/>
        <v>8.9999999999999998E-4</v>
      </c>
      <c r="BF58" s="709">
        <f t="shared" si="16"/>
        <v>1E-3</v>
      </c>
      <c r="BG58" s="709">
        <f t="shared" si="16"/>
        <v>1.1000000000000001E-3</v>
      </c>
      <c r="BH58" s="709">
        <f t="shared" si="16"/>
        <v>1.1999999999999999E-3</v>
      </c>
      <c r="BI58" s="709">
        <f t="shared" si="16"/>
        <v>1.2999999999999999E-3</v>
      </c>
      <c r="BJ58" s="709">
        <f t="shared" si="16"/>
        <v>1.4E-3</v>
      </c>
      <c r="BK58" s="709">
        <f t="shared" si="16"/>
        <v>1.5E-3</v>
      </c>
      <c r="BL58" s="629"/>
    </row>
    <row r="59" spans="1:64" x14ac:dyDescent="0.2">
      <c r="A59" s="686" t="str">
        <f>IF(R59&gt;0,IF(Q59="v",RANK(B59,B$7:B$66,1)-COUNTBLANK(Q$7:Q$66),""),"")</f>
        <v/>
      </c>
      <c r="B59" s="687">
        <f t="shared" si="0"/>
        <v>-947</v>
      </c>
      <c r="C59" s="688" t="str">
        <f>IF(R59&gt;0,IF(P59="k",RANK(D59,D$7:D$66,1)-COUNTBLANK(P$7:P$66),""),"")</f>
        <v/>
      </c>
      <c r="D59" s="687">
        <f t="shared" si="1"/>
        <v>-947</v>
      </c>
      <c r="E59" s="689" t="str">
        <f>IF(R59&gt;0,IF(N59="m",RANK(F59,F$7:F$66,1)-COUNTBLANK(N$7:N$66),""),"")</f>
        <v/>
      </c>
      <c r="F59" s="687">
        <f t="shared" si="2"/>
        <v>-947</v>
      </c>
      <c r="G59" s="690">
        <f>IF(R59&gt;0,IF(M59="n",RANK(H59,H$7:H$66,1)-COUNTBLANK(M$7:M$66),""),"")</f>
        <v>13</v>
      </c>
      <c r="H59" s="687">
        <f t="shared" si="3"/>
        <v>53</v>
      </c>
      <c r="I59" s="691" t="str">
        <f>IF(R59&gt;0,IF(O59="j",RANK(J59,J$7:J$66,1)-COUNTBLANK(O$7:O$66),""),"")</f>
        <v/>
      </c>
      <c r="J59" s="692">
        <f t="shared" si="4"/>
        <v>-947</v>
      </c>
      <c r="K59" s="654">
        <f>IF(R59&gt;0,RANK(U59,U$7:U$66,1),"")</f>
        <v>53</v>
      </c>
      <c r="L59" s="711" t="s">
        <v>314</v>
      </c>
      <c r="M59" s="694" t="s">
        <v>280</v>
      </c>
      <c r="N59" s="695"/>
      <c r="O59" s="696"/>
      <c r="P59" s="697"/>
      <c r="Q59" s="698"/>
      <c r="R59" s="699">
        <f>(IF(COUNT(Z59,AA59,AB59,AC59,AD59,AE59,AF59,AG59,AH59,AI59,AJ59,AK59,AL59,AM59,AN59)&lt;11,SUM(Z59,AA59,AB59,AC59,AD59,AE59,AF59,AG59,AH59,AI59,AJ59,AK59,AL59,AM59,AN59),SUM(LARGE((Z59,AA59,AB59,AC59,AD59,AE59,AF59,AG59,AH59,AI59,AJ59,AK59,AL59,AM59,AN59),{1;2;3;4;5;6;7;8;9;10;11}))))</f>
        <v>9</v>
      </c>
      <c r="S59" s="700" t="str">
        <f>INDEX(ETAPP!B$1:B$32,MATCH(COUNTIF(Z59:AN59,PVO!A$1),ETAPP!A$1:A$32,0))&amp;INDEX(ETAPP!B$1:B$32,MATCH(COUNTIF(Z59:AN59,PVO!A$2),ETAPP!A$1:A$32,0))&amp;INDEX(ETAPP!B$1:B$32,MATCH(COUNTIF(Z59:AN59,PVO!A$3),ETAPP!A$1:A$32,0))&amp;INDEX(ETAPP!B$1:B$32,MATCH(COUNTIF(Z59:AN59,PVO!A$4),ETAPP!A$1:A$32,0))&amp;INDEX(ETAPP!B$1:B$32,MATCH(COUNTIF(Z59:AN59,PVO!A$5),ETAPP!A$1:A$32,0))&amp;INDEX(ETAPP!B$1:B$32,MATCH(COUNTIF(Z59:AN59,PVO!A$6),ETAPP!A$1:A$32,0))&amp;INDEX(ETAPP!B$1:B$32,MATCH(COUNTIF(Z59:AN59,PVO!A$7),ETAPP!A$1:A$32,0))&amp;INDEX(ETAPP!B$1:B$32,MATCH(COUNTIF(Z59:AN59,PVO!A$8),ETAPP!A$1:A$32,0))&amp;INDEX(ETAPP!B$1:B$32,MATCH(COUNTIF(Z59:AN59,PVO!A$9),ETAPP!A$1:A$32,0))&amp;INDEX(ETAPP!B$1:B$32,MATCH(COUNTIF(Z59:AN59,PVO!A$10),ETAPP!A$1:A$32,0))&amp;INDEX(ETAPP!B$1:B$32,MATCH(COUNTIF(Z59:AN59,PVO!A$11),ETAPP!A$1:A$32,0))&amp;INDEX(ETAPP!B$1:B$32,MATCH(COUNTIF(Z59:AN59,PVO!A$12),ETAPP!A$1:A$32,0))&amp;INDEX(ETAPP!B$1:B$32,MATCH(COUNTIF(Z59:AN59,PVO!A$13),ETAPP!A$1:A$32,0))&amp;INDEX(ETAPP!B$1:B$32,MATCH(COUNTIF(Z59:AN59,PVO!A$14),ETAPP!A$1:A$32,0))&amp;INDEX(ETAPP!B$1:B$32,MATCH(COUNTIF(Z59:AN59,PVO!A$15),ETAPP!A$1:A$32,0))&amp;INDEX(ETAPP!B$1:B$32,MATCH(COUNTIF(Z59:AN59,PVO!A$16),ETAPP!A$1:A$32,0))&amp;INDEX(ETAPP!B$1:B$32,MATCH(COUNTIF(Z59:AN59,PVO!A$17),ETAPP!A$1:A$32,0))&amp;INDEX(ETAPP!B$1:B$32,MATCH(COUNTIF(Z59:AN59,PVO!A$18),ETAPP!A$1:A$32,0))&amp;INDEX(ETAPP!B$1:B$32,MATCH(COUNTIF(Z59:AN59,PVO!A$19),ETAPP!A$1:A$32,0))</f>
        <v>00000000A000000000I</v>
      </c>
      <c r="T59" s="700" t="str">
        <f t="shared" si="6"/>
        <v>009,0-00000000A000000000I</v>
      </c>
      <c r="U59" s="700">
        <f>COUNTIF(T$7:T$66,"&gt;="&amp;T59)</f>
        <v>53</v>
      </c>
      <c r="V59" s="700">
        <f>COUNTIF(L$7:L$66,"&gt;="&amp;L59)</f>
        <v>50</v>
      </c>
      <c r="W59" s="700" t="str">
        <f t="shared" si="7"/>
        <v>009,0-00000000A000000000I-050</v>
      </c>
      <c r="X59" s="700">
        <f>COUNTIF(W$7:W$66,"&gt;="&amp;W59)</f>
        <v>53</v>
      </c>
      <c r="Y59" s="701">
        <f>RANK(X59,X$7:X$66,0)</f>
        <v>8</v>
      </c>
      <c r="Z59" s="702" t="str">
        <f>IFERROR(INDEX('V1'!C$300:C$400,MATCH("*"&amp;L59&amp;"*",'V1'!B$300:B$400,0)),"  ")</f>
        <v xml:space="preserve">  </v>
      </c>
      <c r="AA59" s="702" t="str">
        <f>IFERROR(INDEX('V2'!C$300:C$400,MATCH("*"&amp;L59&amp;"*",'V2'!B$300:B$400,0)),"  ")</f>
        <v xml:space="preserve">  </v>
      </c>
      <c r="AB59" s="702" t="str">
        <f>IFERROR(INDEX('V3'!C$300:C$400,MATCH("*"&amp;L59&amp;"*",'V3'!B$300:B$400,0)),"  ")</f>
        <v xml:space="preserve">  </v>
      </c>
      <c r="AC59" s="702" t="str">
        <f>IFERROR(INDEX('V4'!C$300:C$400,MATCH("*"&amp;L59&amp;"*",'V4'!B$300:B$400,0)),"  ")</f>
        <v xml:space="preserve">  </v>
      </c>
      <c r="AD59" s="702" t="str">
        <f>IFERROR(INDEX('V5'!C$300:C$400,MATCH("*"&amp;L59&amp;"*",'V5'!B$300:B$400,0)),"  ")</f>
        <v xml:space="preserve">  </v>
      </c>
      <c r="AE59" s="702">
        <f>IFERROR(INDEX('V6'!C$300:C$400,MATCH("*"&amp;L59&amp;"*",'V6'!B$300:B$400,0)),"  ")</f>
        <v>9</v>
      </c>
      <c r="AF59" s="702" t="str">
        <f>IFERROR(INDEX('V7'!C$300:C$400,MATCH("*"&amp;L59&amp;"*",'V7'!B$300:B$400,0)),"  ")</f>
        <v xml:space="preserve">  </v>
      </c>
      <c r="AG59" s="702" t="str">
        <f>IFERROR(INDEX('V8'!C$300:C$400,MATCH("*"&amp;L59&amp;"*",'V8'!B$300:B$400,0)),"  ")</f>
        <v xml:space="preserve">  </v>
      </c>
      <c r="AH59" s="702" t="str">
        <f>IFERROR(INDEX('V9'!C$300:C$400,MATCH("*"&amp;L59&amp;"*",'V9'!B$300:B$400,0)),"  ")</f>
        <v xml:space="preserve">  </v>
      </c>
      <c r="AI59" s="702" t="str">
        <f>IFERROR(INDEX('V10'!C$300:C$400,MATCH("*"&amp;L59&amp;"*",'V10'!B$300:B$400,0)),"  ")</f>
        <v xml:space="preserve">  </v>
      </c>
      <c r="AJ59" s="702" t="str">
        <f>IFERROR(INDEX('V11'!C$300:C$400,MATCH("*"&amp;L59&amp;"*",'V11'!B$300:B$400,0)),"  ")</f>
        <v xml:space="preserve">  </v>
      </c>
      <c r="AK59" s="702" t="str">
        <f>IFERROR(INDEX('V12'!C$300:C$400,MATCH("*"&amp;L59&amp;"*",'V12'!B$300:B$400,0)),"  ")</f>
        <v xml:space="preserve">  </v>
      </c>
      <c r="AL59" s="702" t="str">
        <f>IFERROR(INDEX('V13'!C$300:C$400,MATCH("*"&amp;L59&amp;"*",'V13'!B$300:B$400,0)),"  ")</f>
        <v xml:space="preserve">  </v>
      </c>
      <c r="AM59" s="702" t="str">
        <f>IFERROR(INDEX('V14'!C$300:C$400,MATCH("*"&amp;L59&amp;"*",'V14'!B$300:B$400,0)),"  ")</f>
        <v xml:space="preserve">  </v>
      </c>
      <c r="AN59" s="702" t="str">
        <f>IFERROR(INDEX('V15'!C$300:C$400,MATCH("*"&amp;L59&amp;"*",'V15'!B$300:B$400,0)),"  ")</f>
        <v xml:space="preserve">  </v>
      </c>
      <c r="AO59" s="703" t="str">
        <f t="shared" si="10"/>
        <v/>
      </c>
      <c r="AP59" s="704">
        <f>IFERROR("edasi "&amp;RANK(AO59,AO$7:AO$66,1),K59)</f>
        <v>53</v>
      </c>
      <c r="AQ59" s="705" t="str">
        <f>IFERROR(INDEX('V-fin'!A$300:A$401,MATCH("*"&amp;L59&amp;"*",'V-fin'!B$300:B$401,0)),"  ")</f>
        <v xml:space="preserve">  </v>
      </c>
      <c r="AR59" s="706">
        <f t="shared" si="8"/>
        <v>1</v>
      </c>
      <c r="AS59" s="707">
        <f>IFERROR(IF(Z59+1&gt;LARGE(Z$7:Z$66,1)-2,1),0)+IFERROR(IF(AA59+1&gt;LARGE(AA$7:AA$66,1)-2,1),0)+IFERROR(IF(AB59+1&gt;LARGE(AB$7:AB$66,1)-2,1),0)+IFERROR(IF(AC59+1&gt;LARGE(AC$7:AC$66,1)-2,1),0)+IFERROR(IF(AD59+1&gt;LARGE(AD$7:AD$66,1)-2,1),0)+IFERROR(IF(AE59+1&gt;LARGE(AE$7:AE$66,1)-2,1),0)+IFERROR(IF(AF59+1&gt;LARGE(AF$7:AF$66,1)-2,1),0)+IFERROR(IF(AG59+1&gt;LARGE(AG$7:AG$66,1)-2,1),0)+IFERROR(IF(AH59+1&gt;LARGE(AH$7:AH$66,1)-2,1),0)+IFERROR(IF(AI59+1&gt;LARGE(AI$7:AI$66,1)-2,1),0)+IFERROR(IF(AJ59+1&gt;LARGE(AJ$7:AJ$66,1)-2,1),0)+IFERROR(IF(AK59+1&gt;LARGE(AK$7:AK$66,1)-2,1),0)+IFERROR(IF(AL59+1&gt;LARGE(AL$7:AL$66,1)-2,1),0)+IFERROR(IF(AM59+1&gt;LARGE(AM$7:AM$66,1)-2,1),0)+IFERROR(IF(AN59+1&gt;LARGE(AN$7:AN$66,1)-2,1),0)</f>
        <v>0</v>
      </c>
      <c r="AT59" s="707">
        <f>IF(Z59=0,0,IF(Z59=IFERROR(LARGE(Z$7:Z$66,1),0),1,0))+IF(AA59=0,0,IF(AA59=IFERROR(LARGE(AA$7:AA$66,1),0),1,0))+IF(AB59=0,0,IF(AB59=IFERROR(LARGE(AB$7:AB$66,1),0),1,0))+IF(AC59=0,0,IF(AC59=IFERROR(LARGE(AC$7:AC$66,1),0),1,0))+IF(AD59=0,0,IF(AD59=IFERROR(LARGE(AD$7:AD$66,1),0),1,0))+IF(AE59=0,0,IF(AE59=IFERROR(LARGE(AE$7:AE$66,1),0),1,0))+IF(AF59=0,0,IF(AF59=IFERROR(LARGE(AF$7:AF$66,1),0),1,0))+IF(AG59=0,0,IF(AG59=IFERROR(LARGE(AG$7:AG$66,1),0),1,0))+IF(AH59=0,0,IF(AH59=IFERROR(LARGE(AH$7:AH$66,1),0),1,0))+IF(AI59=0,0,IF(AI59=IFERROR(LARGE(AI$7:AI$66,1),0),1,0))+IF(AJ59=0,0,IF(AJ59=IFERROR(LARGE(AJ$7:AJ$66,1),0),1,0))+IF(AK59=0,0,IF(AK59=IFERROR(LARGE(AK$7:AK$66,1),0),1,0))+IF(AL59=0,0,IF(AL59=IFERROR(LARGE(AL$7:AL$66,1),0),1,0))+IF(AM59=0,0,IF(AM59=IFERROR(LARGE(AM$7:AM$66,1),0),1,0))+IF(AN59=0,0,IF(AN59=IFERROR(LARGE(AN$7:AN$66,1),0),1,0))</f>
        <v>0</v>
      </c>
      <c r="AU59" s="629"/>
      <c r="AV59" s="708">
        <f t="shared" si="11"/>
        <v>4.0000000000000002E-4</v>
      </c>
      <c r="AW59" s="709">
        <f t="shared" si="16"/>
        <v>1E-4</v>
      </c>
      <c r="AX59" s="709">
        <f t="shared" si="16"/>
        <v>2.0000000000000001E-4</v>
      </c>
      <c r="AY59" s="709">
        <f t="shared" si="16"/>
        <v>2.9999999999999997E-4</v>
      </c>
      <c r="AZ59" s="709">
        <f t="shared" si="16"/>
        <v>4.0000000000000002E-4</v>
      </c>
      <c r="BA59" s="709">
        <f t="shared" si="16"/>
        <v>5.0000000000000001E-4</v>
      </c>
      <c r="BB59" s="709">
        <f t="shared" si="16"/>
        <v>9.0006000000000004</v>
      </c>
      <c r="BC59" s="709">
        <f t="shared" si="16"/>
        <v>6.9999999999999999E-4</v>
      </c>
      <c r="BD59" s="709">
        <f t="shared" si="16"/>
        <v>8.0000000000000004E-4</v>
      </c>
      <c r="BE59" s="709">
        <f t="shared" si="16"/>
        <v>8.9999999999999998E-4</v>
      </c>
      <c r="BF59" s="709">
        <f t="shared" si="16"/>
        <v>1E-3</v>
      </c>
      <c r="BG59" s="709">
        <f t="shared" si="16"/>
        <v>1.1000000000000001E-3</v>
      </c>
      <c r="BH59" s="709">
        <f t="shared" si="16"/>
        <v>1.1999999999999999E-3</v>
      </c>
      <c r="BI59" s="709">
        <f t="shared" si="16"/>
        <v>1.2999999999999999E-3</v>
      </c>
      <c r="BJ59" s="709">
        <f t="shared" si="16"/>
        <v>1.4E-3</v>
      </c>
      <c r="BK59" s="709">
        <f t="shared" si="16"/>
        <v>1.5E-3</v>
      </c>
      <c r="BL59" s="629"/>
    </row>
    <row r="60" spans="1:64" x14ac:dyDescent="0.2">
      <c r="A60" s="686" t="str">
        <f>IF(R60&gt;0,IF(Q60="v",RANK(B60,B$7:B$66,1)-COUNTBLANK(Q$7:Q$66),""),"")</f>
        <v/>
      </c>
      <c r="B60" s="687">
        <f t="shared" si="0"/>
        <v>-945</v>
      </c>
      <c r="C60" s="688" t="str">
        <f>IF(R60&gt;0,IF(P60="k",RANK(D60,D$7:D$66,1)-COUNTBLANK(P$7:P$66),""),"")</f>
        <v/>
      </c>
      <c r="D60" s="687">
        <f t="shared" si="1"/>
        <v>-945</v>
      </c>
      <c r="E60" s="689" t="str">
        <f>IF(R60&gt;0,IF(N60="m",RANK(F60,F$7:F$66,1)-COUNTBLANK(N$7:N$66),""),"")</f>
        <v/>
      </c>
      <c r="F60" s="687">
        <f t="shared" si="2"/>
        <v>-945</v>
      </c>
      <c r="G60" s="690">
        <f>IF(R60&gt;0,IF(M60="n",RANK(H60,H$7:H$66,1)-COUNTBLANK(M$7:M$66),""),"")</f>
        <v>14</v>
      </c>
      <c r="H60" s="687">
        <f t="shared" si="3"/>
        <v>55</v>
      </c>
      <c r="I60" s="691" t="str">
        <f>IF(R60&gt;0,IF(O60="j",RANK(J60,J$7:J$66,1)-COUNTBLANK(O$7:O$66),""),"")</f>
        <v/>
      </c>
      <c r="J60" s="692">
        <f t="shared" si="4"/>
        <v>-945</v>
      </c>
      <c r="K60" s="654">
        <f>IF(R60&gt;0,RANK(U60,U$7:U$66,1),"")</f>
        <v>54</v>
      </c>
      <c r="L60" s="713" t="s">
        <v>315</v>
      </c>
      <c r="M60" s="694" t="s">
        <v>280</v>
      </c>
      <c r="N60" s="695" t="str">
        <f>IF(M60="","m","")</f>
        <v/>
      </c>
      <c r="O60" s="696"/>
      <c r="P60" s="697"/>
      <c r="Q60" s="698"/>
      <c r="R60" s="699">
        <f>(IF(COUNT(Z60,AA60,AB60,AC60,AD60,AE60,AF60,AG60,AH60,AI60,AJ60,AK60,AL60,AM60,AN60)&lt;11,SUM(Z60,AA60,AB60,AC60,AD60,AE60,AF60,AG60,AH60,AI60,AJ60,AK60,AL60,AM60,AN60),SUM(LARGE((Z60,AA60,AB60,AC60,AD60,AE60,AF60,AG60,AH60,AI60,AJ60,AK60,AL60,AM60,AN60),{1;2;3;4;5;6;7;8;9;10;11}))))</f>
        <v>9</v>
      </c>
      <c r="S60" s="700" t="str">
        <f>INDEX(ETAPP!B$1:B$32,MATCH(COUNTIF(Z60:AN60,PVO!A$1),ETAPP!A$1:A$32,0))&amp;INDEX(ETAPP!B$1:B$32,MATCH(COUNTIF(Z60:AN60,PVO!A$2),ETAPP!A$1:A$32,0))&amp;INDEX(ETAPP!B$1:B$32,MATCH(COUNTIF(Z60:AN60,PVO!A$3),ETAPP!A$1:A$32,0))&amp;INDEX(ETAPP!B$1:B$32,MATCH(COUNTIF(Z60:AN60,PVO!A$4),ETAPP!A$1:A$32,0))&amp;INDEX(ETAPP!B$1:B$32,MATCH(COUNTIF(Z60:AN60,PVO!A$5),ETAPP!A$1:A$32,0))&amp;INDEX(ETAPP!B$1:B$32,MATCH(COUNTIF(Z60:AN60,PVO!A$6),ETAPP!A$1:A$32,0))&amp;INDEX(ETAPP!B$1:B$32,MATCH(COUNTIF(Z60:AN60,PVO!A$7),ETAPP!A$1:A$32,0))&amp;INDEX(ETAPP!B$1:B$32,MATCH(COUNTIF(Z60:AN60,PVO!A$8),ETAPP!A$1:A$32,0))&amp;INDEX(ETAPP!B$1:B$32,MATCH(COUNTIF(Z60:AN60,PVO!A$9),ETAPP!A$1:A$32,0))&amp;INDEX(ETAPP!B$1:B$32,MATCH(COUNTIF(Z60:AN60,PVO!A$10),ETAPP!A$1:A$32,0))&amp;INDEX(ETAPP!B$1:B$32,MATCH(COUNTIF(Z60:AN60,PVO!A$11),ETAPP!A$1:A$32,0))&amp;INDEX(ETAPP!B$1:B$32,MATCH(COUNTIF(Z60:AN60,PVO!A$12),ETAPP!A$1:A$32,0))&amp;INDEX(ETAPP!B$1:B$32,MATCH(COUNTIF(Z60:AN60,PVO!A$13),ETAPP!A$1:A$32,0))&amp;INDEX(ETAPP!B$1:B$32,MATCH(COUNTIF(Z60:AN60,PVO!A$14),ETAPP!A$1:A$32,0))&amp;INDEX(ETAPP!B$1:B$32,MATCH(COUNTIF(Z60:AN60,PVO!A$15),ETAPP!A$1:A$32,0))&amp;INDEX(ETAPP!B$1:B$32,MATCH(COUNTIF(Z60:AN60,PVO!A$16),ETAPP!A$1:A$32,0))&amp;INDEX(ETAPP!B$1:B$32,MATCH(COUNTIF(Z60:AN60,PVO!A$17),ETAPP!A$1:A$32,0))&amp;INDEX(ETAPP!B$1:B$32,MATCH(COUNTIF(Z60:AN60,PVO!A$18),ETAPP!A$1:A$32,0))&amp;INDEX(ETAPP!B$1:B$32,MATCH(COUNTIF(Z60:AN60,PVO!A$19),ETAPP!A$1:A$32,0))</f>
        <v>00000000000A00A000H</v>
      </c>
      <c r="T60" s="700" t="str">
        <f t="shared" si="6"/>
        <v>009,0-00000000000A00A000H</v>
      </c>
      <c r="U60" s="700">
        <f>COUNTIF(T$7:T$66,"&gt;="&amp;T60)</f>
        <v>55</v>
      </c>
      <c r="V60" s="700">
        <f>COUNTIF(L$7:L$66,"&gt;="&amp;L60)</f>
        <v>48</v>
      </c>
      <c r="W60" s="700" t="str">
        <f t="shared" si="7"/>
        <v>009,0-00000000000A00A000H-048</v>
      </c>
      <c r="X60" s="700">
        <f>COUNTIF(W$7:W$66,"&gt;="&amp;W60)</f>
        <v>54</v>
      </c>
      <c r="Y60" s="701">
        <f>RANK(X60,X$7:X$66,0)</f>
        <v>7</v>
      </c>
      <c r="Z60" s="702" t="str">
        <f>IFERROR(INDEX('V1'!C$300:C$400,MATCH("*"&amp;L60&amp;"*",'V1'!B$300:B$400,0)),"  ")</f>
        <v xml:space="preserve">  </v>
      </c>
      <c r="AA60" s="702" t="str">
        <f>IFERROR(INDEX('V2'!C$300:C$400,MATCH("*"&amp;L60&amp;"*",'V2'!B$300:B$400,0)),"  ")</f>
        <v xml:space="preserve">  </v>
      </c>
      <c r="AB60" s="702">
        <f>IFERROR(INDEX('V3'!C$300:C$400,MATCH("*"&amp;L60&amp;"*",'V3'!B$300:B$400,0)),"  ")</f>
        <v>3</v>
      </c>
      <c r="AC60" s="702" t="str">
        <f>IFERROR(INDEX('V4'!C$300:C$400,MATCH("*"&amp;L60&amp;"*",'V4'!B$300:B$400,0)),"  ")</f>
        <v xml:space="preserve">  </v>
      </c>
      <c r="AD60" s="702" t="str">
        <f>IFERROR(INDEX('V5'!C$300:C$400,MATCH("*"&amp;L60&amp;"*",'V5'!B$300:B$400,0)),"  ")</f>
        <v xml:space="preserve">  </v>
      </c>
      <c r="AE60" s="702" t="str">
        <f>IFERROR(INDEX('V6'!C$300:C$400,MATCH("*"&amp;L60&amp;"*",'V6'!B$300:B$400,0)),"  ")</f>
        <v xml:space="preserve">  </v>
      </c>
      <c r="AF60" s="702" t="str">
        <f>IFERROR(INDEX('V7'!C$300:C$400,MATCH("*"&amp;L60&amp;"*",'V7'!B$300:B$400,0)),"  ")</f>
        <v xml:space="preserve">  </v>
      </c>
      <c r="AG60" s="702" t="str">
        <f>IFERROR(INDEX('V8'!C$300:C$400,MATCH("*"&amp;L60&amp;"*",'V8'!B$300:B$400,0)),"  ")</f>
        <v xml:space="preserve">  </v>
      </c>
      <c r="AH60" s="702" t="str">
        <f>IFERROR(INDEX('V9'!C$300:C$400,MATCH("*"&amp;L60&amp;"*",'V9'!B$300:B$400,0)),"  ")</f>
        <v xml:space="preserve">  </v>
      </c>
      <c r="AI60" s="702" t="str">
        <f>IFERROR(INDEX('V10'!C$300:C$400,MATCH("*"&amp;L60&amp;"*",'V10'!B$300:B$400,0)),"  ")</f>
        <v xml:space="preserve">  </v>
      </c>
      <c r="AJ60" s="702" t="str">
        <f>IFERROR(INDEX('V11'!C$300:C$400,MATCH("*"&amp;L60&amp;"*",'V11'!B$300:B$400,0)),"  ")</f>
        <v xml:space="preserve">  </v>
      </c>
      <c r="AK60" s="702" t="str">
        <f>IFERROR(INDEX('V12'!C$300:C$400,MATCH("*"&amp;L60&amp;"*",'V12'!B$300:B$400,0)),"  ")</f>
        <v xml:space="preserve">  </v>
      </c>
      <c r="AL60" s="702" t="str">
        <f>IFERROR(INDEX('V13'!C$300:C$400,MATCH("*"&amp;L60&amp;"*",'V13'!B$300:B$400,0)),"  ")</f>
        <v xml:space="preserve">  </v>
      </c>
      <c r="AM60" s="702">
        <f>IFERROR(INDEX('V14'!C$300:C$400,MATCH("*"&amp;L60&amp;"*",'V14'!B$300:B$400,0)),"  ")</f>
        <v>6</v>
      </c>
      <c r="AN60" s="702" t="str">
        <f>IFERROR(INDEX('V15'!C$300:C$400,MATCH("*"&amp;L60&amp;"*",'V15'!B$300:B$400,0)),"  ")</f>
        <v xml:space="preserve">  </v>
      </c>
      <c r="AO60" s="703">
        <f t="shared" si="10"/>
        <v>54</v>
      </c>
      <c r="AP60" s="704" t="str">
        <f>IFERROR("edasi "&amp;RANK(AO60,AO$7:AO$66,1),K60)</f>
        <v>edasi 48</v>
      </c>
      <c r="AQ60" s="705" t="str">
        <f>IFERROR(INDEX('V-fin'!A$300:A$401,MATCH("*"&amp;L60&amp;"*",'V-fin'!B$300:B$401,0)),"  ")</f>
        <v xml:space="preserve">  </v>
      </c>
      <c r="AR60" s="706">
        <f t="shared" si="8"/>
        <v>2</v>
      </c>
      <c r="AS60" s="707">
        <f>IFERROR(IF(Z60+1&gt;LARGE(Z$7:Z$66,1)-2,1),0)+IFERROR(IF(AA60+1&gt;LARGE(AA$7:AA$66,1)-2,1),0)+IFERROR(IF(AB60+1&gt;LARGE(AB$7:AB$66,1)-2,1),0)+IFERROR(IF(AC60+1&gt;LARGE(AC$7:AC$66,1)-2,1),0)+IFERROR(IF(AD60+1&gt;LARGE(AD$7:AD$66,1)-2,1),0)+IFERROR(IF(AE60+1&gt;LARGE(AE$7:AE$66,1)-2,1),0)+IFERROR(IF(AF60+1&gt;LARGE(AF$7:AF$66,1)-2,1),0)+IFERROR(IF(AG60+1&gt;LARGE(AG$7:AG$66,1)-2,1),0)+IFERROR(IF(AH60+1&gt;LARGE(AH$7:AH$66,1)-2,1),0)+IFERROR(IF(AI60+1&gt;LARGE(AI$7:AI$66,1)-2,1),0)+IFERROR(IF(AJ60+1&gt;LARGE(AJ$7:AJ$66,1)-2,1),0)+IFERROR(IF(AK60+1&gt;LARGE(AK$7:AK$66,1)-2,1),0)+IFERROR(IF(AL60+1&gt;LARGE(AL$7:AL$66,1)-2,1),0)+IFERROR(IF(AM60+1&gt;LARGE(AM$7:AM$66,1)-2,1),0)+IFERROR(IF(AN60+1&gt;LARGE(AN$7:AN$66,1)-2,1),0)</f>
        <v>0</v>
      </c>
      <c r="AT60" s="707">
        <f>IF(Z60=0,0,IF(Z60=IFERROR(LARGE(Z$7:Z$66,1),0),1,0))+IF(AA60=0,0,IF(AA60=IFERROR(LARGE(AA$7:AA$66,1),0),1,0))+IF(AB60=0,0,IF(AB60=IFERROR(LARGE(AB$7:AB$66,1),0),1,0))+IF(AC60=0,0,IF(AC60=IFERROR(LARGE(AC$7:AC$66,1),0),1,0))+IF(AD60=0,0,IF(AD60=IFERROR(LARGE(AD$7:AD$66,1),0),1,0))+IF(AE60=0,0,IF(AE60=IFERROR(LARGE(AE$7:AE$66,1),0),1,0))+IF(AF60=0,0,IF(AF60=IFERROR(LARGE(AF$7:AF$66,1),0),1,0))+IF(AG60=0,0,IF(AG60=IFERROR(LARGE(AG$7:AG$66,1),0),1,0))+IF(AH60=0,0,IF(AH60=IFERROR(LARGE(AH$7:AH$66,1),0),1,0))+IF(AI60=0,0,IF(AI60=IFERROR(LARGE(AI$7:AI$66,1),0),1,0))+IF(AJ60=0,0,IF(AJ60=IFERROR(LARGE(AJ$7:AJ$66,1),0),1,0))+IF(AK60=0,0,IF(AK60=IFERROR(LARGE(AK$7:AK$66,1),0),1,0))+IF(AL60=0,0,IF(AL60=IFERROR(LARGE(AL$7:AL$66,1),0),1,0))+IF(AM60=0,0,IF(AM60=IFERROR(LARGE(AM$7:AM$66,1),0),1,0))+IF(AN60=0,0,IF(AN60=IFERROR(LARGE(AN$7:AN$66,1),0),1,0))</f>
        <v>0</v>
      </c>
      <c r="AU60" s="629"/>
      <c r="AV60" s="708">
        <f t="shared" si="11"/>
        <v>5.0000000000000001E-4</v>
      </c>
      <c r="AW60" s="709">
        <f t="shared" si="16"/>
        <v>1E-4</v>
      </c>
      <c r="AX60" s="709">
        <f t="shared" si="16"/>
        <v>2.0000000000000001E-4</v>
      </c>
      <c r="AY60" s="709">
        <f t="shared" si="16"/>
        <v>3.0003000000000002</v>
      </c>
      <c r="AZ60" s="709">
        <f t="shared" si="16"/>
        <v>4.0000000000000002E-4</v>
      </c>
      <c r="BA60" s="709">
        <f t="shared" si="16"/>
        <v>5.0000000000000001E-4</v>
      </c>
      <c r="BB60" s="709">
        <f t="shared" si="16"/>
        <v>5.9999999999999995E-4</v>
      </c>
      <c r="BC60" s="709">
        <f t="shared" si="16"/>
        <v>6.9999999999999999E-4</v>
      </c>
      <c r="BD60" s="709">
        <f t="shared" si="16"/>
        <v>8.0000000000000004E-4</v>
      </c>
      <c r="BE60" s="709">
        <f t="shared" si="16"/>
        <v>8.9999999999999998E-4</v>
      </c>
      <c r="BF60" s="709">
        <f t="shared" si="16"/>
        <v>1E-3</v>
      </c>
      <c r="BG60" s="709">
        <f t="shared" si="16"/>
        <v>1.1000000000000001E-3</v>
      </c>
      <c r="BH60" s="709">
        <f t="shared" si="16"/>
        <v>1.1999999999999999E-3</v>
      </c>
      <c r="BI60" s="709">
        <f t="shared" si="16"/>
        <v>1.2999999999999999E-3</v>
      </c>
      <c r="BJ60" s="709">
        <f t="shared" si="16"/>
        <v>6.0014000000000003</v>
      </c>
      <c r="BK60" s="709">
        <f t="shared" si="16"/>
        <v>1.5E-3</v>
      </c>
      <c r="BL60" s="629"/>
    </row>
    <row r="61" spans="1:64" x14ac:dyDescent="0.2">
      <c r="A61" s="686">
        <f>IF(R61&gt;0,IF(Q61="v",RANK(B61,B$7:B$66,1)-COUNTBLANK(Q$7:Q$66),""),"")</f>
        <v>35</v>
      </c>
      <c r="B61" s="687">
        <f t="shared" si="0"/>
        <v>55</v>
      </c>
      <c r="C61" s="688" t="str">
        <f>IF(R61&gt;0,IF(P61="k",RANK(D61,D$7:D$66,1)-COUNTBLANK(P$7:P$66),""),"")</f>
        <v/>
      </c>
      <c r="D61" s="687">
        <f t="shared" si="1"/>
        <v>-945</v>
      </c>
      <c r="E61" s="689">
        <f>IF(R61&gt;0,IF(N61="m",RANK(F61,F$7:F$66,1)-COUNTBLANK(N$7:N$66),""),"")</f>
        <v>41</v>
      </c>
      <c r="F61" s="687">
        <f t="shared" si="2"/>
        <v>55</v>
      </c>
      <c r="G61" s="690" t="str">
        <f>IF(R61&gt;0,IF(M61="n",RANK(H61,H$7:H$66,1)-COUNTBLANK(M$7:M$66),""),"")</f>
        <v/>
      </c>
      <c r="H61" s="687">
        <f t="shared" si="3"/>
        <v>-945</v>
      </c>
      <c r="I61" s="691" t="str">
        <f>IF(R61&gt;0,IF(O61="j",RANK(J61,J$7:J$66,1)-COUNTBLANK(O$7:O$66),""),"")</f>
        <v/>
      </c>
      <c r="J61" s="692">
        <f t="shared" si="4"/>
        <v>-945</v>
      </c>
      <c r="K61" s="654">
        <f>IF(R61&gt;0,RANK(U61,U$7:U$66,1),"")</f>
        <v>54</v>
      </c>
      <c r="L61" s="693" t="s">
        <v>316</v>
      </c>
      <c r="M61" s="694"/>
      <c r="N61" s="695" t="str">
        <f>IF(M61="","m","")</f>
        <v>m</v>
      </c>
      <c r="O61" s="696"/>
      <c r="P61" s="697"/>
      <c r="Q61" s="698" t="s">
        <v>269</v>
      </c>
      <c r="R61" s="699">
        <f>(IF(COUNT(Z61,AA61,AB61,AC61,AD61,AE61,AF61,AG61,AH61,AI61,AJ61,AK61,AL61,AM61,AN61)&lt;11,SUM(Z61,AA61,AB61,AC61,AD61,AE61,AF61,AG61,AH61,AI61,AJ61,AK61,AL61,AM61,AN61),SUM(LARGE((Z61,AA61,AB61,AC61,AD61,AE61,AF61,AG61,AH61,AI61,AJ61,AK61,AL61,AM61,AN61),{1;2;3;4;5;6;7;8;9;10;11}))))</f>
        <v>9</v>
      </c>
      <c r="S61" s="700" t="str">
        <f>INDEX(ETAPP!B$1:B$32,MATCH(COUNTIF(Z61:AN61,PVO!A$1),ETAPP!A$1:A$32,0))&amp;INDEX(ETAPP!B$1:B$32,MATCH(COUNTIF(Z61:AN61,PVO!A$2),ETAPP!A$1:A$32,0))&amp;INDEX(ETAPP!B$1:B$32,MATCH(COUNTIF(Z61:AN61,PVO!A$3),ETAPP!A$1:A$32,0))&amp;INDEX(ETAPP!B$1:B$32,MATCH(COUNTIF(Z61:AN61,PVO!A$4),ETAPP!A$1:A$32,0))&amp;INDEX(ETAPP!B$1:B$32,MATCH(COUNTIF(Z61:AN61,PVO!A$5),ETAPP!A$1:A$32,0))&amp;INDEX(ETAPP!B$1:B$32,MATCH(COUNTIF(Z61:AN61,PVO!A$6),ETAPP!A$1:A$32,0))&amp;INDEX(ETAPP!B$1:B$32,MATCH(COUNTIF(Z61:AN61,PVO!A$7),ETAPP!A$1:A$32,0))&amp;INDEX(ETAPP!B$1:B$32,MATCH(COUNTIF(Z61:AN61,PVO!A$8),ETAPP!A$1:A$32,0))&amp;INDEX(ETAPP!B$1:B$32,MATCH(COUNTIF(Z61:AN61,PVO!A$9),ETAPP!A$1:A$32,0))&amp;INDEX(ETAPP!B$1:B$32,MATCH(COUNTIF(Z61:AN61,PVO!A$10),ETAPP!A$1:A$32,0))&amp;INDEX(ETAPP!B$1:B$32,MATCH(COUNTIF(Z61:AN61,PVO!A$11),ETAPP!A$1:A$32,0))&amp;INDEX(ETAPP!B$1:B$32,MATCH(COUNTIF(Z61:AN61,PVO!A$12),ETAPP!A$1:A$32,0))&amp;INDEX(ETAPP!B$1:B$32,MATCH(COUNTIF(Z61:AN61,PVO!A$13),ETAPP!A$1:A$32,0))&amp;INDEX(ETAPP!B$1:B$32,MATCH(COUNTIF(Z61:AN61,PVO!A$14),ETAPP!A$1:A$32,0))&amp;INDEX(ETAPP!B$1:B$32,MATCH(COUNTIF(Z61:AN61,PVO!A$15),ETAPP!A$1:A$32,0))&amp;INDEX(ETAPP!B$1:B$32,MATCH(COUNTIF(Z61:AN61,PVO!A$16),ETAPP!A$1:A$32,0))&amp;INDEX(ETAPP!B$1:B$32,MATCH(COUNTIF(Z61:AN61,PVO!A$17),ETAPP!A$1:A$32,0))&amp;INDEX(ETAPP!B$1:B$32,MATCH(COUNTIF(Z61:AN61,PVO!A$18),ETAPP!A$1:A$32,0))&amp;INDEX(ETAPP!B$1:B$32,MATCH(COUNTIF(Z61:AN61,PVO!A$19),ETAPP!A$1:A$32,0))</f>
        <v>00000000000A00A000H</v>
      </c>
      <c r="T61" s="700" t="str">
        <f t="shared" si="6"/>
        <v>009,0-00000000000A00A000H</v>
      </c>
      <c r="U61" s="700">
        <f>COUNTIF(T$7:T$66,"&gt;="&amp;T61)</f>
        <v>55</v>
      </c>
      <c r="V61" s="700">
        <f>COUNTIF(L$7:L$66,"&gt;="&amp;L61)</f>
        <v>5</v>
      </c>
      <c r="W61" s="700" t="str">
        <f t="shared" si="7"/>
        <v>009,0-00000000000A00A000H-005</v>
      </c>
      <c r="X61" s="700">
        <f>COUNTIF(W$7:W$66,"&gt;="&amp;W61)</f>
        <v>55</v>
      </c>
      <c r="Y61" s="701">
        <f>RANK(X61,X$7:X$66,0)</f>
        <v>6</v>
      </c>
      <c r="Z61" s="702" t="str">
        <f>IFERROR(INDEX('V1'!C$300:C$400,MATCH("*"&amp;L61&amp;"*",'V1'!B$300:B$400,0)),"  ")</f>
        <v xml:space="preserve">  </v>
      </c>
      <c r="AA61" s="702" t="str">
        <f>IFERROR(INDEX('V2'!C$300:C$400,MATCH("*"&amp;L61&amp;"*",'V2'!B$300:B$400,0)),"  ")</f>
        <v xml:space="preserve">  </v>
      </c>
      <c r="AB61" s="702">
        <f>IFERROR(INDEX('V3'!C$300:C$400,MATCH("*"&amp;L61&amp;"*",'V3'!B$300:B$400,0)),"  ")</f>
        <v>3</v>
      </c>
      <c r="AC61" s="702" t="str">
        <f>IFERROR(INDEX('V4'!C$300:C$400,MATCH("*"&amp;L61&amp;"*",'V4'!B$300:B$400,0)),"  ")</f>
        <v xml:space="preserve">  </v>
      </c>
      <c r="AD61" s="702" t="str">
        <f>IFERROR(INDEX('V5'!C$300:C$400,MATCH("*"&amp;L61&amp;"*",'V5'!B$300:B$400,0)),"  ")</f>
        <v xml:space="preserve">  </v>
      </c>
      <c r="AE61" s="702" t="str">
        <f>IFERROR(INDEX('V6'!C$300:C$400,MATCH("*"&amp;L61&amp;"*",'V6'!B$300:B$400,0)),"  ")</f>
        <v xml:space="preserve">  </v>
      </c>
      <c r="AF61" s="702" t="str">
        <f>IFERROR(INDEX('V7'!C$300:C$400,MATCH("*"&amp;L61&amp;"*",'V7'!B$300:B$400,0)),"  ")</f>
        <v xml:space="preserve">  </v>
      </c>
      <c r="AG61" s="702" t="str">
        <f>IFERROR(INDEX('V8'!C$300:C$400,MATCH("*"&amp;L61&amp;"*",'V8'!B$300:B$400,0)),"  ")</f>
        <v xml:space="preserve">  </v>
      </c>
      <c r="AH61" s="702" t="str">
        <f>IFERROR(INDEX('V9'!C$300:C$400,MATCH("*"&amp;L61&amp;"*",'V9'!B$300:B$400,0)),"  ")</f>
        <v xml:space="preserve">  </v>
      </c>
      <c r="AI61" s="702" t="str">
        <f>IFERROR(INDEX('V10'!C$300:C$400,MATCH("*"&amp;L61&amp;"*",'V10'!B$300:B$400,0)),"  ")</f>
        <v xml:space="preserve">  </v>
      </c>
      <c r="AJ61" s="702" t="str">
        <f>IFERROR(INDEX('V11'!C$300:C$400,MATCH("*"&amp;L61&amp;"*",'V11'!B$300:B$400,0)),"  ")</f>
        <v xml:space="preserve">  </v>
      </c>
      <c r="AK61" s="702" t="str">
        <f>IFERROR(INDEX('V12'!C$300:C$400,MATCH("*"&amp;L61&amp;"*",'V12'!B$300:B$400,0)),"  ")</f>
        <v xml:space="preserve">  </v>
      </c>
      <c r="AL61" s="702" t="str">
        <f>IFERROR(INDEX('V13'!C$300:C$400,MATCH("*"&amp;L61&amp;"*",'V13'!B$300:B$400,0)),"  ")</f>
        <v xml:space="preserve">  </v>
      </c>
      <c r="AM61" s="702">
        <f>IFERROR(INDEX('V14'!C$300:C$400,MATCH("*"&amp;L61&amp;"*",'V14'!B$300:B$400,0)),"  ")</f>
        <v>6</v>
      </c>
      <c r="AN61" s="702" t="str">
        <f>IFERROR(INDEX('V15'!C$300:C$400,MATCH("*"&amp;L61&amp;"*",'V15'!B$300:B$400,0)),"  ")</f>
        <v xml:space="preserve">  </v>
      </c>
      <c r="AO61" s="703">
        <f t="shared" si="10"/>
        <v>54</v>
      </c>
      <c r="AP61" s="704" t="str">
        <f>IFERROR("edasi "&amp;RANK(AO61,AO$7:AO$66,1),K61)</f>
        <v>edasi 48</v>
      </c>
      <c r="AQ61" s="705">
        <f>IFERROR(INDEX('V-fin'!A$300:A$401,MATCH("*"&amp;L61&amp;"*",'V-fin'!B$300:B$401,0)),"  ")</f>
        <v>7</v>
      </c>
      <c r="AR61" s="706">
        <f t="shared" si="8"/>
        <v>2</v>
      </c>
      <c r="AS61" s="707">
        <f>IFERROR(IF(Z61+1&gt;LARGE(Z$7:Z$66,1)-2,1),0)+IFERROR(IF(AA61+1&gt;LARGE(AA$7:AA$66,1)-2,1),0)+IFERROR(IF(AB61+1&gt;LARGE(AB$7:AB$66,1)-2,1),0)+IFERROR(IF(AC61+1&gt;LARGE(AC$7:AC$66,1)-2,1),0)+IFERROR(IF(AD61+1&gt;LARGE(AD$7:AD$66,1)-2,1),0)+IFERROR(IF(AE61+1&gt;LARGE(AE$7:AE$66,1)-2,1),0)+IFERROR(IF(AF61+1&gt;LARGE(AF$7:AF$66,1)-2,1),0)+IFERROR(IF(AG61+1&gt;LARGE(AG$7:AG$66,1)-2,1),0)+IFERROR(IF(AH61+1&gt;LARGE(AH$7:AH$66,1)-2,1),0)+IFERROR(IF(AI61+1&gt;LARGE(AI$7:AI$66,1)-2,1),0)+IFERROR(IF(AJ61+1&gt;LARGE(AJ$7:AJ$66,1)-2,1),0)+IFERROR(IF(AK61+1&gt;LARGE(AK$7:AK$66,1)-2,1),0)+IFERROR(IF(AL61+1&gt;LARGE(AL$7:AL$66,1)-2,1),0)+IFERROR(IF(AM61+1&gt;LARGE(AM$7:AM$66,1)-2,1),0)+IFERROR(IF(AN61+1&gt;LARGE(AN$7:AN$66,1)-2,1),0)</f>
        <v>0</v>
      </c>
      <c r="AT61" s="707">
        <f>IF(Z61=0,0,IF(Z61=IFERROR(LARGE(Z$7:Z$66,1),0),1,0))+IF(AA61=0,0,IF(AA61=IFERROR(LARGE(AA$7:AA$66,1),0),1,0))+IF(AB61=0,0,IF(AB61=IFERROR(LARGE(AB$7:AB$66,1),0),1,0))+IF(AC61=0,0,IF(AC61=IFERROR(LARGE(AC$7:AC$66,1),0),1,0))+IF(AD61=0,0,IF(AD61=IFERROR(LARGE(AD$7:AD$66,1),0),1,0))+IF(AE61=0,0,IF(AE61=IFERROR(LARGE(AE$7:AE$66,1),0),1,0))+IF(AF61=0,0,IF(AF61=IFERROR(LARGE(AF$7:AF$66,1),0),1,0))+IF(AG61=0,0,IF(AG61=IFERROR(LARGE(AG$7:AG$66,1),0),1,0))+IF(AH61=0,0,IF(AH61=IFERROR(LARGE(AH$7:AH$66,1),0),1,0))+IF(AI61=0,0,IF(AI61=IFERROR(LARGE(AI$7:AI$66,1),0),1,0))+IF(AJ61=0,0,IF(AJ61=IFERROR(LARGE(AJ$7:AJ$66,1),0),1,0))+IF(AK61=0,0,IF(AK61=IFERROR(LARGE(AK$7:AK$66,1),0),1,0))+IF(AL61=0,0,IF(AL61=IFERROR(LARGE(AL$7:AL$66,1),0),1,0))+IF(AM61=0,0,IF(AM61=IFERROR(LARGE(AM$7:AM$66,1),0),1,0))+IF(AN61=0,0,IF(AN61=IFERROR(LARGE(AN$7:AN$66,1),0),1,0))</f>
        <v>0</v>
      </c>
      <c r="AU61" s="629"/>
      <c r="AV61" s="708">
        <f t="shared" si="11"/>
        <v>5.0000000000000001E-4</v>
      </c>
      <c r="AW61" s="709">
        <f t="shared" si="16"/>
        <v>1E-4</v>
      </c>
      <c r="AX61" s="709">
        <f t="shared" si="16"/>
        <v>2.0000000000000001E-4</v>
      </c>
      <c r="AY61" s="709">
        <f t="shared" si="16"/>
        <v>3.0003000000000002</v>
      </c>
      <c r="AZ61" s="709">
        <f t="shared" si="16"/>
        <v>4.0000000000000002E-4</v>
      </c>
      <c r="BA61" s="709">
        <f t="shared" si="16"/>
        <v>5.0000000000000001E-4</v>
      </c>
      <c r="BB61" s="709">
        <f t="shared" si="16"/>
        <v>5.9999999999999995E-4</v>
      </c>
      <c r="BC61" s="709">
        <f t="shared" si="16"/>
        <v>6.9999999999999999E-4</v>
      </c>
      <c r="BD61" s="709">
        <f t="shared" si="16"/>
        <v>8.0000000000000004E-4</v>
      </c>
      <c r="BE61" s="709">
        <f t="shared" si="16"/>
        <v>8.9999999999999998E-4</v>
      </c>
      <c r="BF61" s="709">
        <f t="shared" si="16"/>
        <v>1E-3</v>
      </c>
      <c r="BG61" s="709">
        <f t="shared" si="16"/>
        <v>1.1000000000000001E-3</v>
      </c>
      <c r="BH61" s="709">
        <f t="shared" si="16"/>
        <v>1.1999999999999999E-3</v>
      </c>
      <c r="BI61" s="709">
        <f t="shared" si="16"/>
        <v>1.2999999999999999E-3</v>
      </c>
      <c r="BJ61" s="709">
        <f t="shared" si="16"/>
        <v>6.0014000000000003</v>
      </c>
      <c r="BK61" s="709">
        <f t="shared" si="16"/>
        <v>1.5E-3</v>
      </c>
      <c r="BL61" s="629"/>
    </row>
    <row r="62" spans="1:64" x14ac:dyDescent="0.2">
      <c r="A62" s="686" t="str">
        <f>IF(R62&gt;0,IF(Q62="v",RANK(B62,B$7:B$66,1)-COUNTBLANK(Q$7:Q$66),""),"")</f>
        <v/>
      </c>
      <c r="B62" s="687">
        <f t="shared" si="0"/>
        <v>-942</v>
      </c>
      <c r="C62" s="688" t="str">
        <f>IF(R62&gt;0,IF(P62="k",RANK(D62,D$7:D$66,1)-COUNTBLANK(P$7:P$66),""),"")</f>
        <v/>
      </c>
      <c r="D62" s="687">
        <f t="shared" si="1"/>
        <v>-942</v>
      </c>
      <c r="E62" s="689">
        <f>IF(R62&gt;0,IF(N62="m",RANK(F62,F$7:F$66,1)-COUNTBLANK(N$7:N$66),""),"")</f>
        <v>42</v>
      </c>
      <c r="F62" s="687">
        <f t="shared" si="2"/>
        <v>58</v>
      </c>
      <c r="G62" s="690" t="str">
        <f>IF(R62&gt;0,IF(M62="n",RANK(H62,H$7:H$66,1)-COUNTBLANK(M$7:M$66),""),"")</f>
        <v/>
      </c>
      <c r="H62" s="687">
        <f t="shared" si="3"/>
        <v>-942</v>
      </c>
      <c r="I62" s="691">
        <f>IF(R62&gt;0,IF(O62="j",RANK(J62,J$7:J$66,1)-COUNTBLANK(O$7:O$66),""),"")</f>
        <v>8</v>
      </c>
      <c r="J62" s="692">
        <f t="shared" si="4"/>
        <v>58</v>
      </c>
      <c r="K62" s="654">
        <f>IF(R62&gt;0,RANK(U62,U$7:U$66,1),"")</f>
        <v>56</v>
      </c>
      <c r="L62" s="711" t="s">
        <v>317</v>
      </c>
      <c r="M62" s="694"/>
      <c r="N62" s="695" t="s">
        <v>273</v>
      </c>
      <c r="O62" s="732" t="s">
        <v>287</v>
      </c>
      <c r="P62" s="697"/>
      <c r="Q62" s="698"/>
      <c r="R62" s="699">
        <f>(IF(COUNT(Z62,AA62,AB62,AC62,AD62,AE62,AF62,AG62,AH62,AI62,AJ62,AK62,AL62,AM62,AN62)&lt;11,SUM(Z62,AA62,AB62,AC62,AD62,AE62,AF62,AG62,AH62,AI62,AJ62,AK62,AL62,AM62,AN62),SUM(LARGE((Z62,AA62,AB62,AC62,AD62,AE62,AF62,AG62,AH62,AI62,AJ62,AK62,AL62,AM62,AN62),{1;2;3;4;5;6;7;8;9;10;11}))))</f>
        <v>7</v>
      </c>
      <c r="S62" s="700" t="str">
        <f>INDEX(ETAPP!B$1:B$32,MATCH(COUNTIF(Z62:AN62,PVO!A$1),ETAPP!A$1:A$32,0))&amp;INDEX(ETAPP!B$1:B$32,MATCH(COUNTIF(Z62:AN62,PVO!A$2),ETAPP!A$1:A$32,0))&amp;INDEX(ETAPP!B$1:B$32,MATCH(COUNTIF(Z62:AN62,PVO!A$3),ETAPP!A$1:A$32,0))&amp;INDEX(ETAPP!B$1:B$32,MATCH(COUNTIF(Z62:AN62,PVO!A$4),ETAPP!A$1:A$32,0))&amp;INDEX(ETAPP!B$1:B$32,MATCH(COUNTIF(Z62:AN62,PVO!A$5),ETAPP!A$1:A$32,0))&amp;INDEX(ETAPP!B$1:B$32,MATCH(COUNTIF(Z62:AN62,PVO!A$6),ETAPP!A$1:A$32,0))&amp;INDEX(ETAPP!B$1:B$32,MATCH(COUNTIF(Z62:AN62,PVO!A$7),ETAPP!A$1:A$32,0))&amp;INDEX(ETAPP!B$1:B$32,MATCH(COUNTIF(Z62:AN62,PVO!A$8),ETAPP!A$1:A$32,0))&amp;INDEX(ETAPP!B$1:B$32,MATCH(COUNTIF(Z62:AN62,PVO!A$9),ETAPP!A$1:A$32,0))&amp;INDEX(ETAPP!B$1:B$32,MATCH(COUNTIF(Z62:AN62,PVO!A$10),ETAPP!A$1:A$32,0))&amp;INDEX(ETAPP!B$1:B$32,MATCH(COUNTIF(Z62:AN62,PVO!A$11),ETAPP!A$1:A$32,0))&amp;INDEX(ETAPP!B$1:B$32,MATCH(COUNTIF(Z62:AN62,PVO!A$12),ETAPP!A$1:A$32,0))&amp;INDEX(ETAPP!B$1:B$32,MATCH(COUNTIF(Z62:AN62,PVO!A$13),ETAPP!A$1:A$32,0))&amp;INDEX(ETAPP!B$1:B$32,MATCH(COUNTIF(Z62:AN62,PVO!A$14),ETAPP!A$1:A$32,0))&amp;INDEX(ETAPP!B$1:B$32,MATCH(COUNTIF(Z62:AN62,PVO!A$15),ETAPP!A$1:A$32,0))&amp;INDEX(ETAPP!B$1:B$32,MATCH(COUNTIF(Z62:AN62,PVO!A$16),ETAPP!A$1:A$32,0))&amp;INDEX(ETAPP!B$1:B$32,MATCH(COUNTIF(Z62:AN62,PVO!A$17),ETAPP!A$1:A$32,0))&amp;INDEX(ETAPP!B$1:B$32,MATCH(COUNTIF(Z62:AN62,PVO!A$18),ETAPP!A$1:A$32,0))&amp;INDEX(ETAPP!B$1:B$32,MATCH(COUNTIF(Z62:AN62,PVO!A$19),ETAPP!A$1:A$32,0))</f>
        <v>0000000000A0000000I</v>
      </c>
      <c r="T62" s="700" t="str">
        <f t="shared" si="6"/>
        <v>007,0-0000000000A0000000I</v>
      </c>
      <c r="U62" s="700">
        <f>COUNTIF(T$7:T$66,"&gt;="&amp;T62)</f>
        <v>58</v>
      </c>
      <c r="V62" s="700">
        <f>COUNTIF(L$7:L$66,"&gt;="&amp;L62)</f>
        <v>36</v>
      </c>
      <c r="W62" s="700" t="str">
        <f t="shared" si="7"/>
        <v>007,0-0000000000A0000000I-036</v>
      </c>
      <c r="X62" s="700">
        <f>COUNTIF(W$7:W$66,"&gt;="&amp;W62)</f>
        <v>56</v>
      </c>
      <c r="Y62" s="701">
        <f>RANK(X62,X$7:X$66,0)</f>
        <v>5</v>
      </c>
      <c r="Z62" s="702" t="str">
        <f>IFERROR(INDEX('V1'!C$300:C$400,MATCH("*"&amp;L62&amp;"*",'V1'!B$300:B$400,0)),"  ")</f>
        <v xml:space="preserve">  </v>
      </c>
      <c r="AA62" s="702" t="str">
        <f>IFERROR(INDEX('V2'!C$300:C$400,MATCH("*"&amp;L62&amp;"*",'V2'!B$300:B$400,0)),"  ")</f>
        <v xml:space="preserve">  </v>
      </c>
      <c r="AB62" s="702" t="str">
        <f>IFERROR(INDEX('V3'!C$300:C$400,MATCH("*"&amp;L62&amp;"*",'V3'!B$300:B$400,0)),"  ")</f>
        <v xml:space="preserve">  </v>
      </c>
      <c r="AC62" s="702" t="str">
        <f>IFERROR(INDEX('V4'!C$300:C$400,MATCH("*"&amp;L62&amp;"*",'V4'!B$300:B$400,0)),"  ")</f>
        <v xml:space="preserve">  </v>
      </c>
      <c r="AD62" s="702" t="str">
        <f>IFERROR(INDEX('V5'!C$300:C$400,MATCH("*"&amp;L62&amp;"*",'V5'!B$300:B$400,0)),"  ")</f>
        <v xml:space="preserve">  </v>
      </c>
      <c r="AE62" s="702" t="str">
        <f>IFERROR(INDEX('V6'!C$300:C$400,MATCH("*"&amp;L62&amp;"*",'V6'!B$300:B$400,0)),"  ")</f>
        <v xml:space="preserve">  </v>
      </c>
      <c r="AF62" s="702" t="str">
        <f>IFERROR(INDEX('V7'!C$300:C$400,MATCH("*"&amp;L62&amp;"*",'V7'!B$300:B$400,0)),"  ")</f>
        <v xml:space="preserve">  </v>
      </c>
      <c r="AG62" s="702" t="str">
        <f>IFERROR(INDEX('V8'!C$300:C$400,MATCH("*"&amp;L62&amp;"*",'V8'!B$300:B$400,0)),"  ")</f>
        <v xml:space="preserve">  </v>
      </c>
      <c r="AH62" s="702" t="str">
        <f>IFERROR(INDEX('V9'!C$300:C$400,MATCH("*"&amp;L62&amp;"*",'V9'!B$300:B$400,0)),"  ")</f>
        <v xml:space="preserve">  </v>
      </c>
      <c r="AI62" s="702" t="str">
        <f>IFERROR(INDEX('V10'!C$300:C$400,MATCH("*"&amp;L62&amp;"*",'V10'!B$300:B$400,0)),"  ")</f>
        <v xml:space="preserve">  </v>
      </c>
      <c r="AJ62" s="702" t="str">
        <f>IFERROR(INDEX('V11'!C$300:C$400,MATCH("*"&amp;L62&amp;"*",'V11'!B$300:B$400,0)),"  ")</f>
        <v xml:space="preserve">  </v>
      </c>
      <c r="AK62" s="702" t="str">
        <f>IFERROR(INDEX('V12'!C$300:C$400,MATCH("*"&amp;L62&amp;"*",'V12'!B$300:B$400,0)),"  ")</f>
        <v xml:space="preserve">  </v>
      </c>
      <c r="AL62" s="702" t="str">
        <f>IFERROR(INDEX('V13'!C$300:C$400,MATCH("*"&amp;L62&amp;"*",'V13'!B$300:B$400,0)),"  ")</f>
        <v xml:space="preserve">  </v>
      </c>
      <c r="AM62" s="702" t="str">
        <f>IFERROR(INDEX('V14'!C$300:C$400,MATCH("*"&amp;L62&amp;"*",'V14'!B$300:B$400,0)),"  ")</f>
        <v xml:space="preserve">  </v>
      </c>
      <c r="AN62" s="702">
        <f>IFERROR(INDEX('V15'!C$300:C$400,MATCH("*"&amp;L62&amp;"*",'V15'!B$300:B$400,0)),"  ")</f>
        <v>7</v>
      </c>
      <c r="AO62" s="703" t="str">
        <f t="shared" si="10"/>
        <v/>
      </c>
      <c r="AP62" s="704">
        <f>IFERROR("edasi "&amp;RANK(AO62,AO$7:AO$66,1),K62)</f>
        <v>56</v>
      </c>
      <c r="AQ62" s="705" t="str">
        <f>IFERROR(INDEX('V-fin'!A$300:A$401,MATCH("*"&amp;L62&amp;"*",'V-fin'!B$300:B$401,0)),"  ")</f>
        <v xml:space="preserve">  </v>
      </c>
      <c r="AR62" s="706">
        <f t="shared" si="8"/>
        <v>1</v>
      </c>
      <c r="AS62" s="707">
        <f>IFERROR(IF(Z62+1&gt;LARGE(Z$7:Z$66,1)-2,1),0)+IFERROR(IF(AA62+1&gt;LARGE(AA$7:AA$66,1)-2,1),0)+IFERROR(IF(AB62+1&gt;LARGE(AB$7:AB$66,1)-2,1),0)+IFERROR(IF(AC62+1&gt;LARGE(AC$7:AC$66,1)-2,1),0)+IFERROR(IF(AD62+1&gt;LARGE(AD$7:AD$66,1)-2,1),0)+IFERROR(IF(AE62+1&gt;LARGE(AE$7:AE$66,1)-2,1),0)+IFERROR(IF(AF62+1&gt;LARGE(AF$7:AF$66,1)-2,1),0)+IFERROR(IF(AG62+1&gt;LARGE(AG$7:AG$66,1)-2,1),0)+IFERROR(IF(AH62+1&gt;LARGE(AH$7:AH$66,1)-2,1),0)+IFERROR(IF(AI62+1&gt;LARGE(AI$7:AI$66,1)-2,1),0)+IFERROR(IF(AJ62+1&gt;LARGE(AJ$7:AJ$66,1)-2,1),0)+IFERROR(IF(AK62+1&gt;LARGE(AK$7:AK$66,1)-2,1),0)+IFERROR(IF(AL62+1&gt;LARGE(AL$7:AL$66,1)-2,1),0)+IFERROR(IF(AM62+1&gt;LARGE(AM$7:AM$66,1)-2,1),0)+IFERROR(IF(AN62+1&gt;LARGE(AN$7:AN$66,1)-2,1),0)</f>
        <v>0</v>
      </c>
      <c r="AT62" s="707">
        <f>IF(Z62=0,0,IF(Z62=IFERROR(LARGE(Z$7:Z$66,1),0),1,0))+IF(AA62=0,0,IF(AA62=IFERROR(LARGE(AA$7:AA$66,1),0),1,0))+IF(AB62=0,0,IF(AB62=IFERROR(LARGE(AB$7:AB$66,1),0),1,0))+IF(AC62=0,0,IF(AC62=IFERROR(LARGE(AC$7:AC$66,1),0),1,0))+IF(AD62=0,0,IF(AD62=IFERROR(LARGE(AD$7:AD$66,1),0),1,0))+IF(AE62=0,0,IF(AE62=IFERROR(LARGE(AE$7:AE$66,1),0),1,0))+IF(AF62=0,0,IF(AF62=IFERROR(LARGE(AF$7:AF$66,1),0),1,0))+IF(AG62=0,0,IF(AG62=IFERROR(LARGE(AG$7:AG$66,1),0),1,0))+IF(AH62=0,0,IF(AH62=IFERROR(LARGE(AH$7:AH$66,1),0),1,0))+IF(AI62=0,0,IF(AI62=IFERROR(LARGE(AI$7:AI$66,1),0),1,0))+IF(AJ62=0,0,IF(AJ62=IFERROR(LARGE(AJ$7:AJ$66,1),0),1,0))+IF(AK62=0,0,IF(AK62=IFERROR(LARGE(AK$7:AK$66,1),0),1,0))+IF(AL62=0,0,IF(AL62=IFERROR(LARGE(AL$7:AL$66,1),0),1,0))+IF(AM62=0,0,IF(AM62=IFERROR(LARGE(AM$7:AM$66,1),0),1,0))+IF(AN62=0,0,IF(AN62=IFERROR(LARGE(AN$7:AN$66,1),0),1,0))</f>
        <v>0</v>
      </c>
      <c r="AU62" s="629"/>
      <c r="AV62" s="708">
        <f t="shared" si="11"/>
        <v>4.0000000000000002E-4</v>
      </c>
      <c r="AW62" s="709">
        <f t="shared" si="16"/>
        <v>1E-4</v>
      </c>
      <c r="AX62" s="709">
        <f t="shared" si="16"/>
        <v>2.0000000000000001E-4</v>
      </c>
      <c r="AY62" s="709">
        <f t="shared" si="16"/>
        <v>2.9999999999999997E-4</v>
      </c>
      <c r="AZ62" s="709">
        <f t="shared" si="16"/>
        <v>4.0000000000000002E-4</v>
      </c>
      <c r="BA62" s="709">
        <f t="shared" si="16"/>
        <v>5.0000000000000001E-4</v>
      </c>
      <c r="BB62" s="709">
        <f t="shared" si="16"/>
        <v>5.9999999999999995E-4</v>
      </c>
      <c r="BC62" s="709">
        <f t="shared" si="16"/>
        <v>6.9999999999999999E-4</v>
      </c>
      <c r="BD62" s="709">
        <f t="shared" si="16"/>
        <v>8.0000000000000004E-4</v>
      </c>
      <c r="BE62" s="709">
        <f t="shared" si="16"/>
        <v>8.9999999999999998E-4</v>
      </c>
      <c r="BF62" s="709">
        <f t="shared" si="16"/>
        <v>1E-3</v>
      </c>
      <c r="BG62" s="709">
        <f t="shared" si="16"/>
        <v>1.1000000000000001E-3</v>
      </c>
      <c r="BH62" s="709">
        <f t="shared" si="16"/>
        <v>1.1999999999999999E-3</v>
      </c>
      <c r="BI62" s="709">
        <f t="shared" si="16"/>
        <v>1.2999999999999999E-3</v>
      </c>
      <c r="BJ62" s="709">
        <f t="shared" si="16"/>
        <v>1.4E-3</v>
      </c>
      <c r="BK62" s="709">
        <f t="shared" si="16"/>
        <v>7.0015000000000001</v>
      </c>
      <c r="BL62" s="629"/>
    </row>
    <row r="63" spans="1:64" x14ac:dyDescent="0.2">
      <c r="A63" s="686" t="str">
        <f>IF(R63&gt;0,IF(Q63="v",RANK(B63,B$7:B$66,1)-COUNTBLANK(Q$7:Q$66),""),"")</f>
        <v/>
      </c>
      <c r="B63" s="687">
        <f t="shared" si="0"/>
        <v>-942</v>
      </c>
      <c r="C63" s="688" t="str">
        <f>IF(R63&gt;0,IF(P63="k",RANK(D63,D$7:D$66,1)-COUNTBLANK(P$7:P$66),""),"")</f>
        <v/>
      </c>
      <c r="D63" s="687">
        <f t="shared" si="1"/>
        <v>-942</v>
      </c>
      <c r="E63" s="689" t="str">
        <f>IF(R63&gt;0,IF(N63="m",RANK(F63,F$7:F$66,1)-COUNTBLANK(N$7:N$66),""),"")</f>
        <v/>
      </c>
      <c r="F63" s="687">
        <f t="shared" si="2"/>
        <v>-942</v>
      </c>
      <c r="G63" s="690">
        <f>IF(R63&gt;0,IF(M63="n",RANK(H63,H$7:H$66,1)-COUNTBLANK(M$7:M$66),""),"")</f>
        <v>15</v>
      </c>
      <c r="H63" s="687">
        <f t="shared" si="3"/>
        <v>58</v>
      </c>
      <c r="I63" s="691" t="str">
        <f>IF(R63&gt;0,IF(O63="j",RANK(J63,J$7:J$66,1)-COUNTBLANK(O$7:O$66),""),"")</f>
        <v/>
      </c>
      <c r="J63" s="692">
        <f t="shared" si="4"/>
        <v>-942</v>
      </c>
      <c r="K63" s="654">
        <f>IF(R63&gt;0,RANK(U63,U$7:U$66,1),"")</f>
        <v>56</v>
      </c>
      <c r="L63" s="711" t="s">
        <v>318</v>
      </c>
      <c r="M63" s="694" t="s">
        <v>280</v>
      </c>
      <c r="N63" s="695"/>
      <c r="O63" s="696"/>
      <c r="P63" s="697"/>
      <c r="Q63" s="698"/>
      <c r="R63" s="699">
        <f>(IF(COUNT(Z63,AA63,AB63,AC63,AD63,AE63,AF63,AG63,AH63,AI63,AJ63,AK63,AL63,AM63,AN63)&lt;11,SUM(Z63,AA63,AB63,AC63,AD63,AE63,AF63,AG63,AH63,AI63,AJ63,AK63,AL63,AM63,AN63),SUM(LARGE((Z63,AA63,AB63,AC63,AD63,AE63,AF63,AG63,AH63,AI63,AJ63,AK63,AL63,AM63,AN63),{1;2;3;4;5;6;7;8;9;10;11}))))</f>
        <v>7</v>
      </c>
      <c r="S63" s="700" t="str">
        <f>INDEX(ETAPP!B$1:B$32,MATCH(COUNTIF(Z63:AN63,PVO!A$1),ETAPP!A$1:A$32,0))&amp;INDEX(ETAPP!B$1:B$32,MATCH(COUNTIF(Z63:AN63,PVO!A$2),ETAPP!A$1:A$32,0))&amp;INDEX(ETAPP!B$1:B$32,MATCH(COUNTIF(Z63:AN63,PVO!A$3),ETAPP!A$1:A$32,0))&amp;INDEX(ETAPP!B$1:B$32,MATCH(COUNTIF(Z63:AN63,PVO!A$4),ETAPP!A$1:A$32,0))&amp;INDEX(ETAPP!B$1:B$32,MATCH(COUNTIF(Z63:AN63,PVO!A$5),ETAPP!A$1:A$32,0))&amp;INDEX(ETAPP!B$1:B$32,MATCH(COUNTIF(Z63:AN63,PVO!A$6),ETAPP!A$1:A$32,0))&amp;INDEX(ETAPP!B$1:B$32,MATCH(COUNTIF(Z63:AN63,PVO!A$7),ETAPP!A$1:A$32,0))&amp;INDEX(ETAPP!B$1:B$32,MATCH(COUNTIF(Z63:AN63,PVO!A$8),ETAPP!A$1:A$32,0))&amp;INDEX(ETAPP!B$1:B$32,MATCH(COUNTIF(Z63:AN63,PVO!A$9),ETAPP!A$1:A$32,0))&amp;INDEX(ETAPP!B$1:B$32,MATCH(COUNTIF(Z63:AN63,PVO!A$10),ETAPP!A$1:A$32,0))&amp;INDEX(ETAPP!B$1:B$32,MATCH(COUNTIF(Z63:AN63,PVO!A$11),ETAPP!A$1:A$32,0))&amp;INDEX(ETAPP!B$1:B$32,MATCH(COUNTIF(Z63:AN63,PVO!A$12),ETAPP!A$1:A$32,0))&amp;INDEX(ETAPP!B$1:B$32,MATCH(COUNTIF(Z63:AN63,PVO!A$13),ETAPP!A$1:A$32,0))&amp;INDEX(ETAPP!B$1:B$32,MATCH(COUNTIF(Z63:AN63,PVO!A$14),ETAPP!A$1:A$32,0))&amp;INDEX(ETAPP!B$1:B$32,MATCH(COUNTIF(Z63:AN63,PVO!A$15),ETAPP!A$1:A$32,0))&amp;INDEX(ETAPP!B$1:B$32,MATCH(COUNTIF(Z63:AN63,PVO!A$16),ETAPP!A$1:A$32,0))&amp;INDEX(ETAPP!B$1:B$32,MATCH(COUNTIF(Z63:AN63,PVO!A$17),ETAPP!A$1:A$32,0))&amp;INDEX(ETAPP!B$1:B$32,MATCH(COUNTIF(Z63:AN63,PVO!A$18),ETAPP!A$1:A$32,0))&amp;INDEX(ETAPP!B$1:B$32,MATCH(COUNTIF(Z63:AN63,PVO!A$19),ETAPP!A$1:A$32,0))</f>
        <v>0000000000A0000000I</v>
      </c>
      <c r="T63" s="700" t="str">
        <f t="shared" si="6"/>
        <v>007,0-0000000000A0000000I</v>
      </c>
      <c r="U63" s="700">
        <f>COUNTIF(T$7:T$66,"&gt;="&amp;T63)</f>
        <v>58</v>
      </c>
      <c r="V63" s="700">
        <f>COUNTIF(L$7:L$66,"&gt;="&amp;L63)</f>
        <v>18</v>
      </c>
      <c r="W63" s="700" t="str">
        <f t="shared" si="7"/>
        <v>007,0-0000000000A0000000I-018</v>
      </c>
      <c r="X63" s="700">
        <f>COUNTIF(W$7:W$66,"&gt;="&amp;W63)</f>
        <v>57</v>
      </c>
      <c r="Y63" s="701">
        <f>RANK(X63,X$7:X$66,0)</f>
        <v>4</v>
      </c>
      <c r="Z63" s="702" t="str">
        <f>IFERROR(INDEX('V1'!C$300:C$400,MATCH("*"&amp;L63&amp;"*",'V1'!B$300:B$400,0)),"  ")</f>
        <v xml:space="preserve">  </v>
      </c>
      <c r="AA63" s="702" t="str">
        <f>IFERROR(INDEX('V2'!C$300:C$400,MATCH("*"&amp;L63&amp;"*",'V2'!B$300:B$400,0)),"  ")</f>
        <v xml:space="preserve">  </v>
      </c>
      <c r="AB63" s="702">
        <f>IFERROR(INDEX('V3'!C$300:C$400,MATCH("*"&amp;L63&amp;"*",'V3'!B$300:B$400,0)),"  ")</f>
        <v>7</v>
      </c>
      <c r="AC63" s="702" t="str">
        <f>IFERROR(INDEX('V4'!C$300:C$400,MATCH("*"&amp;L63&amp;"*",'V4'!B$300:B$400,0)),"  ")</f>
        <v xml:space="preserve">  </v>
      </c>
      <c r="AD63" s="702" t="str">
        <f>IFERROR(INDEX('V5'!C$300:C$400,MATCH("*"&amp;L63&amp;"*",'V5'!B$300:B$400,0)),"  ")</f>
        <v xml:space="preserve">  </v>
      </c>
      <c r="AE63" s="702" t="str">
        <f>IFERROR(INDEX('V6'!C$300:C$400,MATCH("*"&amp;L63&amp;"*",'V6'!B$300:B$400,0)),"  ")</f>
        <v xml:space="preserve">  </v>
      </c>
      <c r="AF63" s="702" t="str">
        <f>IFERROR(INDEX('V7'!C$300:C$400,MATCH("*"&amp;L63&amp;"*",'V7'!B$300:B$400,0)),"  ")</f>
        <v xml:space="preserve">  </v>
      </c>
      <c r="AG63" s="702" t="str">
        <f>IFERROR(INDEX('V8'!C$300:C$400,MATCH("*"&amp;L63&amp;"*",'V8'!B$300:B$400,0)),"  ")</f>
        <v xml:space="preserve">  </v>
      </c>
      <c r="AH63" s="702" t="str">
        <f>IFERROR(INDEX('V9'!C$300:C$400,MATCH("*"&amp;L63&amp;"*",'V9'!B$300:B$400,0)),"  ")</f>
        <v xml:space="preserve">  </v>
      </c>
      <c r="AI63" s="702" t="str">
        <f>IFERROR(INDEX('V10'!C$300:C$400,MATCH("*"&amp;L63&amp;"*",'V10'!B$300:B$400,0)),"  ")</f>
        <v xml:space="preserve">  </v>
      </c>
      <c r="AJ63" s="702" t="str">
        <f>IFERROR(INDEX('V11'!C$300:C$400,MATCH("*"&amp;L63&amp;"*",'V11'!B$300:B$400,0)),"  ")</f>
        <v xml:space="preserve">  </v>
      </c>
      <c r="AK63" s="702" t="str">
        <f>IFERROR(INDEX('V12'!C$300:C$400,MATCH("*"&amp;L63&amp;"*",'V12'!B$300:B$400,0)),"  ")</f>
        <v xml:space="preserve">  </v>
      </c>
      <c r="AL63" s="702" t="str">
        <f>IFERROR(INDEX('V13'!C$300:C$400,MATCH("*"&amp;L63&amp;"*",'V13'!B$300:B$400,0)),"  ")</f>
        <v xml:space="preserve">  </v>
      </c>
      <c r="AM63" s="702" t="str">
        <f>IFERROR(INDEX('V14'!C$300:C$400,MATCH("*"&amp;L63&amp;"*",'V14'!B$300:B$400,0)),"  ")</f>
        <v xml:space="preserve">  </v>
      </c>
      <c r="AN63" s="702" t="str">
        <f>IFERROR(INDEX('V15'!C$300:C$400,MATCH("*"&amp;L63&amp;"*",'V15'!B$300:B$400,0)),"  ")</f>
        <v xml:space="preserve">  </v>
      </c>
      <c r="AO63" s="703" t="str">
        <f t="shared" si="10"/>
        <v/>
      </c>
      <c r="AP63" s="704">
        <f>IFERROR("edasi "&amp;RANK(AO63,AO$7:AO$66,1),K63)</f>
        <v>56</v>
      </c>
      <c r="AQ63" s="705" t="str">
        <f>IFERROR(INDEX('V-fin'!A$300:A$401,MATCH("*"&amp;L63&amp;"*",'V-fin'!B$300:B$401,0)),"  ")</f>
        <v xml:space="preserve">  </v>
      </c>
      <c r="AR63" s="706">
        <f t="shared" si="8"/>
        <v>1</v>
      </c>
      <c r="AS63" s="707">
        <f>IFERROR(IF(Z63+1&gt;LARGE(Z$7:Z$66,1)-2,1),0)+IFERROR(IF(AA63+1&gt;LARGE(AA$7:AA$66,1)-2,1),0)+IFERROR(IF(AB63+1&gt;LARGE(AB$7:AB$66,1)-2,1),0)+IFERROR(IF(AC63+1&gt;LARGE(AC$7:AC$66,1)-2,1),0)+IFERROR(IF(AD63+1&gt;LARGE(AD$7:AD$66,1)-2,1),0)+IFERROR(IF(AE63+1&gt;LARGE(AE$7:AE$66,1)-2,1),0)+IFERROR(IF(AF63+1&gt;LARGE(AF$7:AF$66,1)-2,1),0)+IFERROR(IF(AG63+1&gt;LARGE(AG$7:AG$66,1)-2,1),0)+IFERROR(IF(AH63+1&gt;LARGE(AH$7:AH$66,1)-2,1),0)+IFERROR(IF(AI63+1&gt;LARGE(AI$7:AI$66,1)-2,1),0)+IFERROR(IF(AJ63+1&gt;LARGE(AJ$7:AJ$66,1)-2,1),0)+IFERROR(IF(AK63+1&gt;LARGE(AK$7:AK$66,1)-2,1),0)+IFERROR(IF(AL63+1&gt;LARGE(AL$7:AL$66,1)-2,1),0)+IFERROR(IF(AM63+1&gt;LARGE(AM$7:AM$66,1)-2,1),0)+IFERROR(IF(AN63+1&gt;LARGE(AN$7:AN$66,1)-2,1),0)</f>
        <v>0</v>
      </c>
      <c r="AT63" s="707">
        <f>IF(Z63=0,0,IF(Z63=IFERROR(LARGE(Z$7:Z$66,1),0),1,0))+IF(AA63=0,0,IF(AA63=IFERROR(LARGE(AA$7:AA$66,1),0),1,0))+IF(AB63=0,0,IF(AB63=IFERROR(LARGE(AB$7:AB$66,1),0),1,0))+IF(AC63=0,0,IF(AC63=IFERROR(LARGE(AC$7:AC$66,1),0),1,0))+IF(AD63=0,0,IF(AD63=IFERROR(LARGE(AD$7:AD$66,1),0),1,0))+IF(AE63=0,0,IF(AE63=IFERROR(LARGE(AE$7:AE$66,1),0),1,0))+IF(AF63=0,0,IF(AF63=IFERROR(LARGE(AF$7:AF$66,1),0),1,0))+IF(AG63=0,0,IF(AG63=IFERROR(LARGE(AG$7:AG$66,1),0),1,0))+IF(AH63=0,0,IF(AH63=IFERROR(LARGE(AH$7:AH$66,1),0),1,0))+IF(AI63=0,0,IF(AI63=IFERROR(LARGE(AI$7:AI$66,1),0),1,0))+IF(AJ63=0,0,IF(AJ63=IFERROR(LARGE(AJ$7:AJ$66,1),0),1,0))+IF(AK63=0,0,IF(AK63=IFERROR(LARGE(AK$7:AK$66,1),0),1,0))+IF(AL63=0,0,IF(AL63=IFERROR(LARGE(AL$7:AL$66,1),0),1,0))+IF(AM63=0,0,IF(AM63=IFERROR(LARGE(AM$7:AM$66,1),0),1,0))+IF(AN63=0,0,IF(AN63=IFERROR(LARGE(AN$7:AN$66,1),0),1,0))</f>
        <v>0</v>
      </c>
      <c r="AU63" s="629"/>
      <c r="AV63" s="708">
        <f t="shared" si="11"/>
        <v>5.0000000000000001E-4</v>
      </c>
      <c r="AW63" s="709">
        <f t="shared" si="16"/>
        <v>1E-4</v>
      </c>
      <c r="AX63" s="709">
        <f t="shared" si="16"/>
        <v>2.0000000000000001E-4</v>
      </c>
      <c r="AY63" s="709">
        <f t="shared" si="16"/>
        <v>7.0003000000000002</v>
      </c>
      <c r="AZ63" s="709">
        <f t="shared" si="16"/>
        <v>4.0000000000000002E-4</v>
      </c>
      <c r="BA63" s="709">
        <f t="shared" si="16"/>
        <v>5.0000000000000001E-4</v>
      </c>
      <c r="BB63" s="709">
        <f t="shared" si="16"/>
        <v>5.9999999999999995E-4</v>
      </c>
      <c r="BC63" s="709">
        <f t="shared" si="16"/>
        <v>6.9999999999999999E-4</v>
      </c>
      <c r="BD63" s="709">
        <f t="shared" si="16"/>
        <v>8.0000000000000004E-4</v>
      </c>
      <c r="BE63" s="709">
        <f t="shared" si="16"/>
        <v>8.9999999999999998E-4</v>
      </c>
      <c r="BF63" s="709">
        <f t="shared" si="16"/>
        <v>1E-3</v>
      </c>
      <c r="BG63" s="709">
        <f t="shared" si="16"/>
        <v>1.1000000000000001E-3</v>
      </c>
      <c r="BH63" s="709">
        <f t="shared" si="16"/>
        <v>1.1999999999999999E-3</v>
      </c>
      <c r="BI63" s="709">
        <f t="shared" si="16"/>
        <v>1.2999999999999999E-3</v>
      </c>
      <c r="BJ63" s="709">
        <f t="shared" si="16"/>
        <v>1.4E-3</v>
      </c>
      <c r="BK63" s="709">
        <f t="shared" si="16"/>
        <v>1.5E-3</v>
      </c>
      <c r="BL63" s="629"/>
    </row>
    <row r="64" spans="1:64" x14ac:dyDescent="0.2">
      <c r="A64" s="686" t="str">
        <f>IF(R64&gt;0,IF(Q64="v",RANK(B64,B$7:B$66,1)-COUNTBLANK(Q$7:Q$66),""),"")</f>
        <v/>
      </c>
      <c r="B64" s="687">
        <f t="shared" si="0"/>
        <v>-942</v>
      </c>
      <c r="C64" s="688" t="str">
        <f>IF(R64&gt;0,IF(P64="k",RANK(D64,D$7:D$66,1)-COUNTBLANK(P$7:P$66),""),"")</f>
        <v/>
      </c>
      <c r="D64" s="687">
        <f t="shared" si="1"/>
        <v>-942</v>
      </c>
      <c r="E64" s="689">
        <f>IF(R64&gt;0,IF(N64="m",RANK(F64,F$7:F$66,1)-COUNTBLANK(N$7:N$66),""),"")</f>
        <v>42</v>
      </c>
      <c r="F64" s="687">
        <f t="shared" si="2"/>
        <v>58</v>
      </c>
      <c r="G64" s="690" t="str">
        <f>IF(R64&gt;0,IF(M64="n",RANK(H64,H$7:H$66,1)-COUNTBLANK(M$7:M$66),""),"")</f>
        <v/>
      </c>
      <c r="H64" s="687">
        <f t="shared" si="3"/>
        <v>-942</v>
      </c>
      <c r="I64" s="691" t="str">
        <f>IF(R64&gt;0,IF(O64="j",RANK(J64,J$7:J$66,1)-COUNTBLANK(O$7:O$66),""),"")</f>
        <v/>
      </c>
      <c r="J64" s="692">
        <f t="shared" si="4"/>
        <v>-942</v>
      </c>
      <c r="K64" s="654">
        <f>IF(R64&gt;0,RANK(U64,U$7:U$66,1),"")</f>
        <v>56</v>
      </c>
      <c r="L64" s="711" t="s">
        <v>319</v>
      </c>
      <c r="M64" s="694"/>
      <c r="N64" s="695" t="s">
        <v>273</v>
      </c>
      <c r="O64" s="696"/>
      <c r="P64" s="697"/>
      <c r="Q64" s="698"/>
      <c r="R64" s="699">
        <f>(IF(COUNT(Z64,AA64,AB64,AC64,AD64,AE64,AF64,AG64,AH64,AI64,AJ64,AK64,AL64,AM64,AN64)&lt;11,SUM(Z64,AA64,AB64,AC64,AD64,AE64,AF64,AG64,AH64,AI64,AJ64,AK64,AL64,AM64,AN64),SUM(LARGE((Z64,AA64,AB64,AC64,AD64,AE64,AF64,AG64,AH64,AI64,AJ64,AK64,AL64,AM64,AN64),{1;2;3;4;5;6;7;8;9;10;11}))))</f>
        <v>7</v>
      </c>
      <c r="S64" s="700" t="str">
        <f>INDEX(ETAPP!B$1:B$32,MATCH(COUNTIF(Z64:AN64,PVO!A$1),ETAPP!A$1:A$32,0))&amp;INDEX(ETAPP!B$1:B$32,MATCH(COUNTIF(Z64:AN64,PVO!A$2),ETAPP!A$1:A$32,0))&amp;INDEX(ETAPP!B$1:B$32,MATCH(COUNTIF(Z64:AN64,PVO!A$3),ETAPP!A$1:A$32,0))&amp;INDEX(ETAPP!B$1:B$32,MATCH(COUNTIF(Z64:AN64,PVO!A$4),ETAPP!A$1:A$32,0))&amp;INDEX(ETAPP!B$1:B$32,MATCH(COUNTIF(Z64:AN64,PVO!A$5),ETAPP!A$1:A$32,0))&amp;INDEX(ETAPP!B$1:B$32,MATCH(COUNTIF(Z64:AN64,PVO!A$6),ETAPP!A$1:A$32,0))&amp;INDEX(ETAPP!B$1:B$32,MATCH(COUNTIF(Z64:AN64,PVO!A$7),ETAPP!A$1:A$32,0))&amp;INDEX(ETAPP!B$1:B$32,MATCH(COUNTIF(Z64:AN64,PVO!A$8),ETAPP!A$1:A$32,0))&amp;INDEX(ETAPP!B$1:B$32,MATCH(COUNTIF(Z64:AN64,PVO!A$9),ETAPP!A$1:A$32,0))&amp;INDEX(ETAPP!B$1:B$32,MATCH(COUNTIF(Z64:AN64,PVO!A$10),ETAPP!A$1:A$32,0))&amp;INDEX(ETAPP!B$1:B$32,MATCH(COUNTIF(Z64:AN64,PVO!A$11),ETAPP!A$1:A$32,0))&amp;INDEX(ETAPP!B$1:B$32,MATCH(COUNTIF(Z64:AN64,PVO!A$12),ETAPP!A$1:A$32,0))&amp;INDEX(ETAPP!B$1:B$32,MATCH(COUNTIF(Z64:AN64,PVO!A$13),ETAPP!A$1:A$32,0))&amp;INDEX(ETAPP!B$1:B$32,MATCH(COUNTIF(Z64:AN64,PVO!A$14),ETAPP!A$1:A$32,0))&amp;INDEX(ETAPP!B$1:B$32,MATCH(COUNTIF(Z64:AN64,PVO!A$15),ETAPP!A$1:A$32,0))&amp;INDEX(ETAPP!B$1:B$32,MATCH(COUNTIF(Z64:AN64,PVO!A$16),ETAPP!A$1:A$32,0))&amp;INDEX(ETAPP!B$1:B$32,MATCH(COUNTIF(Z64:AN64,PVO!A$17),ETAPP!A$1:A$32,0))&amp;INDEX(ETAPP!B$1:B$32,MATCH(COUNTIF(Z64:AN64,PVO!A$18),ETAPP!A$1:A$32,0))&amp;INDEX(ETAPP!B$1:B$32,MATCH(COUNTIF(Z64:AN64,PVO!A$19),ETAPP!A$1:A$32,0))</f>
        <v>0000000000A0000000I</v>
      </c>
      <c r="T64" s="700" t="str">
        <f t="shared" si="6"/>
        <v>007,0-0000000000A0000000I</v>
      </c>
      <c r="U64" s="700">
        <f>COUNTIF(T$7:T$66,"&gt;="&amp;T64)</f>
        <v>58</v>
      </c>
      <c r="V64" s="700">
        <f>COUNTIF(L$7:L$66,"&gt;="&amp;L64)</f>
        <v>16</v>
      </c>
      <c r="W64" s="700" t="str">
        <f t="shared" si="7"/>
        <v>007,0-0000000000A0000000I-016</v>
      </c>
      <c r="X64" s="700">
        <f>COUNTIF(W$7:W$66,"&gt;="&amp;W64)</f>
        <v>58</v>
      </c>
      <c r="Y64" s="701">
        <f>RANK(X64,X$7:X$66,0)</f>
        <v>3</v>
      </c>
      <c r="Z64" s="702" t="str">
        <f>IFERROR(INDEX('V1'!C$300:C$400,MATCH("*"&amp;L64&amp;"*",'V1'!B$300:B$400,0)),"  ")</f>
        <v xml:space="preserve">  </v>
      </c>
      <c r="AA64" s="702" t="str">
        <f>IFERROR(INDEX('V2'!C$300:C$400,MATCH("*"&amp;L64&amp;"*",'V2'!B$300:B$400,0)),"  ")</f>
        <v xml:space="preserve">  </v>
      </c>
      <c r="AB64" s="702" t="str">
        <f>IFERROR(INDEX('V3'!C$300:C$400,MATCH("*"&amp;L64&amp;"*",'V3'!B$300:B$400,0)),"  ")</f>
        <v xml:space="preserve">  </v>
      </c>
      <c r="AC64" s="702" t="str">
        <f>IFERROR(INDEX('V4'!C$300:C$400,MATCH("*"&amp;L64&amp;"*",'V4'!B$300:B$400,0)),"  ")</f>
        <v xml:space="preserve">  </v>
      </c>
      <c r="AD64" s="702" t="str">
        <f>IFERROR(INDEX('V5'!C$300:C$400,MATCH("*"&amp;L64&amp;"*",'V5'!B$300:B$400,0)),"  ")</f>
        <v xml:space="preserve">  </v>
      </c>
      <c r="AE64" s="702" t="str">
        <f>IFERROR(INDEX('V6'!C$300:C$400,MATCH("*"&amp;L64&amp;"*",'V6'!B$300:B$400,0)),"  ")</f>
        <v xml:space="preserve">  </v>
      </c>
      <c r="AF64" s="702" t="str">
        <f>IFERROR(INDEX('V7'!C$300:C$400,MATCH("*"&amp;L64&amp;"*",'V7'!B$300:B$400,0)),"  ")</f>
        <v xml:space="preserve">  </v>
      </c>
      <c r="AG64" s="702" t="str">
        <f>IFERROR(INDEX('V8'!C$300:C$400,MATCH("*"&amp;L64&amp;"*",'V8'!B$300:B$400,0)),"  ")</f>
        <v xml:space="preserve">  </v>
      </c>
      <c r="AH64" s="702" t="str">
        <f>IFERROR(INDEX('V9'!C$300:C$400,MATCH("*"&amp;L64&amp;"*",'V9'!B$300:B$400,0)),"  ")</f>
        <v xml:space="preserve">  </v>
      </c>
      <c r="AI64" s="702" t="str">
        <f>IFERROR(INDEX('V10'!C$300:C$400,MATCH("*"&amp;L64&amp;"*",'V10'!B$300:B$400,0)),"  ")</f>
        <v xml:space="preserve">  </v>
      </c>
      <c r="AJ64" s="702" t="str">
        <f>IFERROR(INDEX('V11'!C$300:C$400,MATCH("*"&amp;L64&amp;"*",'V11'!B$300:B$400,0)),"  ")</f>
        <v xml:space="preserve">  </v>
      </c>
      <c r="AK64" s="702" t="str">
        <f>IFERROR(INDEX('V12'!C$300:C$400,MATCH("*"&amp;L64&amp;"*",'V12'!B$300:B$400,0)),"  ")</f>
        <v xml:space="preserve">  </v>
      </c>
      <c r="AL64" s="702" t="str">
        <f>IFERROR(INDEX('V13'!C$300:C$400,MATCH("*"&amp;L64&amp;"*",'V13'!B$300:B$400,0)),"  ")</f>
        <v xml:space="preserve">  </v>
      </c>
      <c r="AM64" s="702" t="str">
        <f>IFERROR(INDEX('V14'!C$300:C$400,MATCH("*"&amp;L64&amp;"*",'V14'!B$300:B$400,0)),"  ")</f>
        <v xml:space="preserve">  </v>
      </c>
      <c r="AN64" s="702">
        <f>IFERROR(INDEX('V15'!C$300:C$400,MATCH("*"&amp;L64&amp;"*",'V15'!B$300:B$400,0)),"  ")</f>
        <v>7</v>
      </c>
      <c r="AO64" s="703" t="str">
        <f t="shared" si="10"/>
        <v/>
      </c>
      <c r="AP64" s="704">
        <f>IFERROR("edasi "&amp;RANK(AO64,AO$7:AO$66,1),K64)</f>
        <v>56</v>
      </c>
      <c r="AQ64" s="705" t="str">
        <f>IFERROR(INDEX('V-fin'!A$300:A$401,MATCH("*"&amp;L64&amp;"*",'V-fin'!B$300:B$401,0)),"  ")</f>
        <v xml:space="preserve">  </v>
      </c>
      <c r="AR64" s="706">
        <f t="shared" si="8"/>
        <v>1</v>
      </c>
      <c r="AS64" s="707">
        <f>IFERROR(IF(Z64+1&gt;LARGE(Z$7:Z$66,1)-2,1),0)+IFERROR(IF(AA64+1&gt;LARGE(AA$7:AA$66,1)-2,1),0)+IFERROR(IF(AB64+1&gt;LARGE(AB$7:AB$66,1)-2,1),0)+IFERROR(IF(AC64+1&gt;LARGE(AC$7:AC$66,1)-2,1),0)+IFERROR(IF(AD64+1&gt;LARGE(AD$7:AD$66,1)-2,1),0)+IFERROR(IF(AE64+1&gt;LARGE(AE$7:AE$66,1)-2,1),0)+IFERROR(IF(AF64+1&gt;LARGE(AF$7:AF$66,1)-2,1),0)+IFERROR(IF(AG64+1&gt;LARGE(AG$7:AG$66,1)-2,1),0)+IFERROR(IF(AH64+1&gt;LARGE(AH$7:AH$66,1)-2,1),0)+IFERROR(IF(AI64+1&gt;LARGE(AI$7:AI$66,1)-2,1),0)+IFERROR(IF(AJ64+1&gt;LARGE(AJ$7:AJ$66,1)-2,1),0)+IFERROR(IF(AK64+1&gt;LARGE(AK$7:AK$66,1)-2,1),0)+IFERROR(IF(AL64+1&gt;LARGE(AL$7:AL$66,1)-2,1),0)+IFERROR(IF(AM64+1&gt;LARGE(AM$7:AM$66,1)-2,1),0)+IFERROR(IF(AN64+1&gt;LARGE(AN$7:AN$66,1)-2,1),0)</f>
        <v>0</v>
      </c>
      <c r="AT64" s="707">
        <f>IF(Z64=0,0,IF(Z64=IFERROR(LARGE(Z$7:Z$66,1),0),1,0))+IF(AA64=0,0,IF(AA64=IFERROR(LARGE(AA$7:AA$66,1),0),1,0))+IF(AB64=0,0,IF(AB64=IFERROR(LARGE(AB$7:AB$66,1),0),1,0))+IF(AC64=0,0,IF(AC64=IFERROR(LARGE(AC$7:AC$66,1),0),1,0))+IF(AD64=0,0,IF(AD64=IFERROR(LARGE(AD$7:AD$66,1),0),1,0))+IF(AE64=0,0,IF(AE64=IFERROR(LARGE(AE$7:AE$66,1),0),1,0))+IF(AF64=0,0,IF(AF64=IFERROR(LARGE(AF$7:AF$66,1),0),1,0))+IF(AG64=0,0,IF(AG64=IFERROR(LARGE(AG$7:AG$66,1),0),1,0))+IF(AH64=0,0,IF(AH64=IFERROR(LARGE(AH$7:AH$66,1),0),1,0))+IF(AI64=0,0,IF(AI64=IFERROR(LARGE(AI$7:AI$66,1),0),1,0))+IF(AJ64=0,0,IF(AJ64=IFERROR(LARGE(AJ$7:AJ$66,1),0),1,0))+IF(AK64=0,0,IF(AK64=IFERROR(LARGE(AK$7:AK$66,1),0),1,0))+IF(AL64=0,0,IF(AL64=IFERROR(LARGE(AL$7:AL$66,1),0),1,0))+IF(AM64=0,0,IF(AM64=IFERROR(LARGE(AM$7:AM$66,1),0),1,0))+IF(AN64=0,0,IF(AN64=IFERROR(LARGE(AN$7:AN$66,1),0),1,0))</f>
        <v>0</v>
      </c>
      <c r="AU64" s="629"/>
      <c r="AV64" s="708">
        <f t="shared" si="11"/>
        <v>4.0000000000000002E-4</v>
      </c>
      <c r="AW64" s="709">
        <f t="shared" si="16"/>
        <v>1E-4</v>
      </c>
      <c r="AX64" s="709">
        <f t="shared" si="16"/>
        <v>2.0000000000000001E-4</v>
      </c>
      <c r="AY64" s="709">
        <f t="shared" si="16"/>
        <v>2.9999999999999997E-4</v>
      </c>
      <c r="AZ64" s="709">
        <f t="shared" si="16"/>
        <v>4.0000000000000002E-4</v>
      </c>
      <c r="BA64" s="709">
        <f t="shared" si="16"/>
        <v>5.0000000000000001E-4</v>
      </c>
      <c r="BB64" s="709">
        <f t="shared" si="16"/>
        <v>5.9999999999999995E-4</v>
      </c>
      <c r="BC64" s="709">
        <f t="shared" si="16"/>
        <v>6.9999999999999999E-4</v>
      </c>
      <c r="BD64" s="709">
        <f t="shared" si="16"/>
        <v>8.0000000000000004E-4</v>
      </c>
      <c r="BE64" s="709">
        <f t="shared" si="16"/>
        <v>8.9999999999999998E-4</v>
      </c>
      <c r="BF64" s="709">
        <f t="shared" si="16"/>
        <v>1E-3</v>
      </c>
      <c r="BG64" s="709">
        <f t="shared" si="16"/>
        <v>1.1000000000000001E-3</v>
      </c>
      <c r="BH64" s="709">
        <f t="shared" si="16"/>
        <v>1.1999999999999999E-3</v>
      </c>
      <c r="BI64" s="709">
        <f t="shared" si="16"/>
        <v>1.2999999999999999E-3</v>
      </c>
      <c r="BJ64" s="709">
        <f t="shared" si="16"/>
        <v>1.4E-3</v>
      </c>
      <c r="BK64" s="709">
        <f t="shared" si="16"/>
        <v>7.0015000000000001</v>
      </c>
      <c r="BL64" s="629"/>
    </row>
    <row r="65" spans="1:64" x14ac:dyDescent="0.2">
      <c r="A65" s="686" t="str">
        <f>IF(R65&gt;0,IF(Q65="v",RANK(B65,B$7:B$66,1)-COUNTBLANK(Q$7:Q$66),""),"")</f>
        <v/>
      </c>
      <c r="B65" s="687">
        <f t="shared" si="0"/>
        <v>-940</v>
      </c>
      <c r="C65" s="688" t="str">
        <f>IF(R65&gt;0,IF(P65="k",RANK(D65,D$7:D$66,1)-COUNTBLANK(P$7:P$66),""),"")</f>
        <v/>
      </c>
      <c r="D65" s="687">
        <f t="shared" si="1"/>
        <v>-940</v>
      </c>
      <c r="E65" s="689" t="str">
        <f>IF(R65&gt;0,IF(N65="m",RANK(F65,F$7:F$66,1)-COUNTBLANK(N$7:N$66),""),"")</f>
        <v/>
      </c>
      <c r="F65" s="687">
        <f t="shared" si="2"/>
        <v>-940</v>
      </c>
      <c r="G65" s="690">
        <f>IF(R65&gt;0,IF(M65="n",RANK(H65,H$7:H$66,1)-COUNTBLANK(M$7:M$66),""),"")</f>
        <v>16</v>
      </c>
      <c r="H65" s="687">
        <f t="shared" si="3"/>
        <v>60</v>
      </c>
      <c r="I65" s="691" t="str">
        <f>IF(R65&gt;0,IF(O65="j",RANK(J65,J$7:J$66,1)-COUNTBLANK(O$7:O$66),""),"")</f>
        <v/>
      </c>
      <c r="J65" s="692">
        <f t="shared" si="4"/>
        <v>-940</v>
      </c>
      <c r="K65" s="654">
        <f>IF(R65&gt;0,RANK(U65,U$7:U$66,1),"")</f>
        <v>59</v>
      </c>
      <c r="L65" s="693" t="s">
        <v>320</v>
      </c>
      <c r="M65" s="694" t="s">
        <v>280</v>
      </c>
      <c r="N65" s="695"/>
      <c r="O65" s="696"/>
      <c r="P65" s="697"/>
      <c r="Q65" s="698"/>
      <c r="R65" s="699">
        <f>(IF(COUNT(Z65,AA65,AB65,AC65,AD65,AE65,AF65,AG65,AH65,AI65,AJ65,AK65,AL65,AM65,AN65)&lt;11,SUM(Z65,AA65,AB65,AC65,AD65,AE65,AF65,AG65,AH65,AI65,AJ65,AK65,AL65,AM65,AN65),SUM(LARGE((Z65,AA65,AB65,AC65,AD65,AE65,AF65,AG65,AH65,AI65,AJ65,AK65,AL65,AM65,AN65),{1;2;3;4;5;6;7;8;9;10;11}))))</f>
        <v>4</v>
      </c>
      <c r="S65" s="700" t="str">
        <f>INDEX(ETAPP!B$1:B$32,MATCH(COUNTIF(Z65:AN65,PVO!A$1),ETAPP!A$1:A$32,0))&amp;INDEX(ETAPP!B$1:B$32,MATCH(COUNTIF(Z65:AN65,PVO!A$2),ETAPP!A$1:A$32,0))&amp;INDEX(ETAPP!B$1:B$32,MATCH(COUNTIF(Z65:AN65,PVO!A$3),ETAPP!A$1:A$32,0))&amp;INDEX(ETAPP!B$1:B$32,MATCH(COUNTIF(Z65:AN65,PVO!A$4),ETAPP!A$1:A$32,0))&amp;INDEX(ETAPP!B$1:B$32,MATCH(COUNTIF(Z65:AN65,PVO!A$5),ETAPP!A$1:A$32,0))&amp;INDEX(ETAPP!B$1:B$32,MATCH(COUNTIF(Z65:AN65,PVO!A$6),ETAPP!A$1:A$32,0))&amp;INDEX(ETAPP!B$1:B$32,MATCH(COUNTIF(Z65:AN65,PVO!A$7),ETAPP!A$1:A$32,0))&amp;INDEX(ETAPP!B$1:B$32,MATCH(COUNTIF(Z65:AN65,PVO!A$8),ETAPP!A$1:A$32,0))&amp;INDEX(ETAPP!B$1:B$32,MATCH(COUNTIF(Z65:AN65,PVO!A$9),ETAPP!A$1:A$32,0))&amp;INDEX(ETAPP!B$1:B$32,MATCH(COUNTIF(Z65:AN65,PVO!A$10),ETAPP!A$1:A$32,0))&amp;INDEX(ETAPP!B$1:B$32,MATCH(COUNTIF(Z65:AN65,PVO!A$11),ETAPP!A$1:A$32,0))&amp;INDEX(ETAPP!B$1:B$32,MATCH(COUNTIF(Z65:AN65,PVO!A$12),ETAPP!A$1:A$32,0))&amp;INDEX(ETAPP!B$1:B$32,MATCH(COUNTIF(Z65:AN65,PVO!A$13),ETAPP!A$1:A$32,0))&amp;INDEX(ETAPP!B$1:B$32,MATCH(COUNTIF(Z65:AN65,PVO!A$14),ETAPP!A$1:A$32,0))&amp;INDEX(ETAPP!B$1:B$32,MATCH(COUNTIF(Z65:AN65,PVO!A$15),ETAPP!A$1:A$32,0))&amp;INDEX(ETAPP!B$1:B$32,MATCH(COUNTIF(Z65:AN65,PVO!A$16),ETAPP!A$1:A$32,0))&amp;INDEX(ETAPP!B$1:B$32,MATCH(COUNTIF(Z65:AN65,PVO!A$17),ETAPP!A$1:A$32,0))&amp;INDEX(ETAPP!B$1:B$32,MATCH(COUNTIF(Z65:AN65,PVO!A$18),ETAPP!A$1:A$32,0))&amp;INDEX(ETAPP!B$1:B$32,MATCH(COUNTIF(Z65:AN65,PVO!A$19),ETAPP!A$1:A$32,0))</f>
        <v>0000000000000A0000I</v>
      </c>
      <c r="T65" s="700" t="str">
        <f t="shared" si="6"/>
        <v>004,0-0000000000000A0000I</v>
      </c>
      <c r="U65" s="700">
        <f>COUNTIF(T$7:T$66,"&gt;="&amp;T65)</f>
        <v>60</v>
      </c>
      <c r="V65" s="700">
        <f>COUNTIF(L$7:L$66,"&gt;="&amp;L65)</f>
        <v>59</v>
      </c>
      <c r="W65" s="700" t="str">
        <f t="shared" si="7"/>
        <v>004,0-0000000000000A0000I-059</v>
      </c>
      <c r="X65" s="700">
        <f>COUNTIF(W$7:W$66,"&gt;="&amp;W65)</f>
        <v>59</v>
      </c>
      <c r="Y65" s="701">
        <f>RANK(X65,X$7:X$66,0)</f>
        <v>2</v>
      </c>
      <c r="Z65" s="702" t="str">
        <f>IFERROR(INDEX('V1'!C$300:C$400,MATCH("*"&amp;L65&amp;"*",'V1'!B$300:B$400,0)),"  ")</f>
        <v xml:space="preserve">  </v>
      </c>
      <c r="AA65" s="702" t="str">
        <f>IFERROR(INDEX('V2'!C$300:C$400,MATCH("*"&amp;L65&amp;"*",'V2'!B$300:B$400,0)),"  ")</f>
        <v xml:space="preserve">  </v>
      </c>
      <c r="AB65" s="702" t="str">
        <f>IFERROR(INDEX('V3'!C$300:C$400,MATCH("*"&amp;L65&amp;"*",'V3'!B$300:B$400,0)),"  ")</f>
        <v xml:space="preserve">  </v>
      </c>
      <c r="AC65" s="702" t="str">
        <f>IFERROR(INDEX('V4'!C$300:C$400,MATCH("*"&amp;L65&amp;"*",'V4'!B$300:B$400,0)),"  ")</f>
        <v xml:space="preserve">  </v>
      </c>
      <c r="AD65" s="702" t="str">
        <f>IFERROR(INDEX('V5'!C$300:C$400,MATCH("*"&amp;L65&amp;"*",'V5'!B$300:B$400,0)),"  ")</f>
        <v xml:space="preserve">  </v>
      </c>
      <c r="AE65" s="702" t="str">
        <f>IFERROR(INDEX('V6'!C$300:C$400,MATCH("*"&amp;L65&amp;"*",'V6'!B$300:B$400,0)),"  ")</f>
        <v xml:space="preserve">  </v>
      </c>
      <c r="AF65" s="702" t="str">
        <f>IFERROR(INDEX('V7'!C$300:C$400,MATCH("*"&amp;L65&amp;"*",'V7'!B$300:B$400,0)),"  ")</f>
        <v xml:space="preserve">  </v>
      </c>
      <c r="AG65" s="702" t="str">
        <f>IFERROR(INDEX('V8'!C$300:C$400,MATCH("*"&amp;L65&amp;"*",'V8'!B$300:B$400,0)),"  ")</f>
        <v xml:space="preserve">  </v>
      </c>
      <c r="AH65" s="702" t="str">
        <f>IFERROR(INDEX('V9'!C$300:C$400,MATCH("*"&amp;L65&amp;"*",'V9'!B$300:B$400,0)),"  ")</f>
        <v xml:space="preserve">  </v>
      </c>
      <c r="AI65" s="702">
        <f>IFERROR(INDEX('V10'!C$300:C$400,MATCH("*"&amp;L65&amp;"*",'V10'!B$300:B$400,0)),"  ")</f>
        <v>4</v>
      </c>
      <c r="AJ65" s="702" t="str">
        <f>IFERROR(INDEX('V11'!C$300:C$400,MATCH("*"&amp;L65&amp;"*",'V11'!B$300:B$400,0)),"  ")</f>
        <v xml:space="preserve">  </v>
      </c>
      <c r="AK65" s="702" t="str">
        <f>IFERROR(INDEX('V12'!C$300:C$400,MATCH("*"&amp;L65&amp;"*",'V12'!B$300:B$400,0)),"  ")</f>
        <v xml:space="preserve">  </v>
      </c>
      <c r="AL65" s="702" t="str">
        <f>IFERROR(INDEX('V13'!C$300:C$400,MATCH("*"&amp;L65&amp;"*",'V13'!B$300:B$400,0)),"  ")</f>
        <v xml:space="preserve">  </v>
      </c>
      <c r="AM65" s="702" t="str">
        <f>IFERROR(INDEX('V14'!C$300:C$400,MATCH("*"&amp;L65&amp;"*",'V14'!B$300:B$400,0)),"  ")</f>
        <v xml:space="preserve">  </v>
      </c>
      <c r="AN65" s="702" t="str">
        <f>IFERROR(INDEX('V15'!C$300:C$400,MATCH("*"&amp;L65&amp;"*",'V15'!B$300:B$400,0)),"  ")</f>
        <v xml:space="preserve">  </v>
      </c>
      <c r="AO65" s="703" t="str">
        <f t="shared" si="10"/>
        <v/>
      </c>
      <c r="AP65" s="704">
        <f>IFERROR("edasi "&amp;RANK(AO65,AO$7:AO$66,1),K65)</f>
        <v>59</v>
      </c>
      <c r="AQ65" s="705" t="str">
        <f>IFERROR(INDEX('V-fin'!A$300:A$401,MATCH("*"&amp;L65&amp;"*",'V-fin'!B$300:B$401,0)),"  ")</f>
        <v xml:space="preserve">  </v>
      </c>
      <c r="AR65" s="706">
        <f t="shared" si="8"/>
        <v>1</v>
      </c>
      <c r="AS65" s="707">
        <f>IFERROR(IF(Z65+1&gt;LARGE(Z$7:Z$66,1)-2,1),0)+IFERROR(IF(AA65+1&gt;LARGE(AA$7:AA$66,1)-2,1),0)+IFERROR(IF(AB65+1&gt;LARGE(AB$7:AB$66,1)-2,1),0)+IFERROR(IF(AC65+1&gt;LARGE(AC$7:AC$66,1)-2,1),0)+IFERROR(IF(AD65+1&gt;LARGE(AD$7:AD$66,1)-2,1),0)+IFERROR(IF(AE65+1&gt;LARGE(AE$7:AE$66,1)-2,1),0)+IFERROR(IF(AF65+1&gt;LARGE(AF$7:AF$66,1)-2,1),0)+IFERROR(IF(AG65+1&gt;LARGE(AG$7:AG$66,1)-2,1),0)+IFERROR(IF(AH65+1&gt;LARGE(AH$7:AH$66,1)-2,1),0)+IFERROR(IF(AI65+1&gt;LARGE(AI$7:AI$66,1)-2,1),0)+IFERROR(IF(AJ65+1&gt;LARGE(AJ$7:AJ$66,1)-2,1),0)+IFERROR(IF(AK65+1&gt;LARGE(AK$7:AK$66,1)-2,1),0)+IFERROR(IF(AL65+1&gt;LARGE(AL$7:AL$66,1)-2,1),0)+IFERROR(IF(AM65+1&gt;LARGE(AM$7:AM$66,1)-2,1),0)+IFERROR(IF(AN65+1&gt;LARGE(AN$7:AN$66,1)-2,1),0)</f>
        <v>0</v>
      </c>
      <c r="AT65" s="707">
        <f>IF(Z65=0,0,IF(Z65=IFERROR(LARGE(Z$7:Z$66,1),0),1,0))+IF(AA65=0,0,IF(AA65=IFERROR(LARGE(AA$7:AA$66,1),0),1,0))+IF(AB65=0,0,IF(AB65=IFERROR(LARGE(AB$7:AB$66,1),0),1,0))+IF(AC65=0,0,IF(AC65=IFERROR(LARGE(AC$7:AC$66,1),0),1,0))+IF(AD65=0,0,IF(AD65=IFERROR(LARGE(AD$7:AD$66,1),0),1,0))+IF(AE65=0,0,IF(AE65=IFERROR(LARGE(AE$7:AE$66,1),0),1,0))+IF(AF65=0,0,IF(AF65=IFERROR(LARGE(AF$7:AF$66,1),0),1,0))+IF(AG65=0,0,IF(AG65=IFERROR(LARGE(AG$7:AG$66,1),0),1,0))+IF(AH65=0,0,IF(AH65=IFERROR(LARGE(AH$7:AH$66,1),0),1,0))+IF(AI65=0,0,IF(AI65=IFERROR(LARGE(AI$7:AI$66,1),0),1,0))+IF(AJ65=0,0,IF(AJ65=IFERROR(LARGE(AJ$7:AJ$66,1),0),1,0))+IF(AK65=0,0,IF(AK65=IFERROR(LARGE(AK$7:AK$66,1),0),1,0))+IF(AL65=0,0,IF(AL65=IFERROR(LARGE(AL$7:AL$66,1),0),1,0))+IF(AM65=0,0,IF(AM65=IFERROR(LARGE(AM$7:AM$66,1),0),1,0))+IF(AN65=0,0,IF(AN65=IFERROR(LARGE(AN$7:AN$66,1),0),1,0))</f>
        <v>0</v>
      </c>
      <c r="AU65" s="629"/>
      <c r="AV65" s="708">
        <f t="shared" si="11"/>
        <v>4.0000000000000002E-4</v>
      </c>
      <c r="AW65" s="709">
        <f t="shared" si="16"/>
        <v>1E-4</v>
      </c>
      <c r="AX65" s="709">
        <f t="shared" si="16"/>
        <v>2.0000000000000001E-4</v>
      </c>
      <c r="AY65" s="709">
        <f t="shared" si="16"/>
        <v>2.9999999999999997E-4</v>
      </c>
      <c r="AZ65" s="709">
        <f t="shared" si="16"/>
        <v>4.0000000000000002E-4</v>
      </c>
      <c r="BA65" s="709">
        <f t="shared" si="16"/>
        <v>5.0000000000000001E-4</v>
      </c>
      <c r="BB65" s="709">
        <f t="shared" si="16"/>
        <v>5.9999999999999995E-4</v>
      </c>
      <c r="BC65" s="709">
        <f t="shared" si="16"/>
        <v>6.9999999999999999E-4</v>
      </c>
      <c r="BD65" s="709">
        <f t="shared" si="16"/>
        <v>8.0000000000000004E-4</v>
      </c>
      <c r="BE65" s="709">
        <f t="shared" si="16"/>
        <v>8.9999999999999998E-4</v>
      </c>
      <c r="BF65" s="709">
        <f t="shared" si="16"/>
        <v>4.0010000000000003</v>
      </c>
      <c r="BG65" s="709">
        <f t="shared" si="16"/>
        <v>1.1000000000000001E-3</v>
      </c>
      <c r="BH65" s="709">
        <f t="shared" si="16"/>
        <v>1.1999999999999999E-3</v>
      </c>
      <c r="BI65" s="709">
        <f t="shared" si="16"/>
        <v>1.2999999999999999E-3</v>
      </c>
      <c r="BJ65" s="709">
        <f t="shared" si="16"/>
        <v>1.4E-3</v>
      </c>
      <c r="BK65" s="709">
        <f t="shared" si="16"/>
        <v>1.5E-3</v>
      </c>
      <c r="BL65" s="629"/>
    </row>
    <row r="66" spans="1:64" x14ac:dyDescent="0.2">
      <c r="A66" s="686">
        <f>IF(R66&gt;0,IF(Q66="v",RANK(B66,B$7:B$66,1)-COUNTBLANK(Q$7:Q$66),""),"")</f>
        <v>36</v>
      </c>
      <c r="B66" s="687">
        <f t="shared" si="0"/>
        <v>60</v>
      </c>
      <c r="C66" s="688">
        <f>IF(R66&gt;0,IF(P66="k",RANK(D66,D$7:D$66,1)-COUNTBLANK(P$7:P$66),""),"")</f>
        <v>17</v>
      </c>
      <c r="D66" s="687">
        <f t="shared" si="1"/>
        <v>60</v>
      </c>
      <c r="E66" s="689">
        <f>IF(R66&gt;0,IF(N66="m",RANK(F66,F$7:F$66,1)-COUNTBLANK(N$7:N$66),""),"")</f>
        <v>44</v>
      </c>
      <c r="F66" s="687">
        <f t="shared" si="2"/>
        <v>60</v>
      </c>
      <c r="G66" s="690" t="str">
        <f>IF(R66&gt;0,IF(M66="n",RANK(H66,H$7:H$66,1)-COUNTBLANK(M$7:M$66),""),"")</f>
        <v/>
      </c>
      <c r="H66" s="687">
        <f t="shared" si="3"/>
        <v>-940</v>
      </c>
      <c r="I66" s="691" t="str">
        <f>IF(R66&gt;0,IF(O66="j",RANK(J66,J$7:J$66,1)-COUNTBLANK(O$7:O$66),""),"")</f>
        <v/>
      </c>
      <c r="J66" s="692">
        <f t="shared" si="4"/>
        <v>-940</v>
      </c>
      <c r="K66" s="654">
        <f>IF(R66&gt;0,RANK(U66,U$7:U$66,1),"")</f>
        <v>59</v>
      </c>
      <c r="L66" s="723" t="s">
        <v>321</v>
      </c>
      <c r="M66" s="694"/>
      <c r="N66" s="695" t="str">
        <f t="shared" ref="N66" si="17">IF(M66="","m","")</f>
        <v>m</v>
      </c>
      <c r="O66" s="696"/>
      <c r="P66" s="697" t="s">
        <v>268</v>
      </c>
      <c r="Q66" s="698" t="s">
        <v>269</v>
      </c>
      <c r="R66" s="699">
        <f>(IF(COUNT(Z66,AA66,AB66,AC66,AD66,AE66,AF66,AG66,AH66,AI66,AJ66,AK66,AL66,AM66,AN66)&lt;11,SUM(Z66,AA66,AB66,AC66,AD66,AE66,AF66,AG66,AH66,AI66,AJ66,AK66,AL66,AM66,AN66),SUM(LARGE((Z66,AA66,AB66,AC66,AD66,AE66,AF66,AG66,AH66,AI66,AJ66,AK66,AL66,AM66,AN66),{1;2;3;4;5;6;7;8;9;10;11}))))</f>
        <v>4</v>
      </c>
      <c r="S66" s="700" t="str">
        <f>INDEX(ETAPP!B$1:B$32,MATCH(COUNTIF(Z66:AN66,PVO!A$1),ETAPP!A$1:A$32,0))&amp;INDEX(ETAPP!B$1:B$32,MATCH(COUNTIF(Z66:AN66,PVO!A$2),ETAPP!A$1:A$32,0))&amp;INDEX(ETAPP!B$1:B$32,MATCH(COUNTIF(Z66:AN66,PVO!A$3),ETAPP!A$1:A$32,0))&amp;INDEX(ETAPP!B$1:B$32,MATCH(COUNTIF(Z66:AN66,PVO!A$4),ETAPP!A$1:A$32,0))&amp;INDEX(ETAPP!B$1:B$32,MATCH(COUNTIF(Z66:AN66,PVO!A$5),ETAPP!A$1:A$32,0))&amp;INDEX(ETAPP!B$1:B$32,MATCH(COUNTIF(Z66:AN66,PVO!A$6),ETAPP!A$1:A$32,0))&amp;INDEX(ETAPP!B$1:B$32,MATCH(COUNTIF(Z66:AN66,PVO!A$7),ETAPP!A$1:A$32,0))&amp;INDEX(ETAPP!B$1:B$32,MATCH(COUNTIF(Z66:AN66,PVO!A$8),ETAPP!A$1:A$32,0))&amp;INDEX(ETAPP!B$1:B$32,MATCH(COUNTIF(Z66:AN66,PVO!A$9),ETAPP!A$1:A$32,0))&amp;INDEX(ETAPP!B$1:B$32,MATCH(COUNTIF(Z66:AN66,PVO!A$10),ETAPP!A$1:A$32,0))&amp;INDEX(ETAPP!B$1:B$32,MATCH(COUNTIF(Z66:AN66,PVO!A$11),ETAPP!A$1:A$32,0))&amp;INDEX(ETAPP!B$1:B$32,MATCH(COUNTIF(Z66:AN66,PVO!A$12),ETAPP!A$1:A$32,0))&amp;INDEX(ETAPP!B$1:B$32,MATCH(COUNTIF(Z66:AN66,PVO!A$13),ETAPP!A$1:A$32,0))&amp;INDEX(ETAPP!B$1:B$32,MATCH(COUNTIF(Z66:AN66,PVO!A$14),ETAPP!A$1:A$32,0))&amp;INDEX(ETAPP!B$1:B$32,MATCH(COUNTIF(Z66:AN66,PVO!A$15),ETAPP!A$1:A$32,0))&amp;INDEX(ETAPP!B$1:B$32,MATCH(COUNTIF(Z66:AN66,PVO!A$16),ETAPP!A$1:A$32,0))&amp;INDEX(ETAPP!B$1:B$32,MATCH(COUNTIF(Z66:AN66,PVO!A$17),ETAPP!A$1:A$32,0))&amp;INDEX(ETAPP!B$1:B$32,MATCH(COUNTIF(Z66:AN66,PVO!A$18),ETAPP!A$1:A$32,0))&amp;INDEX(ETAPP!B$1:B$32,MATCH(COUNTIF(Z66:AN66,PVO!A$19),ETAPP!A$1:A$32,0))</f>
        <v>0000000000000A0000I</v>
      </c>
      <c r="T66" s="700" t="str">
        <f t="shared" si="6"/>
        <v>004,0-0000000000000A0000I</v>
      </c>
      <c r="U66" s="700">
        <f>COUNTIF(T$7:T$66,"&gt;="&amp;T66)</f>
        <v>60</v>
      </c>
      <c r="V66" s="700">
        <f>COUNTIF(L$7:L$66,"&gt;="&amp;L66)</f>
        <v>58</v>
      </c>
      <c r="W66" s="700" t="str">
        <f t="shared" si="7"/>
        <v>004,0-0000000000000A0000I-058</v>
      </c>
      <c r="X66" s="700">
        <f>COUNTIF(W$7:W$66,"&gt;="&amp;W66)</f>
        <v>60</v>
      </c>
      <c r="Y66" s="701">
        <f>RANK(X66,X$7:X$66,0)</f>
        <v>1</v>
      </c>
      <c r="Z66" s="702" t="str">
        <f>IFERROR(INDEX('V1'!C$300:C$400,MATCH("*"&amp;L66&amp;"*",'V1'!B$300:B$400,0)),"  ")</f>
        <v xml:space="preserve">  </v>
      </c>
      <c r="AA66" s="702" t="str">
        <f>IFERROR(INDEX('V2'!C$300:C$400,MATCH("*"&amp;L66&amp;"*",'V2'!B$300:B$400,0)),"  ")</f>
        <v xml:space="preserve">  </v>
      </c>
      <c r="AB66" s="702" t="str">
        <f>IFERROR(INDEX('V3'!C$300:C$400,MATCH("*"&amp;L66&amp;"*",'V3'!B$300:B$400,0)),"  ")</f>
        <v xml:space="preserve">  </v>
      </c>
      <c r="AC66" s="702" t="str">
        <f>IFERROR(INDEX('V4'!C$300:C$400,MATCH("*"&amp;L66&amp;"*",'V4'!B$300:B$400,0)),"  ")</f>
        <v xml:space="preserve">  </v>
      </c>
      <c r="AD66" s="702" t="str">
        <f>IFERROR(INDEX('V5'!C$300:C$400,MATCH("*"&amp;L66&amp;"*",'V5'!B$300:B$400,0)),"  ")</f>
        <v xml:space="preserve">  </v>
      </c>
      <c r="AE66" s="702" t="str">
        <f>IFERROR(INDEX('V6'!C$300:C$400,MATCH("*"&amp;L66&amp;"*",'V6'!B$300:B$400,0)),"  ")</f>
        <v xml:space="preserve">  </v>
      </c>
      <c r="AF66" s="702" t="str">
        <f>IFERROR(INDEX('V7'!C$300:C$400,MATCH("*"&amp;L66&amp;"*",'V7'!B$300:B$400,0)),"  ")</f>
        <v xml:space="preserve">  </v>
      </c>
      <c r="AG66" s="702" t="str">
        <f>IFERROR(INDEX('V8'!C$300:C$400,MATCH("*"&amp;L66&amp;"*",'V8'!B$300:B$400,0)),"  ")</f>
        <v xml:space="preserve">  </v>
      </c>
      <c r="AH66" s="702">
        <f>IFERROR(INDEX('V9'!C$300:C$400,MATCH("*"&amp;L66&amp;"*",'V9'!B$300:B$400,0)),"  ")</f>
        <v>4</v>
      </c>
      <c r="AI66" s="702" t="str">
        <f>IFERROR(INDEX('V10'!C$300:C$400,MATCH("*"&amp;L66&amp;"*",'V10'!B$300:B$400,0)),"  ")</f>
        <v xml:space="preserve">  </v>
      </c>
      <c r="AJ66" s="702" t="str">
        <f>IFERROR(INDEX('V11'!C$300:C$400,MATCH("*"&amp;L66&amp;"*",'V11'!B$300:B$400,0)),"  ")</f>
        <v xml:space="preserve">  </v>
      </c>
      <c r="AK66" s="702" t="str">
        <f>IFERROR(INDEX('V12'!C$300:C$400,MATCH("*"&amp;L66&amp;"*",'V12'!B$300:B$400,0)),"  ")</f>
        <v xml:space="preserve">  </v>
      </c>
      <c r="AL66" s="702" t="str">
        <f>IFERROR(INDEX('V13'!C$300:C$400,MATCH("*"&amp;L66&amp;"*",'V13'!B$300:B$400,0)),"  ")</f>
        <v xml:space="preserve">  </v>
      </c>
      <c r="AM66" s="702" t="str">
        <f>IFERROR(INDEX('V14'!C$300:C$400,MATCH("*"&amp;L66&amp;"*",'V14'!B$300:B$400,0)),"  ")</f>
        <v xml:space="preserve">  </v>
      </c>
      <c r="AN66" s="702" t="str">
        <f>IFERROR(INDEX('V15'!C$300:C$400,MATCH("*"&amp;L66&amp;"*",'V15'!B$300:B$400,0)),"  ")</f>
        <v xml:space="preserve">  </v>
      </c>
      <c r="AO66" s="703" t="str">
        <f t="shared" si="10"/>
        <v/>
      </c>
      <c r="AP66" s="704">
        <f>IFERROR("edasi "&amp;RANK(AO66,AO$7:AO$66,1),K66)</f>
        <v>59</v>
      </c>
      <c r="AQ66" s="705" t="str">
        <f>IFERROR(INDEX('V-fin'!A$300:A$401,MATCH("*"&amp;L66&amp;"*",'V-fin'!B$300:B$401,0)),"  ")</f>
        <v xml:space="preserve">  </v>
      </c>
      <c r="AR66" s="706">
        <f t="shared" si="8"/>
        <v>1</v>
      </c>
      <c r="AS66" s="707">
        <f>IFERROR(IF(Z66+1&gt;LARGE(Z$7:Z$66,1)-2,1),0)+IFERROR(IF(AA66+1&gt;LARGE(AA$7:AA$66,1)-2,1),0)+IFERROR(IF(AB66+1&gt;LARGE(AB$7:AB$66,1)-2,1),0)+IFERROR(IF(AC66+1&gt;LARGE(AC$7:AC$66,1)-2,1),0)+IFERROR(IF(AD66+1&gt;LARGE(AD$7:AD$66,1)-2,1),0)+IFERROR(IF(AE66+1&gt;LARGE(AE$7:AE$66,1)-2,1),0)+IFERROR(IF(AF66+1&gt;LARGE(AF$7:AF$66,1)-2,1),0)+IFERROR(IF(AG66+1&gt;LARGE(AG$7:AG$66,1)-2,1),0)+IFERROR(IF(AH66+1&gt;LARGE(AH$7:AH$66,1)-2,1),0)+IFERROR(IF(AI66+1&gt;LARGE(AI$7:AI$66,1)-2,1),0)+IFERROR(IF(AJ66+1&gt;LARGE(AJ$7:AJ$66,1)-2,1),0)+IFERROR(IF(AK66+1&gt;LARGE(AK$7:AK$66,1)-2,1),0)+IFERROR(IF(AL66+1&gt;LARGE(AL$7:AL$66,1)-2,1),0)+IFERROR(IF(AM66+1&gt;LARGE(AM$7:AM$66,1)-2,1),0)+IFERROR(IF(AN66+1&gt;LARGE(AN$7:AN$66,1)-2,1),0)</f>
        <v>0</v>
      </c>
      <c r="AT66" s="707">
        <f>IF(Z66=0,0,IF(Z66=IFERROR(LARGE(Z$7:Z$66,1),0),1,0))+IF(AA66=0,0,IF(AA66=IFERROR(LARGE(AA$7:AA$66,1),0),1,0))+IF(AB66=0,0,IF(AB66=IFERROR(LARGE(AB$7:AB$66,1),0),1,0))+IF(AC66=0,0,IF(AC66=IFERROR(LARGE(AC$7:AC$66,1),0),1,0))+IF(AD66=0,0,IF(AD66=IFERROR(LARGE(AD$7:AD$66,1),0),1,0))+IF(AE66=0,0,IF(AE66=IFERROR(LARGE(AE$7:AE$66,1),0),1,0))+IF(AF66=0,0,IF(AF66=IFERROR(LARGE(AF$7:AF$66,1),0),1,0))+IF(AG66=0,0,IF(AG66=IFERROR(LARGE(AG$7:AG$66,1),0),1,0))+IF(AH66=0,0,IF(AH66=IFERROR(LARGE(AH$7:AH$66,1),0),1,0))+IF(AI66=0,0,IF(AI66=IFERROR(LARGE(AI$7:AI$66,1),0),1,0))+IF(AJ66=0,0,IF(AJ66=IFERROR(LARGE(AJ$7:AJ$66,1),0),1,0))+IF(AK66=0,0,IF(AK66=IFERROR(LARGE(AK$7:AK$66,1),0),1,0))+IF(AL66=0,0,IF(AL66=IFERROR(LARGE(AL$7:AL$66,1),0),1,0))+IF(AM66=0,0,IF(AM66=IFERROR(LARGE(AM$7:AM$66,1),0),1,0))+IF(AN66=0,0,IF(AN66=IFERROR(LARGE(AN$7:AN$66,1),0),1,0))</f>
        <v>0</v>
      </c>
      <c r="AU66" s="629"/>
      <c r="AV66" s="708">
        <f t="shared" si="11"/>
        <v>4.0000000000000002E-4</v>
      </c>
      <c r="AW66" s="709">
        <f t="shared" si="16"/>
        <v>1E-4</v>
      </c>
      <c r="AX66" s="709">
        <f t="shared" si="16"/>
        <v>2.0000000000000001E-4</v>
      </c>
      <c r="AY66" s="709">
        <f t="shared" si="16"/>
        <v>2.9999999999999997E-4</v>
      </c>
      <c r="AZ66" s="709">
        <f t="shared" si="16"/>
        <v>4.0000000000000002E-4</v>
      </c>
      <c r="BA66" s="709">
        <f t="shared" si="16"/>
        <v>5.0000000000000001E-4</v>
      </c>
      <c r="BB66" s="709">
        <f t="shared" si="16"/>
        <v>5.9999999999999995E-4</v>
      </c>
      <c r="BC66" s="709">
        <f t="shared" si="16"/>
        <v>6.9999999999999999E-4</v>
      </c>
      <c r="BD66" s="709">
        <f t="shared" si="16"/>
        <v>8.0000000000000004E-4</v>
      </c>
      <c r="BE66" s="709">
        <f t="shared" si="16"/>
        <v>4.0008999999999997</v>
      </c>
      <c r="BF66" s="709">
        <f t="shared" si="16"/>
        <v>1E-3</v>
      </c>
      <c r="BG66" s="709">
        <f t="shared" si="16"/>
        <v>1.1000000000000001E-3</v>
      </c>
      <c r="BH66" s="709">
        <f t="shared" si="16"/>
        <v>1.1999999999999999E-3</v>
      </c>
      <c r="BI66" s="709">
        <f t="shared" si="16"/>
        <v>1.2999999999999999E-3</v>
      </c>
      <c r="BJ66" s="709">
        <f t="shared" si="16"/>
        <v>1.4E-3</v>
      </c>
      <c r="BK66" s="709">
        <f t="shared" si="16"/>
        <v>1.5E-3</v>
      </c>
      <c r="BL66" s="629"/>
    </row>
    <row r="67" spans="1:64" x14ac:dyDescent="0.2">
      <c r="A67" s="733">
        <f>COUNTIF(A7:A66,"&gt;0")</f>
        <v>36</v>
      </c>
      <c r="B67" s="734"/>
      <c r="C67" s="735">
        <f>COUNTIF(C7:C66,"&gt;0")</f>
        <v>17</v>
      </c>
      <c r="D67" s="734"/>
      <c r="E67" s="736">
        <f>COUNTIF(E7:E66,"&gt;0")</f>
        <v>44</v>
      </c>
      <c r="F67" s="734"/>
      <c r="G67" s="737">
        <f>COUNTIF(G7:G66,"&gt;0")</f>
        <v>16</v>
      </c>
      <c r="H67" s="734"/>
      <c r="I67" s="738">
        <f>COUNTIF(I7:I66,"&gt;0")</f>
        <v>8</v>
      </c>
      <c r="J67" s="734"/>
      <c r="K67" s="734">
        <f>COUNT(K7:K66)</f>
        <v>60</v>
      </c>
      <c r="L67" s="739" t="s">
        <v>227</v>
      </c>
      <c r="M67" s="737">
        <f>COUNTIF(M7:M66,"n")</f>
        <v>16</v>
      </c>
      <c r="N67" s="736">
        <f>COUNTIF(N7:N66,"m")</f>
        <v>44</v>
      </c>
      <c r="O67" s="738">
        <f>COUNTIF(O7:O66,"j")</f>
        <v>8</v>
      </c>
      <c r="P67" s="735">
        <f>COUNTIF(P7:P66,"k")</f>
        <v>17</v>
      </c>
      <c r="Q67" s="733">
        <f>COUNTIF(Q7:Q66,"v")</f>
        <v>36</v>
      </c>
      <c r="R67" s="740"/>
      <c r="S67" s="740"/>
      <c r="T67" s="740"/>
      <c r="U67" s="740"/>
      <c r="V67" s="740"/>
      <c r="W67" s="740"/>
      <c r="X67" s="740"/>
      <c r="Y67" s="740"/>
      <c r="Z67" s="741">
        <f>COUNTIF(Z7:Z66,"&gt;0")</f>
        <v>12</v>
      </c>
      <c r="AA67" s="741">
        <f>COUNTIF(AA7:AA66,"&gt;0")</f>
        <v>28</v>
      </c>
      <c r="AB67" s="741">
        <f>COUNTIF(AB7:AB66,"&gt;0")</f>
        <v>26</v>
      </c>
      <c r="AC67" s="741">
        <f>COUNTIF(AC7:AC66,"&gt;0")</f>
        <v>21</v>
      </c>
      <c r="AD67" s="741">
        <f>COUNTIF(AD7:AD66,"&gt;0")</f>
        <v>24</v>
      </c>
      <c r="AE67" s="741">
        <f>COUNTIF(AE7:AE66,"&gt;0")</f>
        <v>20</v>
      </c>
      <c r="AF67" s="741">
        <f>COUNTIF(AF7:AF66,"&gt;0")</f>
        <v>21</v>
      </c>
      <c r="AG67" s="741">
        <f>COUNTIF(AG7:AG66,"&gt;0")</f>
        <v>26</v>
      </c>
      <c r="AH67" s="741">
        <f>COUNTIF(AH7:AH66,"&gt;0")</f>
        <v>26</v>
      </c>
      <c r="AI67" s="741">
        <f>COUNTIF(AI7:AI66,"&gt;0")</f>
        <v>28</v>
      </c>
      <c r="AJ67" s="741">
        <f>COUNTIF(AJ7:AJ66,"&gt;0")</f>
        <v>26</v>
      </c>
      <c r="AK67" s="741">
        <f>COUNTIF(AK7:AK66,"&gt;0")</f>
        <v>28</v>
      </c>
      <c r="AL67" s="741">
        <f>COUNTIF(AL7:AL66,"&gt;0")</f>
        <v>16</v>
      </c>
      <c r="AM67" s="741">
        <f>COUNTIF(AM7:AM66,"&gt;0")</f>
        <v>31</v>
      </c>
      <c r="AN67" s="741">
        <f>COUNTIF(AN7:AN66,"&gt;0")</f>
        <v>29</v>
      </c>
      <c r="AO67" s="741"/>
      <c r="AP67" s="741"/>
      <c r="AQ67" s="742">
        <f>COUNTIF(AQ7:AQ66,"&gt;0")</f>
        <v>25</v>
      </c>
      <c r="AR67" s="627"/>
      <c r="AS67" s="743"/>
      <c r="AT67" s="743"/>
      <c r="AU67" s="629"/>
      <c r="AV67" s="629"/>
      <c r="AW67" s="629"/>
      <c r="AX67" s="629"/>
      <c r="AY67" s="629"/>
      <c r="AZ67" s="629"/>
      <c r="BA67" s="629"/>
      <c r="BB67" s="629"/>
      <c r="BC67" s="629"/>
      <c r="BD67" s="629"/>
      <c r="BE67" s="629"/>
      <c r="BF67" s="629"/>
      <c r="BG67" s="629"/>
      <c r="BH67" s="629"/>
      <c r="BI67" s="629"/>
      <c r="BJ67" s="629"/>
      <c r="BK67" s="629"/>
      <c r="BL67" s="629"/>
    </row>
    <row r="68" spans="1:64" x14ac:dyDescent="0.2">
      <c r="A68" s="630"/>
      <c r="B68" s="630"/>
      <c r="C68" s="630"/>
      <c r="D68" s="630"/>
      <c r="E68" s="630"/>
      <c r="F68" s="630"/>
      <c r="G68" s="630"/>
      <c r="H68" s="630"/>
      <c r="I68" s="630"/>
      <c r="J68" s="630"/>
      <c r="K68" s="630"/>
      <c r="L68" s="739" t="s">
        <v>322</v>
      </c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4">
        <f>IF((Z67/(LEN(Z5)-LEN(SUBSTITUTE(Z5,"*","")))-0.5)&lt;0,"",Z67/(LEN(Z5)-LEN(SUBSTITUTE(Z5,"*","")))-0.5)</f>
        <v>5.5</v>
      </c>
      <c r="AA68" s="744">
        <f>IF((AA67/(LEN(AA5)-LEN(SUBSTITUTE(AA5,"*","")))-0.5)&lt;0,"",AA67/(LEN(AA5)-LEN(SUBSTITUTE(AA5,"*","")))-0.5)</f>
        <v>13.5</v>
      </c>
      <c r="AB68" s="744">
        <f>IF((AB67/(LEN(AB5)-LEN(SUBSTITUTE(AB5,"*","")))-0.5)&lt;0,"",AB67/(LEN(AB5)-LEN(SUBSTITUTE(AB5,"*","")))-0.5)</f>
        <v>12.5</v>
      </c>
      <c r="AC68" s="744">
        <f>IF((AC67/(LEN(AC5)-LEN(SUBSTITUTE(AC5,"*","")))-0.5)&lt;0,"",AC67/(LEN(AC5)-LEN(SUBSTITUTE(AC5,"*","")))-0.5)</f>
        <v>10</v>
      </c>
      <c r="AD68" s="744">
        <f>IF((AD67/(LEN(AD5)-LEN(SUBSTITUTE(AD5,"*","")))-0.5)&lt;0,"",AD67/(LEN(AD5)-LEN(SUBSTITUTE(AD5,"*","")))-0.5)</f>
        <v>11.5</v>
      </c>
      <c r="AE68" s="744">
        <f>IF((AE67/(LEN(AE5)-LEN(SUBSTITUTE(AE5,"*","")))-0.5)&lt;0,"",AE67/(LEN(AE5)-LEN(SUBSTITUTE(AE5,"*","")))-0.5)</f>
        <v>9.5</v>
      </c>
      <c r="AF68" s="744">
        <f>IF((AF67/(LEN(AF5)-LEN(SUBSTITUTE(AF5,"*","")))-0.5)&lt;0,"",AF67/(LEN(AF5)-LEN(SUBSTITUTE(AF5,"*","")))-0.5)</f>
        <v>10</v>
      </c>
      <c r="AG68" s="744">
        <f>IF((AG67/(LEN(AG5)-LEN(SUBSTITUTE(AG5,"*","")))-0.5)&lt;0,"",AG67/(LEN(AG5)-LEN(SUBSTITUTE(AG5,"*","")))-0.5)</f>
        <v>12.5</v>
      </c>
      <c r="AH68" s="744">
        <f>IF((AH67/(LEN(AH5)-LEN(SUBSTITUTE(AH5,"*","")))-0.5)&lt;0,"",AH67/(LEN(AH5)-LEN(SUBSTITUTE(AH5,"*","")))-0.5)</f>
        <v>12.5</v>
      </c>
      <c r="AI68" s="744">
        <f>IF((AI67/(LEN(AI5)-LEN(SUBSTITUTE(AI5,"*","")))-0.5)&lt;0,"",AI67/(LEN(AI5)-LEN(SUBSTITUTE(AI5,"*","")))-0.5)</f>
        <v>13.5</v>
      </c>
      <c r="AJ68" s="744">
        <f>IF((AJ67/(LEN(AJ5)-LEN(SUBSTITUTE(AJ5,"*","")))-0.5)&lt;0,"",AJ67/(LEN(AJ5)-LEN(SUBSTITUTE(AJ5,"*","")))-0.5)</f>
        <v>12.5</v>
      </c>
      <c r="AK68" s="744">
        <f>IF((AK67/(LEN(AK5)-LEN(SUBSTITUTE(AK5,"*","")))-0.5)&lt;0,"",AK67/(LEN(AK5)-LEN(SUBSTITUTE(AK5,"*","")))-0.5)</f>
        <v>13.5</v>
      </c>
      <c r="AL68" s="744">
        <v>7</v>
      </c>
      <c r="AM68" s="744">
        <f>IF((AM67/(LEN(AM5)-LEN(SUBSTITUTE(AM5,"*","")))-0.5)&lt;0,"",AM67/(LEN(AM5)-LEN(SUBSTITUTE(AM5,"*","")))-0.5)</f>
        <v>15</v>
      </c>
      <c r="AN68" s="744">
        <f>IF((AN67/(LEN(AN5)-LEN(SUBSTITUTE(AN5,"*","")))-0.5)&lt;0,"",AN67/(LEN(AN5)-LEN(SUBSTITUTE(AN5,"*","")))-0.5)</f>
        <v>14</v>
      </c>
      <c r="AO68" s="744"/>
      <c r="AP68" s="744"/>
      <c r="AQ68" s="745">
        <f>IF((AQ67/(LEN(AQ5)-LEN(SUBSTITUTE(AQ5,"*","")))-0.5)&lt;0,"",AQ67/(LEN(AQ5)-LEN(SUBSTITUTE(AQ5,"*","")))-0.5)</f>
        <v>7.8333333333333339</v>
      </c>
      <c r="AR68" s="627"/>
      <c r="AS68" s="627"/>
      <c r="AT68" s="627"/>
      <c r="AU68" s="629"/>
      <c r="AV68" s="629"/>
      <c r="AW68" s="629"/>
      <c r="AX68" s="629"/>
      <c r="AY68" s="629"/>
      <c r="AZ68" s="629"/>
      <c r="BA68" s="629"/>
      <c r="BB68" s="629"/>
      <c r="BC68" s="629"/>
      <c r="BD68" s="629"/>
      <c r="BE68" s="629"/>
      <c r="BF68" s="629"/>
      <c r="BG68" s="629"/>
      <c r="BH68" s="629"/>
      <c r="BI68" s="629"/>
      <c r="BJ68" s="629"/>
      <c r="BK68" s="629"/>
      <c r="BL68" s="629"/>
    </row>
    <row r="69" spans="1:64" x14ac:dyDescent="0.2">
      <c r="A69" s="629"/>
      <c r="B69" s="629"/>
      <c r="C69" s="631"/>
      <c r="D69" s="631"/>
      <c r="E69" s="631"/>
      <c r="F69" s="631"/>
      <c r="G69" s="631"/>
      <c r="H69" s="631"/>
      <c r="I69" s="631"/>
      <c r="J69" s="631"/>
      <c r="K69" s="631"/>
      <c r="L69" s="629"/>
      <c r="M69" s="631"/>
      <c r="N69" s="631"/>
      <c r="O69" s="631"/>
      <c r="P69" s="746"/>
      <c r="Q69" s="746"/>
      <c r="R69" s="631"/>
      <c r="S69" s="631"/>
      <c r="T69" s="631"/>
      <c r="U69" s="631"/>
      <c r="V69" s="631"/>
      <c r="W69" s="631"/>
      <c r="X69" s="631"/>
      <c r="Y69" s="631"/>
      <c r="Z69" s="631"/>
      <c r="AA69" s="631"/>
      <c r="AB69" s="631"/>
      <c r="AC69" s="631"/>
      <c r="AD69" s="631"/>
      <c r="AE69" s="631"/>
      <c r="AF69" s="631"/>
      <c r="AG69" s="631"/>
      <c r="AH69" s="631"/>
      <c r="AI69" s="631"/>
      <c r="AJ69" s="631"/>
      <c r="AK69" s="631"/>
      <c r="AL69" s="631"/>
      <c r="AM69" s="631"/>
      <c r="AN69" s="631"/>
      <c r="AO69" s="631"/>
      <c r="AP69" s="631"/>
      <c r="AQ69" s="631"/>
      <c r="AR69" s="629"/>
      <c r="AS69" s="629"/>
      <c r="AT69" s="629"/>
      <c r="AU69" s="629"/>
      <c r="AV69" s="629"/>
      <c r="AW69" s="629"/>
      <c r="AX69" s="629"/>
      <c r="AY69" s="629"/>
      <c r="AZ69" s="629"/>
      <c r="BA69" s="629"/>
      <c r="BB69" s="629"/>
      <c r="BC69" s="629"/>
      <c r="BD69" s="629"/>
      <c r="BE69" s="629"/>
      <c r="BF69" s="629"/>
      <c r="BG69" s="629"/>
      <c r="BH69" s="629"/>
      <c r="BI69" s="629"/>
      <c r="BJ69" s="629"/>
      <c r="BK69" s="629"/>
      <c r="BL69" s="629"/>
    </row>
    <row r="70" spans="1:64" x14ac:dyDescent="0.2">
      <c r="A70" s="629"/>
      <c r="B70" s="629"/>
      <c r="C70" s="631"/>
      <c r="D70" s="631"/>
      <c r="E70" s="631"/>
      <c r="F70" s="631"/>
      <c r="G70" s="631"/>
      <c r="H70" s="631"/>
      <c r="I70" s="631"/>
      <c r="J70" s="631"/>
      <c r="K70" s="631"/>
      <c r="L70" s="638" t="s">
        <v>323</v>
      </c>
      <c r="M70" s="631"/>
      <c r="N70" s="631"/>
      <c r="O70" s="631"/>
      <c r="P70" s="746"/>
      <c r="Q70" s="746"/>
      <c r="S70" s="631"/>
      <c r="T70" s="631"/>
      <c r="U70" s="631"/>
      <c r="V70" s="631"/>
      <c r="W70" s="631"/>
      <c r="X70" s="631"/>
      <c r="Y70" s="631"/>
      <c r="Z70" s="631"/>
      <c r="AA70" s="631"/>
      <c r="AB70" s="631"/>
      <c r="AC70" s="631"/>
      <c r="AD70" s="631"/>
      <c r="AE70" s="631"/>
      <c r="AF70" s="631"/>
      <c r="AG70" s="631"/>
      <c r="AH70" s="631"/>
      <c r="AI70" s="631"/>
      <c r="AJ70" s="631"/>
      <c r="AK70" s="631"/>
      <c r="AL70" s="631"/>
      <c r="AM70" s="631"/>
      <c r="AN70" s="631"/>
      <c r="AO70" s="631"/>
      <c r="AP70" s="631"/>
      <c r="AQ70" s="631"/>
      <c r="AR70" s="629"/>
      <c r="AS70" s="629"/>
      <c r="AT70" s="629"/>
      <c r="AU70" s="629"/>
      <c r="AV70" s="629"/>
      <c r="AW70" s="629"/>
      <c r="AX70" s="629"/>
      <c r="AY70" s="629"/>
      <c r="AZ70" s="629"/>
      <c r="BA70" s="629"/>
      <c r="BB70" s="629"/>
      <c r="BC70" s="629"/>
      <c r="BD70" s="629"/>
      <c r="BE70" s="629"/>
      <c r="BF70" s="629"/>
      <c r="BG70" s="629"/>
      <c r="BH70" s="629"/>
      <c r="BI70" s="629"/>
      <c r="BJ70" s="629"/>
      <c r="BK70" s="629"/>
      <c r="BL70" s="629"/>
    </row>
    <row r="71" spans="1:64" x14ac:dyDescent="0.2">
      <c r="A71" s="629"/>
      <c r="B71" s="629"/>
      <c r="C71" s="631"/>
      <c r="D71" s="631"/>
      <c r="E71" s="631"/>
      <c r="F71" s="631"/>
      <c r="G71" s="631"/>
      <c r="H71" s="631"/>
      <c r="I71" s="631"/>
      <c r="J71" s="631"/>
      <c r="K71" s="631"/>
      <c r="L71" s="629"/>
      <c r="M71" s="746"/>
      <c r="N71" s="746"/>
      <c r="O71" s="746"/>
      <c r="P71" s="746"/>
      <c r="Q71" s="746"/>
      <c r="R71" s="746"/>
      <c r="S71" s="746"/>
      <c r="T71" s="746"/>
      <c r="U71" s="746"/>
      <c r="V71" s="746"/>
      <c r="W71" s="746"/>
      <c r="X71" s="746"/>
      <c r="Y71" s="746"/>
      <c r="Z71" s="631"/>
      <c r="AA71" s="631"/>
      <c r="AB71" s="631"/>
      <c r="AC71" s="631"/>
      <c r="AD71" s="631"/>
      <c r="AE71" s="631"/>
      <c r="AF71" s="631"/>
      <c r="AG71" s="631"/>
      <c r="AH71" s="631"/>
      <c r="AI71" s="631"/>
      <c r="AJ71" s="631"/>
      <c r="AK71" s="631"/>
      <c r="AL71" s="631"/>
      <c r="AM71" s="631"/>
      <c r="AN71" s="631"/>
      <c r="AO71" s="631"/>
      <c r="AP71" s="631"/>
      <c r="AQ71" s="631"/>
      <c r="AR71" s="629"/>
      <c r="AS71" s="629"/>
      <c r="AT71" s="629"/>
      <c r="AU71" s="629"/>
      <c r="AV71" s="629"/>
      <c r="AW71" s="629"/>
      <c r="AX71" s="629"/>
      <c r="AY71" s="629"/>
      <c r="AZ71" s="629"/>
      <c r="BA71" s="629"/>
      <c r="BB71" s="629"/>
      <c r="BC71" s="629"/>
      <c r="BD71" s="629"/>
      <c r="BE71" s="629"/>
      <c r="BF71" s="629"/>
      <c r="BG71" s="629"/>
      <c r="BH71" s="629"/>
      <c r="BI71" s="629"/>
      <c r="BJ71" s="629"/>
      <c r="BK71" s="629"/>
      <c r="BL71" s="629"/>
    </row>
  </sheetData>
  <mergeCells count="3">
    <mergeCell ref="AR4:AR6"/>
    <mergeCell ref="AS4:AS6"/>
    <mergeCell ref="AT4:AT6"/>
  </mergeCells>
  <conditionalFormatting sqref="AQ7:AQ66">
    <cfRule type="expression" dxfId="3701" priority="1">
      <formula>AQ7=3</formula>
    </cfRule>
    <cfRule type="expression" dxfId="3700" priority="2">
      <formula>AQ7=2</formula>
    </cfRule>
    <cfRule type="expression" dxfId="3699" priority="3">
      <formula>AQ7=1</formula>
    </cfRule>
  </conditionalFormatting>
  <conditionalFormatting sqref="K58">
    <cfRule type="duplicateValues" dxfId="3698" priority="21"/>
  </conditionalFormatting>
  <conditionalFormatting sqref="AP58">
    <cfRule type="containsText" dxfId="3697" priority="20" operator="containsText" text="puudu">
      <formula>NOT(ISERROR(SEARCH("puudu",AP58)))</formula>
    </cfRule>
  </conditionalFormatting>
  <conditionalFormatting sqref="AP58">
    <cfRule type="notContainsText" dxfId="3696" priority="19" operator="notContains" text="edasi">
      <formula>ISERROR(SEARCH("edasi",AP58))</formula>
    </cfRule>
  </conditionalFormatting>
  <conditionalFormatting sqref="Z67:AN67">
    <cfRule type="top10" dxfId="3695" priority="34" stopIfTrue="1" rank="1"/>
  </conditionalFormatting>
  <conditionalFormatting sqref="Z68:AN68">
    <cfRule type="top10" dxfId="3694" priority="5" rank="1"/>
  </conditionalFormatting>
  <conditionalFormatting sqref="AS7:AS66">
    <cfRule type="top10" dxfId="23" priority="1062" stopIfTrue="1" rank="1"/>
  </conditionalFormatting>
  <conditionalFormatting sqref="AT7:AT66">
    <cfRule type="top10" dxfId="22" priority="1063" stopIfTrue="1" rank="1"/>
  </conditionalFormatting>
  <conditionalFormatting sqref="R7:R66">
    <cfRule type="duplicateValues" dxfId="21" priority="1064"/>
  </conditionalFormatting>
  <conditionalFormatting sqref="K7:K57 K59:K66">
    <cfRule type="duplicateValues" dxfId="20" priority="1065"/>
  </conditionalFormatting>
  <conditionalFormatting sqref="AR7:AR66">
    <cfRule type="top10" dxfId="19" priority="1067" stopIfTrue="1" rank="1"/>
  </conditionalFormatting>
  <conditionalFormatting sqref="L7:L66">
    <cfRule type="expression" dxfId="18" priority="1068">
      <formula>AND(R7=LARGE(R$7:R$66,3),COUNT(AN$7:AN$66)&gt;0)</formula>
    </cfRule>
    <cfRule type="expression" dxfId="17" priority="1069">
      <formula>AND(R7=LARGE(R$7:R$66,2),COUNT(AN$7:AN$66)&gt;0)</formula>
    </cfRule>
    <cfRule type="expression" dxfId="16" priority="1070">
      <formula>AND(R7=LARGE(R$7:R$66,1),COUNT(AN$7:AN$66)&gt;0)</formula>
    </cfRule>
    <cfRule type="expression" dxfId="15" priority="1071">
      <formula>M7="n"</formula>
    </cfRule>
    <cfRule type="expression" dxfId="14" priority="1072">
      <formula>O7="j"</formula>
    </cfRule>
    <cfRule type="expression" dxfId="13" priority="1073">
      <formula>P7="k"</formula>
    </cfRule>
    <cfRule type="duplicateValues" dxfId="12" priority="1074" stopIfTrue="1"/>
  </conditionalFormatting>
  <conditionalFormatting sqref="A7:A66">
    <cfRule type="expression" dxfId="11" priority="1089">
      <formula>AND(A7=SMALL(A$7:A$66,1),COUNT(AN$7:AN$66)&gt;0)</formula>
    </cfRule>
  </conditionalFormatting>
  <conditionalFormatting sqref="C7:C66">
    <cfRule type="expression" dxfId="10" priority="1092">
      <formula>AND(C7=SMALL(C$7:C$66,1),COUNT(AN$7:AN$66)&gt;0)</formula>
    </cfRule>
  </conditionalFormatting>
  <conditionalFormatting sqref="G7:G66">
    <cfRule type="expression" dxfId="9" priority="1095">
      <formula>AND(G7=SMALL(G$7:G$66,1),COUNT(AN$7:AN$66)&gt;0)</formula>
    </cfRule>
  </conditionalFormatting>
  <conditionalFormatting sqref="I7:I66">
    <cfRule type="expression" dxfId="8" priority="1098">
      <formula>AND(I7=SMALL(I$7:I$66,1),COUNT(AN$7:AN$66)&gt;0)</formula>
    </cfRule>
  </conditionalFormatting>
  <conditionalFormatting sqref="AP7:AP66">
    <cfRule type="duplicateValues" dxfId="7" priority="1101"/>
    <cfRule type="expression" dxfId="6" priority="1102">
      <formula>0=COUNT(AN$7:AN$66)</formula>
    </cfRule>
    <cfRule type="notContainsText" dxfId="5" priority="1103" operator="notContains" text="edasi">
      <formula>ISERROR(SEARCH("edasi",AP7))</formula>
    </cfRule>
  </conditionalFormatting>
  <conditionalFormatting sqref="Z7:AN66">
    <cfRule type="cellIs" dxfId="4" priority="1104" operator="equal">
      <formula>13</formula>
    </cfRule>
    <cfRule type="cellIs" dxfId="3" priority="1105" operator="equal">
      <formula>14</formula>
    </cfRule>
    <cfRule type="cellIs" dxfId="2" priority="1106" operator="equal">
      <formula>15</formula>
    </cfRule>
    <cfRule type="expression" dxfId="1" priority="1107">
      <formula>IF(COUNT(Z$7:Z$66)=0,TRUE)</formula>
    </cfRule>
    <cfRule type="expression" dxfId="0" priority="1108">
      <formula>MID(Z$6,FIND("V",Z$6)+1,256)/10000+IF(Z7="  ",FALSE,Z7)&lt;=$AV7</formula>
    </cfRule>
  </conditionalFormatting>
  <pageMargins left="0.78740157480314965" right="0.39370078740157483" top="0.78740157480314965" bottom="0.39370078740157483" header="0.59055118110236227" footer="0"/>
  <pageSetup paperSize="9" fitToHeight="0" orientation="landscape" verticalDpi="0" r:id="rId1"/>
  <headerFooter>
    <oddHeader>&amp;R&amp;9Page &amp;P of &amp;N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07"/>
  <sheetViews>
    <sheetView showGridLines="0" showRowColHeaders="0" workbookViewId="0">
      <pane ySplit="2" topLeftCell="A3" activePane="bottomLeft" state="frozen"/>
      <selection pane="bottomLeft" activeCell="J1" sqref="J1"/>
    </sheetView>
  </sheetViews>
  <sheetFormatPr defaultRowHeight="12.75" x14ac:dyDescent="0.2"/>
  <cols>
    <col min="1" max="1" width="3.28515625" style="1" customWidth="1"/>
    <col min="2" max="2" width="29.28515625" style="1" customWidth="1"/>
    <col min="3" max="10" width="5.42578125" style="1" customWidth="1"/>
    <col min="11" max="12" width="3.28515625" style="1" customWidth="1"/>
    <col min="13" max="17" width="9.140625" style="1"/>
    <col min="18" max="18" width="7.7109375" style="1" hidden="1" customWidth="1"/>
    <col min="19" max="19" width="5" style="1" hidden="1" customWidth="1"/>
    <col min="20" max="20" width="12.7109375" style="1" hidden="1" customWidth="1"/>
    <col min="21" max="21" width="4" style="1" hidden="1" customWidth="1"/>
    <col min="22" max="22" width="16.5703125" style="1" hidden="1" customWidth="1"/>
    <col min="23" max="23" width="9.140625" style="1" hidden="1" customWidth="1"/>
    <col min="24" max="24" width="17.28515625" style="1" hidden="1" customWidth="1"/>
    <col min="25" max="25" width="9.140625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UPPER((Kalend!E5)&amp;" - "&amp;(Kalend!C5)&amp;" - "&amp;(Kalend!D5))</f>
        <v>V1 - VOKA 2. SISE-KV 1.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K1" s="755"/>
      <c r="L1" s="755"/>
      <c r="M1" s="755"/>
      <c r="N1" s="755"/>
      <c r="O1" s="755"/>
      <c r="P1" s="755"/>
      <c r="Q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"&amp;(Kalend!A5)&amp;" kell "&amp;(Kalend!B5)</f>
        <v>Toimumisaeg: L, 20.10.2018 kell 11:30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"&amp;(Kalend!F5)</f>
        <v>Toimumiskoht: Voka petangihall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889" t="s">
        <v>444</v>
      </c>
      <c r="S3" s="757"/>
      <c r="T3" s="757"/>
      <c r="U3" s="757"/>
      <c r="V3" s="757"/>
      <c r="W3" s="757"/>
      <c r="X3" s="757"/>
      <c r="Y3" s="757"/>
      <c r="Z3" s="757"/>
      <c r="AA3" s="757"/>
    </row>
    <row r="4" spans="1:27" x14ac:dyDescent="0.2">
      <c r="A4" s="757" t="str">
        <f>"Korraldaja: "&amp;(Kalend!G5)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9" t="s">
        <v>357</v>
      </c>
      <c r="K4" s="757"/>
      <c r="L4" s="757"/>
      <c r="M4" s="757"/>
      <c r="N4" s="757"/>
      <c r="O4" s="757"/>
      <c r="P4" s="757"/>
      <c r="Q4" s="757"/>
      <c r="R4" s="761" t="s">
        <v>49</v>
      </c>
      <c r="S4" s="757"/>
      <c r="T4" s="916"/>
      <c r="U4" s="757"/>
      <c r="V4" s="916"/>
      <c r="W4" s="757"/>
      <c r="X4" s="916"/>
      <c r="Y4" s="757"/>
      <c r="Z4" s="916"/>
      <c r="AA4" s="757"/>
    </row>
    <row r="5" spans="1:27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O5" s="760"/>
      <c r="P5" s="760"/>
      <c r="Q5" s="757"/>
      <c r="R5" s="761" t="s">
        <v>358</v>
      </c>
      <c r="S5" s="913"/>
      <c r="T5" s="762" t="s">
        <v>359</v>
      </c>
      <c r="U5" s="913"/>
      <c r="V5" s="763" t="s">
        <v>360</v>
      </c>
      <c r="W5" s="913"/>
      <c r="X5" s="762" t="s">
        <v>361</v>
      </c>
      <c r="Y5" s="915"/>
      <c r="Z5" s="762" t="s">
        <v>362</v>
      </c>
      <c r="AA5" s="760"/>
    </row>
    <row r="6" spans="1:27" x14ac:dyDescent="0.2">
      <c r="A6" s="765"/>
      <c r="B6" s="766"/>
      <c r="C6" s="767">
        <v>1</v>
      </c>
      <c r="D6" s="767">
        <v>2</v>
      </c>
      <c r="E6" s="767">
        <v>3</v>
      </c>
      <c r="F6" s="767">
        <v>4</v>
      </c>
      <c r="G6" s="767">
        <v>5</v>
      </c>
      <c r="H6" s="767">
        <v>6</v>
      </c>
      <c r="I6" s="767" t="s">
        <v>363</v>
      </c>
      <c r="J6" s="766" t="s">
        <v>364</v>
      </c>
      <c r="K6" s="768" t="s">
        <v>21</v>
      </c>
      <c r="L6" s="769" t="s">
        <v>365</v>
      </c>
      <c r="N6" s="770"/>
      <c r="O6" s="770"/>
      <c r="P6" s="771"/>
      <c r="Q6" s="212"/>
      <c r="R6" s="761" t="s">
        <v>366</v>
      </c>
      <c r="S6" s="880"/>
      <c r="T6" s="772"/>
      <c r="U6" s="880"/>
      <c r="V6" s="772"/>
      <c r="W6" s="211"/>
      <c r="X6" s="774"/>
      <c r="Y6" s="211"/>
      <c r="Z6" s="774"/>
      <c r="AA6" s="212"/>
    </row>
    <row r="7" spans="1:27" x14ac:dyDescent="0.2">
      <c r="A7" s="765">
        <v>1</v>
      </c>
      <c r="B7" s="775" t="s">
        <v>367</v>
      </c>
      <c r="C7" s="776"/>
      <c r="D7" s="777">
        <v>10</v>
      </c>
      <c r="E7" s="778">
        <v>13</v>
      </c>
      <c r="F7" s="778">
        <v>13</v>
      </c>
      <c r="G7" s="778">
        <v>13</v>
      </c>
      <c r="H7" s="779">
        <v>13</v>
      </c>
      <c r="I7" s="780" t="str">
        <f>(IF(D7-C8&gt;0,1)+IF(E7-C9&gt;0,1)+IF(F7-C10&gt;0,1)+IF(G7-C11&gt;0,1)+IF(H7-C12&gt;0,1))&amp;"-"&amp;(IF(D7-C8&lt;0,1)+IF(E7-C9&lt;0,1)+IF(F7-C10&lt;0,1)+IF(G7-C11&lt;0,1)+IF(H7-C12&lt;0,1))</f>
        <v>4-1</v>
      </c>
      <c r="J7" s="766">
        <v>2</v>
      </c>
      <c r="K7" s="781">
        <v>0</v>
      </c>
      <c r="L7" s="782"/>
      <c r="O7" s="212"/>
      <c r="P7" s="770"/>
      <c r="Q7" s="212"/>
      <c r="R7" s="764">
        <f t="shared" ref="R7:R12" si="0">SUM(S7:AB7)</f>
        <v>179</v>
      </c>
      <c r="S7" s="914">
        <f>IFERROR(INDEX(V!$R:$R,MATCH(T7,V!$L:$L,0)),"")</f>
        <v>48</v>
      </c>
      <c r="T7" s="783" t="str">
        <f t="shared" ref="T7:T12" si="1">IFERROR(LEFT($B7,(FIND(",",$B7,1)-1)),"")</f>
        <v>Andres Veski</v>
      </c>
      <c r="U7" s="914">
        <f>IFERROR(INDEX(V!$R:$R,MATCH(V7,V!$L:$L,0)),"")</f>
        <v>131</v>
      </c>
      <c r="V7" s="783" t="str">
        <f t="shared" ref="V7:V12" si="2">IFERROR(MID($B7,FIND(", ",$B7)+2,256),"")</f>
        <v>Kenneth Muusikus</v>
      </c>
      <c r="W7" s="914" t="str">
        <f>IFERROR(INDEX(V!$R:$R,MATCH(X7,V!$L:$L,0)),"")</f>
        <v/>
      </c>
      <c r="X7" s="785" t="str">
        <f t="shared" ref="X7:X12" si="3">IFERROR(MID($B7,FIND("^",SUBSTITUTE($B7,", ","^",1))+2,FIND("^",SUBSTITUTE($B7,", ","^",2))-FIND("^",SUBSTITUTE($B7,", ","^",1))-2),"")</f>
        <v/>
      </c>
      <c r="Y7" s="914" t="str">
        <f>IFERROR(INDEX(V!$R:$R,MATCH(Z7,V!$L:$L,0)),"")</f>
        <v/>
      </c>
      <c r="Z7" s="785" t="str">
        <f t="shared" ref="Z7:Z12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368</v>
      </c>
      <c r="C8" s="786">
        <v>13</v>
      </c>
      <c r="D8" s="776"/>
      <c r="E8" s="778">
        <v>13</v>
      </c>
      <c r="F8" s="778">
        <v>5</v>
      </c>
      <c r="G8" s="778">
        <v>13</v>
      </c>
      <c r="H8" s="779">
        <v>13</v>
      </c>
      <c r="I8" s="780" t="str">
        <f>(IF(C8-D7&gt;0,1)+IF(E8-D9&gt;0,1)+IF(F8-D10&gt;0,1)+IF(G8-D11&gt;0,1)+IF(H8-D12&gt;0,1))&amp;"-"&amp;(IF(C8-D7&lt;0,1)+IF(E8-D9&lt;0,1)+IF(F8-D10&lt;0,1)+IF(G8-D11&lt;0,1)+IF(H8-D12&lt;0,1))</f>
        <v>4-1</v>
      </c>
      <c r="J8" s="766">
        <v>1</v>
      </c>
      <c r="K8" s="781">
        <v>1</v>
      </c>
      <c r="L8" s="782"/>
      <c r="O8" s="212"/>
      <c r="P8" s="770"/>
      <c r="Q8" s="212"/>
      <c r="R8" s="764">
        <f t="shared" si="0"/>
        <v>317</v>
      </c>
      <c r="S8" s="914">
        <f>IFERROR(INDEX(V!$R:$R,MATCH(T8,V!$L:$L,0)),"")</f>
        <v>159</v>
      </c>
      <c r="T8" s="783" t="str">
        <f t="shared" si="1"/>
        <v>Jaan Sepp</v>
      </c>
      <c r="U8" s="914">
        <f>IFERROR(INDEX(V!$R:$R,MATCH(V8,V!$L:$L,0)),"")</f>
        <v>158</v>
      </c>
      <c r="V8" s="783" t="str">
        <f t="shared" si="2"/>
        <v>Oskar Sepp</v>
      </c>
      <c r="W8" s="914" t="str">
        <f>IFERROR(INDEX(V!$R:$R,MATCH(X8,V!$L:$L,0)),"")</f>
        <v/>
      </c>
      <c r="X8" s="785" t="str">
        <f t="shared" si="3"/>
        <v/>
      </c>
      <c r="Y8" s="91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369</v>
      </c>
      <c r="C9" s="778">
        <v>3</v>
      </c>
      <c r="D9" s="787">
        <v>7</v>
      </c>
      <c r="E9" s="776"/>
      <c r="F9" s="788">
        <v>13</v>
      </c>
      <c r="G9" s="788">
        <v>10</v>
      </c>
      <c r="H9" s="778">
        <v>13</v>
      </c>
      <c r="I9" s="789" t="str">
        <f>(IF(C9-E7&gt;0,1)+IF(D9-E8&gt;0,1)+IF(F9-E10&gt;0,1)+IF(G9-E11&gt;0,1)+IF(H9-E12&gt;0,1))&amp;"-"&amp;(IF(C9-E7&lt;0,1)+IF(D9-E8&lt;0,1)+IF(F9-E10&lt;0,1)+IF(G9-E11&lt;0,1)+IF(H9-E12&lt;0,1))</f>
        <v>2-3</v>
      </c>
      <c r="J9" s="766">
        <v>4</v>
      </c>
      <c r="K9" s="790">
        <v>1</v>
      </c>
      <c r="L9" s="782">
        <v>-1</v>
      </c>
      <c r="O9" s="212"/>
      <c r="P9" s="771"/>
      <c r="Q9" s="212"/>
      <c r="R9" s="764">
        <f t="shared" si="0"/>
        <v>164</v>
      </c>
      <c r="S9" s="914">
        <f>IFERROR(INDEX(V!$R:$R,MATCH(T9,V!$L:$L,0)),"")</f>
        <v>88</v>
      </c>
      <c r="T9" s="783" t="str">
        <f t="shared" si="1"/>
        <v>Enn Tokman</v>
      </c>
      <c r="U9" s="914">
        <f>IFERROR(INDEX(V!$R:$R,MATCH(V9,V!$L:$L,0)),"")</f>
        <v>76</v>
      </c>
      <c r="V9" s="783" t="str">
        <f t="shared" si="2"/>
        <v>Tarmo Bombe</v>
      </c>
      <c r="W9" s="914" t="str">
        <f>IFERROR(INDEX(V!$R:$R,MATCH(X9,V!$L:$L,0)),"")</f>
        <v/>
      </c>
      <c r="X9" s="785" t="str">
        <f t="shared" si="3"/>
        <v/>
      </c>
      <c r="Y9" s="914" t="str">
        <f>IFERROR(INDEX(V!$R:$R,MATCH(Z9,V!$L:$L,0)),"")</f>
        <v/>
      </c>
      <c r="Z9" s="785" t="str">
        <f t="shared" si="4"/>
        <v/>
      </c>
      <c r="AA9" s="212"/>
    </row>
    <row r="10" spans="1:27" x14ac:dyDescent="0.2">
      <c r="A10" s="765">
        <v>4</v>
      </c>
      <c r="B10" s="775" t="s">
        <v>370</v>
      </c>
      <c r="C10" s="778">
        <v>7</v>
      </c>
      <c r="D10" s="787">
        <v>13</v>
      </c>
      <c r="E10" s="788">
        <v>11</v>
      </c>
      <c r="F10" s="776"/>
      <c r="G10" s="788">
        <v>13</v>
      </c>
      <c r="H10" s="778">
        <v>12</v>
      </c>
      <c r="I10" s="789" t="str">
        <f>(IF(C10-F7&gt;0,1)+IF(D10-F8&gt;0,1)+IF(E10-F9&gt;0,1)+IF(G10-F11&gt;0,1)+IF(H10-F12&gt;0,1))&amp;"-"&amp;(IF(C10-F7&lt;0,1)+IF(D10-F8&lt;0,1)+IF(E10-F9&lt;0,1)+IF(G10-F11&lt;0,1)+IF(H10-F12&lt;0,1))</f>
        <v>2-3</v>
      </c>
      <c r="J10" s="766">
        <v>3</v>
      </c>
      <c r="K10" s="790">
        <v>1</v>
      </c>
      <c r="L10" s="782">
        <v>6</v>
      </c>
      <c r="M10" s="791"/>
      <c r="O10" s="212"/>
      <c r="P10" s="770"/>
      <c r="Q10" s="212"/>
      <c r="R10" s="764">
        <f t="shared" si="0"/>
        <v>240</v>
      </c>
      <c r="S10" s="914">
        <f>IFERROR(INDEX(V!$R:$R,MATCH(T10,V!$L:$L,0)),"")</f>
        <v>117</v>
      </c>
      <c r="T10" s="783" t="str">
        <f t="shared" si="1"/>
        <v>Elmo Lageda</v>
      </c>
      <c r="U10" s="914">
        <f>IFERROR(INDEX(V!$R:$R,MATCH(V10,V!$L:$L,0)),"")</f>
        <v>123</v>
      </c>
      <c r="V10" s="783" t="str">
        <f t="shared" si="2"/>
        <v>Tõnu Piik</v>
      </c>
      <c r="W10" s="914" t="str">
        <f>IFERROR(INDEX(V!$R:$R,MATCH(X10,V!$L:$L,0)),"")</f>
        <v/>
      </c>
      <c r="X10" s="785" t="str">
        <f t="shared" si="3"/>
        <v/>
      </c>
      <c r="Y10" s="914" t="str">
        <f>IFERROR(INDEX(V!$R:$R,MATCH(Z10,V!$L:$L,0)),"")</f>
        <v/>
      </c>
      <c r="Z10" s="785" t="str">
        <f t="shared" si="4"/>
        <v/>
      </c>
      <c r="AA10" s="212"/>
    </row>
    <row r="11" spans="1:27" x14ac:dyDescent="0.2">
      <c r="A11" s="765">
        <v>5</v>
      </c>
      <c r="B11" s="792" t="s">
        <v>371</v>
      </c>
      <c r="C11" s="778">
        <v>7</v>
      </c>
      <c r="D11" s="778">
        <v>10</v>
      </c>
      <c r="E11" s="788">
        <v>13</v>
      </c>
      <c r="F11" s="788">
        <v>5</v>
      </c>
      <c r="G11" s="776"/>
      <c r="H11" s="779">
        <v>13</v>
      </c>
      <c r="I11" s="789" t="str">
        <f>(IF(C11-G7&gt;0,1)+IF(D11-G8&gt;0,1)+IF(E11-G9&gt;0,1)+IF(F11-G10&gt;0,1)+IF(H11-G12&gt;0,1))&amp;"-"&amp;(IF(C11-G7&lt;0,1)+IF(D11-G8&lt;0,1)+IF(E11-G9&lt;0,1)+IF(F11-G10&lt;0,1)+IF(H11-G12&lt;0,1))</f>
        <v>2-3</v>
      </c>
      <c r="J11" s="766">
        <v>5</v>
      </c>
      <c r="K11" s="790">
        <v>1</v>
      </c>
      <c r="L11" s="782">
        <v>-5</v>
      </c>
      <c r="O11" s="212"/>
      <c r="P11" s="770"/>
      <c r="Q11" s="212"/>
      <c r="R11" s="764">
        <f t="shared" si="0"/>
        <v>173.5</v>
      </c>
      <c r="S11" s="914">
        <f>IFERROR(INDEX(V!$R:$R,MATCH(T11,V!$L:$L,0)),"")</f>
        <v>48.5</v>
      </c>
      <c r="T11" s="783" t="str">
        <f t="shared" si="1"/>
        <v>Urmas Jõeäär</v>
      </c>
      <c r="U11" s="914">
        <f>IFERROR(INDEX(V!$R:$R,MATCH(V11,V!$L:$L,0)),"")</f>
        <v>125</v>
      </c>
      <c r="V11" s="783" t="str">
        <f t="shared" si="2"/>
        <v>Meelis Luud</v>
      </c>
      <c r="W11" s="914" t="str">
        <f>IFERROR(INDEX(V!$R:$R,MATCH(X11,V!$L:$L,0)),"")</f>
        <v/>
      </c>
      <c r="X11" s="785" t="str">
        <f t="shared" si="3"/>
        <v/>
      </c>
      <c r="Y11" s="91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765">
        <v>6</v>
      </c>
      <c r="B12" s="775" t="s">
        <v>372</v>
      </c>
      <c r="C12" s="793">
        <v>10</v>
      </c>
      <c r="D12" s="793">
        <v>8</v>
      </c>
      <c r="E12" s="794">
        <v>2</v>
      </c>
      <c r="F12" s="794">
        <v>13</v>
      </c>
      <c r="G12" s="793">
        <v>6</v>
      </c>
      <c r="H12" s="795"/>
      <c r="I12" s="796" t="str">
        <f>(IF(C12-H7&gt;0,1)+IF(D12-H8&gt;0,1)+IF(E12-H9&gt;0,1)+IF(F12-H10&gt;0,1)+IF(G12-H11&gt;0,1))&amp;"-"&amp;(IF(C12-H7&lt;0,1)+IF(D12-H8&lt;0,1)+IF(E12-H9&lt;0,1)+IF(F12-H10&lt;0,1)+IF(G12-H11&lt;0,1))</f>
        <v>1-4</v>
      </c>
      <c r="J12" s="766">
        <v>6</v>
      </c>
      <c r="K12" s="797"/>
      <c r="L12" s="798"/>
      <c r="O12" s="212"/>
      <c r="P12" s="770"/>
      <c r="Q12" s="757"/>
      <c r="R12" s="764">
        <f t="shared" si="0"/>
        <v>40</v>
      </c>
      <c r="S12" s="914">
        <f>IFERROR(INDEX(V!$R:$R,MATCH(T12,V!$L:$L,0)),"")</f>
        <v>30</v>
      </c>
      <c r="T12" s="783" t="str">
        <f t="shared" si="1"/>
        <v>Einar Juhkam</v>
      </c>
      <c r="U12" s="914">
        <f>IFERROR(INDEX(V!$R:$R,MATCH(V12,V!$L:$L,0)),"")</f>
        <v>10</v>
      </c>
      <c r="V12" s="783" t="str">
        <f t="shared" si="2"/>
        <v>Fredi Müür</v>
      </c>
      <c r="W12" s="914" t="str">
        <f>IFERROR(INDEX(V!$R:$R,MATCH(X12,V!$L:$L,0)),"")</f>
        <v/>
      </c>
      <c r="X12" s="785" t="str">
        <f t="shared" si="3"/>
        <v/>
      </c>
      <c r="Y12" s="91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70"/>
      <c r="B13" s="770"/>
      <c r="C13" s="770"/>
      <c r="D13" s="770"/>
      <c r="E13" s="770"/>
      <c r="F13" s="770"/>
      <c r="G13" s="770"/>
      <c r="H13" s="770"/>
      <c r="I13" s="770"/>
      <c r="J13" s="770"/>
      <c r="K13" s="770"/>
      <c r="L13" s="770"/>
      <c r="M13" s="770"/>
      <c r="N13" s="771"/>
      <c r="O13" s="770"/>
      <c r="P13" s="770"/>
      <c r="Q13" s="757"/>
      <c r="AA13" s="755"/>
    </row>
    <row r="14" spans="1:27" x14ac:dyDescent="0.2">
      <c r="A14" s="757"/>
      <c r="B14" s="1067" t="s">
        <v>373</v>
      </c>
      <c r="C14" s="1068" t="s">
        <v>497</v>
      </c>
      <c r="D14" s="1068" t="s">
        <v>380</v>
      </c>
      <c r="E14" s="1068" t="s">
        <v>381</v>
      </c>
      <c r="J14" s="770"/>
      <c r="K14" s="770"/>
      <c r="L14" s="770"/>
      <c r="M14" s="770"/>
      <c r="O14" s="770"/>
      <c r="P14" s="770"/>
      <c r="Q14" s="757"/>
      <c r="AA14" s="757"/>
    </row>
    <row r="15" spans="1:27" x14ac:dyDescent="0.2">
      <c r="A15" s="757"/>
      <c r="B15" s="1067" t="s">
        <v>376</v>
      </c>
      <c r="C15" s="1068" t="s">
        <v>408</v>
      </c>
      <c r="D15" s="1068" t="s">
        <v>384</v>
      </c>
      <c r="E15" s="1068" t="s">
        <v>498</v>
      </c>
      <c r="J15" s="770"/>
      <c r="K15" s="770"/>
      <c r="L15" s="770"/>
      <c r="M15" s="770"/>
      <c r="O15" s="770"/>
      <c r="P15" s="770"/>
      <c r="Q15" s="757"/>
      <c r="AA15" s="757"/>
    </row>
    <row r="16" spans="1:27" x14ac:dyDescent="0.2">
      <c r="A16" s="757"/>
      <c r="B16" s="1067" t="s">
        <v>379</v>
      </c>
      <c r="C16" s="1068" t="s">
        <v>377</v>
      </c>
      <c r="D16" s="1068" t="s">
        <v>500</v>
      </c>
      <c r="E16" s="1068" t="s">
        <v>378</v>
      </c>
      <c r="J16" s="770"/>
      <c r="K16" s="770"/>
      <c r="L16" s="770"/>
      <c r="M16" s="770"/>
      <c r="O16" s="770"/>
      <c r="P16" s="770"/>
      <c r="Q16" s="757"/>
      <c r="AA16" s="757"/>
    </row>
    <row r="17" spans="1:27" x14ac:dyDescent="0.2">
      <c r="A17" s="757"/>
      <c r="B17" s="1067" t="s">
        <v>382</v>
      </c>
      <c r="C17" s="1068" t="s">
        <v>387</v>
      </c>
      <c r="D17" s="1068" t="s">
        <v>386</v>
      </c>
      <c r="E17" s="1068" t="s">
        <v>501</v>
      </c>
      <c r="J17" s="770"/>
      <c r="K17" s="770"/>
      <c r="L17" s="770"/>
      <c r="M17" s="770"/>
      <c r="N17" s="770"/>
      <c r="O17" s="770"/>
      <c r="P17" s="770"/>
      <c r="Q17" s="757"/>
      <c r="AA17" s="757"/>
    </row>
    <row r="18" spans="1:27" x14ac:dyDescent="0.2">
      <c r="A18" s="212"/>
      <c r="B18" s="1067" t="s">
        <v>385</v>
      </c>
      <c r="C18" s="1068" t="s">
        <v>374</v>
      </c>
      <c r="D18" s="1068" t="s">
        <v>375</v>
      </c>
      <c r="E18" s="1068" t="s">
        <v>499</v>
      </c>
      <c r="J18" s="770"/>
      <c r="K18" s="770"/>
      <c r="L18" s="770"/>
      <c r="M18" s="770"/>
      <c r="N18" s="770"/>
      <c r="O18" s="770"/>
      <c r="P18" s="770"/>
      <c r="Q18" s="212"/>
      <c r="AA18" s="757"/>
    </row>
    <row r="19" spans="1:27" hidden="1" x14ac:dyDescent="0.2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O19" s="212"/>
      <c r="P19" s="770"/>
      <c r="Q19" s="212"/>
      <c r="AA19" s="755"/>
    </row>
    <row r="20" spans="1:27" hidden="1" x14ac:dyDescent="0.2">
      <c r="A20" s="770"/>
      <c r="B20" s="770"/>
      <c r="C20" s="770"/>
      <c r="D20" s="770"/>
      <c r="E20" s="770"/>
      <c r="F20" s="770"/>
      <c r="G20" s="770"/>
      <c r="H20" s="212"/>
      <c r="I20" s="212"/>
      <c r="J20" s="212"/>
      <c r="K20" s="770"/>
      <c r="L20" s="770"/>
      <c r="M20" s="770"/>
      <c r="N20" s="770"/>
      <c r="O20" s="770"/>
      <c r="P20" s="770"/>
      <c r="Q20" s="212"/>
      <c r="AA20" s="755"/>
    </row>
    <row r="21" spans="1:27" hidden="1" x14ac:dyDescent="0.2">
      <c r="A21" s="770"/>
      <c r="B21" s="770"/>
      <c r="C21" s="770"/>
      <c r="D21" s="770"/>
      <c r="E21" s="770"/>
      <c r="F21" s="770"/>
      <c r="G21" s="770"/>
      <c r="H21" s="212"/>
      <c r="I21" s="212"/>
      <c r="J21" s="212"/>
      <c r="K21" s="770"/>
      <c r="L21" s="770"/>
      <c r="M21" s="770"/>
      <c r="O21" s="770"/>
      <c r="P21" s="770"/>
      <c r="Q21" s="212"/>
      <c r="AA21" s="757"/>
    </row>
    <row r="22" spans="1:27" hidden="1" x14ac:dyDescent="0.2">
      <c r="A22" s="770"/>
      <c r="B22" s="770"/>
      <c r="C22" s="770"/>
      <c r="D22" s="770"/>
      <c r="E22" s="770"/>
      <c r="F22" s="770"/>
      <c r="G22" s="770"/>
      <c r="H22" s="212"/>
      <c r="I22" s="212"/>
      <c r="J22" s="212"/>
      <c r="K22" s="770"/>
      <c r="L22" s="770"/>
      <c r="M22" s="770"/>
      <c r="N22" s="770"/>
      <c r="O22" s="770"/>
      <c r="P22" s="770"/>
      <c r="Q22" s="212"/>
      <c r="AA22" s="757"/>
    </row>
    <row r="23" spans="1:27" hidden="1" x14ac:dyDescent="0.2">
      <c r="A23" s="770"/>
      <c r="B23" s="770"/>
      <c r="C23" s="770"/>
      <c r="D23" s="770"/>
      <c r="E23" s="770"/>
      <c r="F23" s="770"/>
      <c r="G23" s="770"/>
      <c r="H23" s="212"/>
      <c r="I23" s="212"/>
      <c r="J23" s="212"/>
      <c r="K23" s="770"/>
      <c r="L23" s="770"/>
      <c r="M23" s="770"/>
      <c r="N23" s="771"/>
      <c r="O23" s="770"/>
      <c r="P23" s="770"/>
      <c r="Q23" s="212"/>
      <c r="AA23" s="757"/>
    </row>
    <row r="24" spans="1:27" hidden="1" x14ac:dyDescent="0.2">
      <c r="A24" s="770"/>
      <c r="B24" s="770"/>
      <c r="C24" s="770"/>
      <c r="D24" s="770"/>
      <c r="E24" s="770"/>
      <c r="F24" s="770"/>
      <c r="G24" s="770"/>
      <c r="H24" s="212"/>
      <c r="I24" s="212"/>
      <c r="J24" s="212"/>
      <c r="K24" s="770"/>
      <c r="L24" s="770"/>
      <c r="M24" s="770"/>
      <c r="O24" s="770"/>
      <c r="P24" s="770"/>
      <c r="Q24" s="212"/>
      <c r="AA24" s="757"/>
    </row>
    <row r="25" spans="1:27" hidden="1" x14ac:dyDescent="0.2">
      <c r="A25" s="770"/>
      <c r="B25" s="770"/>
      <c r="C25" s="770"/>
      <c r="D25" s="770"/>
      <c r="E25" s="770"/>
      <c r="F25" s="770"/>
      <c r="G25" s="770"/>
      <c r="H25" s="212"/>
      <c r="I25" s="212"/>
      <c r="J25" s="212"/>
      <c r="K25" s="770"/>
      <c r="L25" s="770"/>
      <c r="M25" s="770"/>
      <c r="N25" s="770"/>
      <c r="O25" s="770"/>
      <c r="P25" s="770"/>
      <c r="Q25" s="212"/>
      <c r="AA25" s="757"/>
    </row>
    <row r="26" spans="1:27" hidden="1" x14ac:dyDescent="0.2">
      <c r="A26" s="770"/>
      <c r="B26" s="770"/>
      <c r="C26" s="770"/>
      <c r="D26" s="770"/>
      <c r="E26" s="770"/>
      <c r="F26" s="770"/>
      <c r="G26" s="770"/>
      <c r="H26" s="212"/>
      <c r="I26" s="212"/>
      <c r="J26" s="212"/>
      <c r="K26" s="770"/>
      <c r="L26" s="770"/>
      <c r="M26" s="770"/>
      <c r="N26" s="801"/>
      <c r="O26" s="770"/>
      <c r="P26" s="770"/>
      <c r="Q26" s="212"/>
      <c r="AA26" s="755"/>
    </row>
    <row r="27" spans="1:27" hidden="1" x14ac:dyDescent="0.2">
      <c r="A27" s="770"/>
      <c r="B27" s="770"/>
      <c r="C27" s="770"/>
      <c r="D27" s="770"/>
      <c r="E27" s="770"/>
      <c r="F27" s="770"/>
      <c r="G27" s="770"/>
      <c r="H27" s="212"/>
      <c r="I27" s="212"/>
      <c r="J27" s="212"/>
      <c r="K27" s="770"/>
      <c r="L27" s="770"/>
      <c r="M27" s="770"/>
      <c r="O27" s="770"/>
      <c r="P27" s="770"/>
      <c r="Q27" s="212"/>
      <c r="AA27" s="760"/>
    </row>
    <row r="28" spans="1:27" hidden="1" x14ac:dyDescent="0.2">
      <c r="A28" s="770"/>
      <c r="B28" s="770"/>
      <c r="C28" s="770"/>
      <c r="D28" s="770"/>
      <c r="E28" s="770"/>
      <c r="F28" s="770"/>
      <c r="G28" s="770"/>
      <c r="H28" s="802"/>
      <c r="I28" s="802"/>
      <c r="J28" s="802"/>
      <c r="K28" s="770"/>
      <c r="L28" s="770"/>
      <c r="M28" s="770"/>
      <c r="O28" s="771"/>
      <c r="P28" s="770"/>
      <c r="Q28" s="802"/>
      <c r="AA28" s="760"/>
    </row>
    <row r="29" spans="1:27" hidden="1" x14ac:dyDescent="0.2">
      <c r="A29" s="770"/>
      <c r="B29" s="770"/>
      <c r="C29" s="770"/>
      <c r="D29" s="770"/>
      <c r="E29" s="770"/>
      <c r="F29" s="770"/>
      <c r="G29" s="770"/>
      <c r="H29" s="802"/>
      <c r="I29" s="802"/>
      <c r="J29" s="802"/>
      <c r="K29" s="770"/>
      <c r="L29" s="770"/>
      <c r="M29" s="770"/>
      <c r="O29" s="771"/>
      <c r="P29" s="770"/>
      <c r="Q29" s="802"/>
      <c r="AA29" s="760"/>
    </row>
    <row r="30" spans="1:27" hidden="1" x14ac:dyDescent="0.2">
      <c r="A30" s="770"/>
      <c r="B30" s="770"/>
      <c r="C30" s="770"/>
      <c r="D30" s="770"/>
      <c r="E30" s="770"/>
      <c r="F30" s="770"/>
      <c r="G30" s="770"/>
      <c r="H30" s="802"/>
      <c r="I30" s="802"/>
      <c r="J30" s="802"/>
      <c r="K30" s="770"/>
      <c r="L30" s="770"/>
      <c r="M30" s="770"/>
      <c r="N30" s="801"/>
      <c r="O30" s="212"/>
      <c r="P30" s="770"/>
      <c r="Q30" s="802"/>
      <c r="AA30" s="760"/>
    </row>
    <row r="31" spans="1:27" hidden="1" x14ac:dyDescent="0.2">
      <c r="A31" s="770"/>
      <c r="B31" s="770"/>
      <c r="C31" s="770"/>
      <c r="D31" s="770"/>
      <c r="E31" s="770"/>
      <c r="F31" s="770"/>
      <c r="G31" s="770"/>
      <c r="H31" s="802"/>
      <c r="I31" s="802"/>
      <c r="J31" s="802"/>
      <c r="K31" s="770"/>
      <c r="L31" s="770"/>
      <c r="M31" s="770"/>
      <c r="O31" s="212"/>
      <c r="P31" s="770"/>
      <c r="Q31" s="802"/>
      <c r="AA31" s="760"/>
    </row>
    <row r="32" spans="1:27" hidden="1" x14ac:dyDescent="0.2">
      <c r="A32" s="770"/>
      <c r="B32" s="770"/>
      <c r="C32" s="770"/>
      <c r="D32" s="770"/>
      <c r="E32" s="770"/>
      <c r="F32" s="770"/>
      <c r="G32" s="770"/>
      <c r="H32" s="802"/>
      <c r="I32" s="802"/>
      <c r="J32" s="802"/>
      <c r="K32" s="770"/>
      <c r="L32" s="770"/>
      <c r="M32" s="770"/>
      <c r="N32" s="770"/>
      <c r="O32" s="212"/>
      <c r="P32" s="770"/>
      <c r="Q32" s="802"/>
      <c r="AA32" s="760"/>
    </row>
    <row r="33" spans="1:27" hidden="1" x14ac:dyDescent="0.2">
      <c r="A33" s="770"/>
      <c r="B33" s="770"/>
      <c r="C33" s="770"/>
      <c r="D33" s="770"/>
      <c r="E33" s="770"/>
      <c r="F33" s="770"/>
      <c r="G33" s="770"/>
      <c r="H33" s="802"/>
      <c r="I33" s="802"/>
      <c r="J33" s="802"/>
      <c r="K33" s="770"/>
      <c r="L33" s="770"/>
      <c r="M33" s="770"/>
      <c r="N33" s="770"/>
      <c r="O33" s="770"/>
      <c r="P33" s="770"/>
      <c r="Q33" s="802"/>
      <c r="AA33" s="760"/>
    </row>
    <row r="34" spans="1:27" hidden="1" x14ac:dyDescent="0.2">
      <c r="A34" s="770"/>
      <c r="B34" s="770"/>
      <c r="C34" s="770"/>
      <c r="D34" s="770"/>
      <c r="E34" s="770"/>
      <c r="F34" s="770"/>
      <c r="G34" s="770"/>
      <c r="H34" s="770"/>
      <c r="I34" s="802"/>
      <c r="J34" s="802"/>
      <c r="K34" s="770"/>
      <c r="L34" s="770"/>
      <c r="M34" s="770"/>
      <c r="N34" s="212"/>
      <c r="O34" s="770"/>
      <c r="P34" s="770"/>
      <c r="Q34" s="802"/>
      <c r="AA34" s="760"/>
    </row>
    <row r="35" spans="1:27" hidden="1" x14ac:dyDescent="0.2">
      <c r="A35" s="770"/>
      <c r="B35" s="770"/>
      <c r="C35" s="770"/>
      <c r="D35" s="770"/>
      <c r="E35" s="770"/>
      <c r="F35" s="770"/>
      <c r="G35" s="770"/>
      <c r="H35" s="770"/>
      <c r="I35" s="802"/>
      <c r="J35" s="802"/>
      <c r="K35" s="770"/>
      <c r="L35" s="770"/>
      <c r="M35" s="770"/>
      <c r="N35" s="803"/>
      <c r="O35" s="212"/>
      <c r="P35" s="770"/>
      <c r="Q35" s="802"/>
      <c r="AA35" s="760"/>
    </row>
    <row r="36" spans="1:27" hidden="1" x14ac:dyDescent="0.2">
      <c r="A36" s="770"/>
      <c r="B36" s="770"/>
      <c r="C36" s="770"/>
      <c r="D36" s="770"/>
      <c r="E36" s="770"/>
      <c r="F36" s="770"/>
      <c r="G36" s="770"/>
      <c r="H36" s="770"/>
      <c r="I36" s="802"/>
      <c r="J36" s="802"/>
      <c r="K36" s="770"/>
      <c r="L36" s="770"/>
      <c r="M36" s="770"/>
      <c r="N36" s="212"/>
      <c r="O36" s="212"/>
      <c r="P36" s="770"/>
      <c r="Q36" s="802"/>
      <c r="AA36" s="760"/>
    </row>
    <row r="37" spans="1:27" hidden="1" x14ac:dyDescent="0.2">
      <c r="A37" s="770"/>
      <c r="B37" s="770"/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  <c r="N37" s="212"/>
      <c r="O37" s="212"/>
      <c r="P37" s="770"/>
      <c r="Q37" s="802"/>
      <c r="AA37" s="760"/>
    </row>
    <row r="38" spans="1:27" hidden="1" x14ac:dyDescent="0.2">
      <c r="A38" s="770"/>
      <c r="B38" s="770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O38" s="212"/>
      <c r="P38" s="770"/>
      <c r="Q38" s="802"/>
      <c r="AA38" s="760"/>
    </row>
    <row r="39" spans="1:27" hidden="1" x14ac:dyDescent="0.2">
      <c r="A39" s="770"/>
      <c r="B39" s="770"/>
      <c r="C39" s="770"/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212"/>
      <c r="O39" s="212"/>
      <c r="P39" s="770"/>
      <c r="Q39" s="802"/>
      <c r="AA39" s="760"/>
    </row>
    <row r="40" spans="1:27" hidden="1" x14ac:dyDescent="0.2">
      <c r="A40" s="770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770"/>
      <c r="N40" s="801"/>
      <c r="O40" s="212"/>
      <c r="P40" s="770"/>
      <c r="Q40" s="802"/>
      <c r="AA40" s="760"/>
    </row>
    <row r="41" spans="1:27" hidden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  <c r="M41" s="770"/>
      <c r="N41" s="771"/>
      <c r="O41" s="770"/>
      <c r="P41" s="770"/>
      <c r="Q41" s="802"/>
      <c r="AA41" s="760"/>
    </row>
    <row r="42" spans="1:27" hidden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O42" s="770"/>
      <c r="P42" s="770"/>
      <c r="Q42" s="802"/>
      <c r="AA42" s="760"/>
    </row>
    <row r="43" spans="1:27" hidden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O43" s="770"/>
      <c r="P43" s="770"/>
      <c r="Q43" s="802"/>
      <c r="AA43" s="760"/>
    </row>
    <row r="44" spans="1:27" hidden="1" x14ac:dyDescent="0.2">
      <c r="A44" s="770"/>
      <c r="B44" s="770"/>
      <c r="C44" s="770"/>
      <c r="D44" s="770"/>
      <c r="E44" s="770"/>
      <c r="F44" s="770"/>
      <c r="G44" s="770"/>
      <c r="H44" s="770"/>
      <c r="I44" s="770"/>
      <c r="J44" s="770"/>
      <c r="K44" s="770"/>
      <c r="L44" s="770"/>
      <c r="M44" s="770"/>
      <c r="O44" s="770"/>
      <c r="P44" s="770"/>
      <c r="Q44" s="802"/>
      <c r="AA44" s="760"/>
    </row>
    <row r="45" spans="1:27" hidden="1" x14ac:dyDescent="0.2">
      <c r="A45" s="770"/>
      <c r="B45" s="770"/>
      <c r="C45" s="770"/>
      <c r="D45" s="770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  <c r="P45" s="770"/>
      <c r="Q45" s="802"/>
      <c r="AA45" s="760"/>
    </row>
    <row r="46" spans="1:27" hidden="1" x14ac:dyDescent="0.2">
      <c r="A46" s="770"/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  <c r="P46" s="770"/>
      <c r="Q46" s="802"/>
      <c r="AA46" s="760"/>
    </row>
    <row r="47" spans="1:27" hidden="1" x14ac:dyDescent="0.2">
      <c r="A47" s="770"/>
      <c r="B47" s="770"/>
      <c r="C47" s="770"/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O47" s="212"/>
      <c r="P47" s="770"/>
      <c r="Q47" s="802"/>
      <c r="AA47" s="760"/>
    </row>
    <row r="48" spans="1:27" hidden="1" x14ac:dyDescent="0.2">
      <c r="A48" s="770"/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0"/>
      <c r="O48" s="770"/>
      <c r="P48" s="770"/>
      <c r="Q48" s="802"/>
      <c r="AA48" s="760"/>
    </row>
    <row r="49" spans="1:27" hidden="1" x14ac:dyDescent="0.2">
      <c r="A49" s="770"/>
      <c r="B49" s="770"/>
      <c r="C49" s="770"/>
      <c r="D49" s="770"/>
      <c r="E49" s="770"/>
      <c r="F49" s="770"/>
      <c r="G49" s="770"/>
      <c r="H49" s="770"/>
      <c r="I49" s="770"/>
      <c r="J49" s="770"/>
      <c r="K49" s="770"/>
      <c r="L49" s="770"/>
      <c r="M49" s="770"/>
      <c r="O49" s="770"/>
      <c r="P49" s="770"/>
      <c r="Q49" s="802"/>
      <c r="AA49" s="760"/>
    </row>
    <row r="50" spans="1:27" hidden="1" x14ac:dyDescent="0.2">
      <c r="A50" s="770"/>
      <c r="B50" s="770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770"/>
      <c r="P50" s="770"/>
      <c r="Q50" s="802"/>
      <c r="AA50" s="760"/>
    </row>
    <row r="51" spans="1:27" hidden="1" x14ac:dyDescent="0.2">
      <c r="A51" s="770"/>
      <c r="B51" s="770"/>
      <c r="C51" s="770"/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1"/>
      <c r="O51" s="770"/>
      <c r="P51" s="770"/>
      <c r="Q51" s="802"/>
      <c r="AA51" s="760"/>
    </row>
    <row r="52" spans="1:27" hidden="1" x14ac:dyDescent="0.2">
      <c r="A52" s="770"/>
      <c r="B52" s="770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O52" s="770"/>
      <c r="P52" s="770"/>
      <c r="Q52" s="802"/>
      <c r="AA52" s="760"/>
    </row>
    <row r="53" spans="1:27" hidden="1" x14ac:dyDescent="0.2">
      <c r="A53" s="770"/>
      <c r="B53" s="770"/>
      <c r="C53" s="770"/>
      <c r="D53" s="770"/>
      <c r="E53" s="770"/>
      <c r="F53" s="770"/>
      <c r="G53" s="770"/>
      <c r="H53" s="770"/>
      <c r="I53" s="770"/>
      <c r="J53" s="770"/>
      <c r="K53" s="770"/>
      <c r="L53" s="770"/>
      <c r="M53" s="770"/>
      <c r="N53" s="770"/>
      <c r="O53" s="770"/>
      <c r="P53" s="770"/>
      <c r="Q53" s="802"/>
      <c r="AA53" s="760"/>
    </row>
    <row r="54" spans="1:27" hidden="1" x14ac:dyDescent="0.2">
      <c r="A54" s="770"/>
      <c r="B54" s="770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801"/>
      <c r="O54" s="770"/>
      <c r="P54" s="770"/>
      <c r="Q54" s="802"/>
      <c r="AA54" s="760"/>
    </row>
    <row r="55" spans="1:27" hidden="1" x14ac:dyDescent="0.2">
      <c r="A55" s="770"/>
      <c r="B55" s="770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O55" s="770"/>
      <c r="P55" s="770"/>
      <c r="Q55" s="802"/>
      <c r="AA55" s="760"/>
    </row>
    <row r="56" spans="1:27" hidden="1" x14ac:dyDescent="0.2">
      <c r="A56" s="770"/>
      <c r="B56" s="770"/>
      <c r="C56" s="770"/>
      <c r="D56" s="770"/>
      <c r="E56" s="770"/>
      <c r="F56" s="770"/>
      <c r="G56" s="770"/>
      <c r="H56" s="770"/>
      <c r="I56" s="770"/>
      <c r="J56" s="770"/>
      <c r="K56" s="770"/>
      <c r="L56" s="770"/>
      <c r="M56" s="770"/>
      <c r="O56" s="771"/>
      <c r="P56" s="770"/>
      <c r="Q56" s="802"/>
      <c r="AA56" s="760"/>
    </row>
    <row r="57" spans="1:27" hidden="1" x14ac:dyDescent="0.2">
      <c r="A57" s="770"/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O57" s="771"/>
      <c r="P57" s="770"/>
      <c r="Q57" s="802"/>
      <c r="AA57" s="760"/>
    </row>
    <row r="58" spans="1:27" hidden="1" x14ac:dyDescent="0.2">
      <c r="A58" s="770"/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801"/>
      <c r="O58" s="212"/>
      <c r="P58" s="770"/>
      <c r="Q58" s="802"/>
      <c r="AA58" s="760"/>
    </row>
    <row r="59" spans="1:27" hidden="1" x14ac:dyDescent="0.2">
      <c r="A59" s="770"/>
      <c r="B59" s="770"/>
      <c r="C59" s="770"/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O59" s="212"/>
      <c r="P59" s="770"/>
      <c r="Q59" s="802"/>
      <c r="AA59" s="760"/>
    </row>
    <row r="60" spans="1:27" hidden="1" x14ac:dyDescent="0.2">
      <c r="A60" s="770"/>
      <c r="B60" s="770"/>
      <c r="C60" s="770"/>
      <c r="D60" s="770"/>
      <c r="E60" s="770"/>
      <c r="F60" s="770"/>
      <c r="G60" s="770"/>
      <c r="H60" s="770"/>
      <c r="I60" s="770"/>
      <c r="J60" s="770"/>
      <c r="K60" s="770"/>
      <c r="L60" s="770"/>
      <c r="M60" s="770"/>
      <c r="N60" s="770"/>
      <c r="O60" s="212"/>
      <c r="P60" s="770"/>
      <c r="Q60" s="802"/>
      <c r="AA60" s="760"/>
    </row>
    <row r="61" spans="1:27" hidden="1" x14ac:dyDescent="0.2">
      <c r="A61" s="770"/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55"/>
      <c r="O61" s="755"/>
      <c r="P61" s="755"/>
      <c r="Q61" s="802"/>
      <c r="AA61" s="760"/>
    </row>
    <row r="62" spans="1:27" hidden="1" x14ac:dyDescent="0.2">
      <c r="A62" s="770"/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55"/>
      <c r="O62" s="755"/>
      <c r="P62" s="755"/>
      <c r="Q62" s="802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70"/>
      <c r="B63" s="770"/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55"/>
      <c r="O63" s="755"/>
      <c r="P63" s="755"/>
      <c r="Q63" s="802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70"/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55"/>
      <c r="O64" s="755"/>
      <c r="P64" s="755"/>
      <c r="Q64" s="802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hidden="1" x14ac:dyDescent="0.2">
      <c r="A65" s="770"/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55"/>
      <c r="O65" s="755"/>
      <c r="P65" s="755"/>
      <c r="Q65" s="802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hidden="1" x14ac:dyDescent="0.2">
      <c r="A66" s="770"/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55"/>
      <c r="O66" s="755"/>
      <c r="P66" s="755"/>
      <c r="Q66" s="802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hidden="1" x14ac:dyDescent="0.2">
      <c r="A67" s="770"/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55"/>
      <c r="O67" s="755"/>
      <c r="P67" s="755"/>
      <c r="Q67" s="212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hidden="1" x14ac:dyDescent="0.2">
      <c r="A68" s="770"/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55"/>
      <c r="O68" s="755"/>
      <c r="P68" s="755"/>
      <c r="Q68" s="212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212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212"/>
      <c r="C70" s="212"/>
      <c r="D70" s="212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212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212"/>
      <c r="C71" s="212"/>
      <c r="D71" s="212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212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212"/>
      <c r="C72" s="212"/>
      <c r="D72" s="212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212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212"/>
      <c r="C73" s="212"/>
      <c r="D73" s="212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212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212"/>
      <c r="C74" s="212"/>
      <c r="D74" s="212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212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212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212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802"/>
      <c r="C95" s="802"/>
      <c r="D95" s="802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55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60"/>
      <c r="C96" s="760"/>
      <c r="D96" s="760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55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60"/>
      <c r="C97" s="760"/>
      <c r="D97" s="760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55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55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55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388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55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55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ht="13.5" thickBot="1" x14ac:dyDescent="0.25">
      <c r="A102" s="755"/>
      <c r="B102" s="755"/>
      <c r="C102" s="755"/>
      <c r="D102" s="755"/>
      <c r="E102" s="755"/>
      <c r="F102" s="755"/>
      <c r="G102" s="755"/>
      <c r="H102" s="809" t="str">
        <f>IFERROR(INDEX(B$1:B$100,MATCH(1,J$1:J$100,0)),"")</f>
        <v>Jaan Sepp, Oskar Sepp</v>
      </c>
      <c r="I102" s="755"/>
      <c r="J102" s="755"/>
      <c r="K102" s="755"/>
      <c r="L102" s="755"/>
      <c r="M102" s="755"/>
      <c r="N102" s="755"/>
      <c r="O102" s="755"/>
      <c r="P102" s="760"/>
      <c r="Q102" s="755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755"/>
      <c r="B103" s="755"/>
      <c r="C103" s="755"/>
      <c r="D103" s="755"/>
      <c r="E103" s="755"/>
      <c r="F103" s="755"/>
      <c r="G103" s="755"/>
      <c r="H103" s="810" t="s">
        <v>389</v>
      </c>
      <c r="I103" s="811"/>
      <c r="J103" s="755"/>
      <c r="K103" s="755"/>
      <c r="L103" s="755"/>
      <c r="M103" s="755"/>
      <c r="N103" s="755"/>
      <c r="O103" s="755"/>
      <c r="P103" s="760"/>
      <c r="Q103" s="755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55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ht="13.5" thickBot="1" x14ac:dyDescent="0.25">
      <c r="A105" s="755"/>
      <c r="B105" s="755"/>
      <c r="C105" s="755"/>
      <c r="D105" s="755"/>
      <c r="E105" s="755"/>
      <c r="F105" s="755"/>
      <c r="G105" s="760"/>
      <c r="H105" s="809" t="str">
        <f>IFERROR(INDEX(B$1:B$100,MATCH(2,J$1:J$100,0)),"")</f>
        <v>Andres Veski, Kenneth Muusikus</v>
      </c>
      <c r="I105" s="812"/>
      <c r="J105" s="755"/>
      <c r="K105" s="755"/>
      <c r="L105" s="755"/>
      <c r="M105" s="755"/>
      <c r="N105" s="755"/>
      <c r="O105" s="755"/>
      <c r="P105" s="760"/>
      <c r="Q105" s="755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755"/>
      <c r="B106" s="755"/>
      <c r="C106" s="755"/>
      <c r="D106" s="755"/>
      <c r="E106" s="755"/>
      <c r="F106" s="755"/>
      <c r="G106" s="760"/>
      <c r="H106" s="810" t="s">
        <v>390</v>
      </c>
      <c r="I106" s="807"/>
      <c r="J106" s="755"/>
      <c r="K106" s="755"/>
      <c r="L106" s="755"/>
      <c r="M106" s="755"/>
      <c r="N106" s="755"/>
      <c r="O106" s="755"/>
      <c r="P106" s="760"/>
      <c r="Q106" s="755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755"/>
      <c r="B107" s="755"/>
      <c r="C107" s="755"/>
      <c r="D107" s="755"/>
      <c r="E107" s="755"/>
      <c r="F107" s="755"/>
      <c r="G107" s="760"/>
      <c r="H107" s="755"/>
      <c r="I107" s="755"/>
      <c r="J107" s="755"/>
      <c r="K107" s="755"/>
      <c r="L107" s="755"/>
      <c r="M107" s="755"/>
      <c r="N107" s="755"/>
      <c r="O107" s="755"/>
      <c r="P107" s="760"/>
      <c r="Q107" s="755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ht="13.5" thickBot="1" x14ac:dyDescent="0.25">
      <c r="A108" s="755"/>
      <c r="B108" s="755"/>
      <c r="C108" s="755"/>
      <c r="D108" s="755"/>
      <c r="E108" s="755"/>
      <c r="F108" s="755"/>
      <c r="G108" s="760"/>
      <c r="H108" s="809" t="str">
        <f>IFERROR(INDEX(B$1:B$100,MATCH(3,J$1:J$100,0)),"")</f>
        <v>Elmo Lageda, Tõnu Piik</v>
      </c>
      <c r="I108" s="807"/>
      <c r="J108" s="755"/>
      <c r="K108" s="755"/>
      <c r="L108" s="755"/>
      <c r="M108" s="755"/>
      <c r="N108" s="755"/>
      <c r="O108" s="755"/>
      <c r="P108" s="760"/>
      <c r="Q108" s="755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x14ac:dyDescent="0.2">
      <c r="A109" s="755"/>
      <c r="B109" s="755"/>
      <c r="C109" s="755"/>
      <c r="D109" s="755"/>
      <c r="E109" s="755"/>
      <c r="F109" s="755"/>
      <c r="G109" s="760"/>
      <c r="H109" s="810" t="s">
        <v>391</v>
      </c>
      <c r="I109" s="811"/>
      <c r="J109" s="755"/>
      <c r="K109" s="755"/>
      <c r="L109" s="755"/>
      <c r="M109" s="755"/>
      <c r="N109" s="755"/>
      <c r="O109" s="755"/>
      <c r="P109" s="760"/>
      <c r="Q109" s="755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755"/>
      <c r="B110" s="755"/>
      <c r="C110" s="755"/>
      <c r="D110" s="755"/>
      <c r="E110" s="755"/>
      <c r="F110" s="755"/>
      <c r="G110" s="760"/>
      <c r="H110" s="807"/>
      <c r="I110" s="807"/>
      <c r="J110" s="755"/>
      <c r="K110" s="755"/>
      <c r="L110" s="755"/>
      <c r="M110" s="755"/>
      <c r="N110" s="755"/>
      <c r="O110" s="755"/>
      <c r="P110" s="760"/>
      <c r="Q110" s="755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ht="13.5" thickBot="1" x14ac:dyDescent="0.25">
      <c r="A111" s="755"/>
      <c r="B111" s="755"/>
      <c r="C111" s="755"/>
      <c r="D111" s="755"/>
      <c r="E111" s="755"/>
      <c r="F111" s="755"/>
      <c r="G111" s="760"/>
      <c r="H111" s="813" t="str">
        <f>IFERROR(INDEX(B$1:B$100,MATCH(4,J$1:J$100,0)),"")</f>
        <v>Enn Tokman, Tarmo Bombe</v>
      </c>
      <c r="I111" s="812"/>
      <c r="J111" s="755"/>
      <c r="K111" s="755"/>
      <c r="L111" s="755"/>
      <c r="M111" s="755"/>
      <c r="N111" s="755"/>
      <c r="O111" s="755"/>
      <c r="P111" s="760"/>
      <c r="Q111" s="755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755"/>
      <c r="B112" s="755"/>
      <c r="C112" s="755"/>
      <c r="D112" s="755"/>
      <c r="E112" s="755"/>
      <c r="F112" s="755"/>
      <c r="G112" s="760"/>
      <c r="H112" s="754" t="s">
        <v>392</v>
      </c>
      <c r="I112" s="755"/>
      <c r="J112" s="755"/>
      <c r="K112" s="755"/>
      <c r="L112" s="755"/>
      <c r="M112" s="755"/>
      <c r="N112" s="755"/>
      <c r="O112" s="755"/>
      <c r="P112" s="760"/>
      <c r="Q112" s="755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755"/>
      <c r="B113" s="755"/>
      <c r="C113" s="755"/>
      <c r="D113" s="755"/>
      <c r="E113" s="755"/>
      <c r="F113" s="755"/>
      <c r="G113" s="760"/>
      <c r="H113" s="760"/>
      <c r="I113" s="760"/>
      <c r="J113" s="755"/>
      <c r="K113" s="755"/>
      <c r="L113" s="755"/>
      <c r="M113" s="755"/>
      <c r="N113" s="755"/>
      <c r="O113" s="755"/>
      <c r="P113" s="760"/>
      <c r="Q113" s="755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755"/>
      <c r="B114" s="755"/>
      <c r="C114" s="755"/>
      <c r="D114" s="755"/>
      <c r="E114" s="755"/>
      <c r="F114" s="755"/>
      <c r="G114" s="760"/>
      <c r="H114" s="813" t="str">
        <f>IFERROR(INDEX(B$1:B$100,MATCH(5,J$1:J$100,0)),"")</f>
        <v>Urmas Jõeäär, Meelis Luud</v>
      </c>
      <c r="I114" s="812"/>
      <c r="J114" s="755"/>
      <c r="K114" s="755"/>
      <c r="L114" s="755"/>
      <c r="M114" s="755"/>
      <c r="N114" s="755"/>
      <c r="O114" s="755"/>
      <c r="P114" s="760"/>
      <c r="Q114" s="755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755"/>
      <c r="B115" s="755"/>
      <c r="C115" s="755"/>
      <c r="D115" s="755"/>
      <c r="E115" s="755"/>
      <c r="F115" s="755"/>
      <c r="G115" s="760"/>
      <c r="H115" s="754" t="s">
        <v>393</v>
      </c>
      <c r="I115" s="755"/>
      <c r="J115" s="755"/>
      <c r="K115" s="755"/>
      <c r="L115" s="755"/>
      <c r="M115" s="755"/>
      <c r="N115" s="755"/>
      <c r="O115" s="755"/>
      <c r="P115" s="760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  <c r="AA115" s="755"/>
    </row>
    <row r="116" spans="1:27" x14ac:dyDescent="0.2">
      <c r="A116" s="755"/>
      <c r="B116" s="755"/>
      <c r="C116" s="755"/>
      <c r="D116" s="755"/>
      <c r="E116" s="755"/>
      <c r="F116" s="755"/>
      <c r="G116" s="760"/>
      <c r="H116" s="770"/>
      <c r="I116" s="770"/>
      <c r="J116" s="755"/>
      <c r="K116" s="755"/>
      <c r="L116" s="755"/>
      <c r="M116" s="755"/>
      <c r="N116" s="755"/>
      <c r="O116" s="755"/>
      <c r="P116" s="760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  <c r="AA116" s="755"/>
    </row>
    <row r="117" spans="1:27" ht="13.5" thickBot="1" x14ac:dyDescent="0.25">
      <c r="A117" s="755"/>
      <c r="B117" s="755"/>
      <c r="C117" s="755"/>
      <c r="D117" s="755"/>
      <c r="E117" s="755"/>
      <c r="F117" s="755"/>
      <c r="G117" s="760"/>
      <c r="H117" s="813" t="str">
        <f>IFERROR(INDEX(B$1:B$100,MATCH(6,J$1:J$100,0)),"")</f>
        <v>Einar Juhkam, Fredi Müür</v>
      </c>
      <c r="I117" s="812"/>
      <c r="J117" s="755"/>
      <c r="K117" s="755"/>
      <c r="L117" s="755"/>
      <c r="M117" s="755"/>
      <c r="N117" s="755"/>
      <c r="O117" s="755"/>
      <c r="P117" s="760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  <c r="AA117" s="755"/>
    </row>
    <row r="118" spans="1:27" x14ac:dyDescent="0.2">
      <c r="A118" s="755"/>
      <c r="B118" s="755"/>
      <c r="C118" s="755"/>
      <c r="D118" s="755"/>
      <c r="E118" s="755"/>
      <c r="F118" s="755"/>
      <c r="G118" s="760"/>
      <c r="H118" s="754" t="s">
        <v>394</v>
      </c>
      <c r="I118" s="755"/>
      <c r="J118" s="755"/>
      <c r="K118" s="755"/>
      <c r="L118" s="755"/>
      <c r="M118" s="755"/>
      <c r="N118" s="755"/>
      <c r="O118" s="755"/>
      <c r="P118" s="760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</row>
    <row r="119" spans="1:27" hidden="1" x14ac:dyDescent="0.2">
      <c r="A119" s="755"/>
      <c r="B119" s="755"/>
      <c r="C119" s="755"/>
      <c r="D119" s="755"/>
      <c r="E119" s="755"/>
      <c r="F119" s="755"/>
      <c r="G119" s="760"/>
      <c r="H119" s="755"/>
      <c r="I119" s="755"/>
      <c r="J119" s="755"/>
      <c r="K119" s="755"/>
      <c r="L119" s="755"/>
      <c r="M119" s="755"/>
      <c r="N119" s="755"/>
      <c r="O119" s="755"/>
      <c r="P119" s="760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  <c r="AA119" s="755"/>
    </row>
    <row r="120" spans="1:27" hidden="1" x14ac:dyDescent="0.2">
      <c r="A120" s="755"/>
      <c r="B120" s="755"/>
      <c r="C120" s="755"/>
      <c r="D120" s="755"/>
      <c r="E120" s="755"/>
      <c r="F120" s="755"/>
      <c r="G120" s="760"/>
      <c r="H120" s="760"/>
      <c r="I120" s="760"/>
      <c r="J120" s="755"/>
      <c r="K120" s="755"/>
      <c r="L120" s="755"/>
      <c r="M120" s="755"/>
      <c r="N120" s="755"/>
      <c r="O120" s="755"/>
      <c r="P120" s="760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  <c r="AA120" s="755"/>
    </row>
    <row r="121" spans="1:27" hidden="1" x14ac:dyDescent="0.2">
      <c r="A121" s="755"/>
      <c r="B121" s="755"/>
      <c r="C121" s="755"/>
      <c r="D121" s="755"/>
      <c r="E121" s="755"/>
      <c r="F121" s="755"/>
      <c r="G121" s="760"/>
      <c r="H121" s="760"/>
      <c r="I121" s="760"/>
      <c r="J121" s="755"/>
      <c r="K121" s="755"/>
      <c r="L121" s="755"/>
      <c r="M121" s="755"/>
      <c r="N121" s="755"/>
      <c r="O121" s="755"/>
      <c r="P121" s="760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  <c r="AA121" s="755"/>
    </row>
    <row r="122" spans="1:27" hidden="1" x14ac:dyDescent="0.2">
      <c r="A122" s="755"/>
      <c r="B122" s="755"/>
      <c r="C122" s="755"/>
      <c r="D122" s="755"/>
      <c r="E122" s="755"/>
      <c r="F122" s="755"/>
      <c r="G122" s="760"/>
      <c r="H122" s="760"/>
      <c r="I122" s="760"/>
      <c r="J122" s="755"/>
      <c r="K122" s="755"/>
      <c r="L122" s="755"/>
      <c r="M122" s="755"/>
      <c r="N122" s="755"/>
      <c r="O122" s="755"/>
      <c r="P122" s="760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  <c r="AA122" s="755"/>
    </row>
    <row r="123" spans="1:27" hidden="1" x14ac:dyDescent="0.2">
      <c r="A123" s="755"/>
      <c r="B123" s="755"/>
      <c r="C123" s="755"/>
      <c r="D123" s="755"/>
      <c r="E123" s="755"/>
      <c r="F123" s="755"/>
      <c r="G123" s="760"/>
      <c r="H123" s="755"/>
      <c r="I123" s="755"/>
      <c r="J123" s="755"/>
      <c r="K123" s="755"/>
      <c r="L123" s="755"/>
      <c r="M123" s="755"/>
      <c r="N123" s="755"/>
      <c r="O123" s="755"/>
      <c r="P123" s="760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  <c r="AA123" s="755"/>
    </row>
    <row r="124" spans="1:27" hidden="1" x14ac:dyDescent="0.2">
      <c r="A124" s="755"/>
      <c r="B124" s="755"/>
      <c r="C124" s="755"/>
      <c r="D124" s="755"/>
      <c r="E124" s="755"/>
      <c r="F124" s="755"/>
      <c r="G124" s="760"/>
      <c r="H124" s="755"/>
      <c r="I124" s="755"/>
      <c r="J124" s="755"/>
      <c r="K124" s="755"/>
      <c r="L124" s="755"/>
      <c r="M124" s="755"/>
      <c r="N124" s="755"/>
      <c r="O124" s="755"/>
      <c r="P124" s="760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  <c r="AA124" s="755"/>
    </row>
    <row r="125" spans="1:27" hidden="1" x14ac:dyDescent="0.2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60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  <c r="AA125" s="755"/>
    </row>
    <row r="126" spans="1:27" hidden="1" x14ac:dyDescent="0.2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60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  <c r="AA126" s="755"/>
    </row>
    <row r="127" spans="1:27" hidden="1" x14ac:dyDescent="0.2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60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  <c r="AA127" s="755"/>
    </row>
    <row r="128" spans="1:27" hidden="1" x14ac:dyDescent="0.2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60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  <c r="AA128" s="755"/>
    </row>
    <row r="129" spans="1:27" hidden="1" x14ac:dyDescent="0.2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60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  <c r="AA129" s="755"/>
    </row>
    <row r="130" spans="1:27" hidden="1" x14ac:dyDescent="0.2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60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  <c r="AA130" s="755"/>
    </row>
    <row r="131" spans="1:27" hidden="1" x14ac:dyDescent="0.2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60"/>
      <c r="L131" s="760"/>
      <c r="M131" s="760"/>
      <c r="N131" s="760"/>
      <c r="O131" s="760"/>
      <c r="P131" s="760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  <c r="AA131" s="755"/>
    </row>
    <row r="132" spans="1:27" hidden="1" x14ac:dyDescent="0.2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60"/>
      <c r="L132" s="760"/>
      <c r="M132" s="760"/>
      <c r="N132" s="760"/>
      <c r="O132" s="760"/>
      <c r="P132" s="760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  <c r="AA132" s="755"/>
    </row>
    <row r="133" spans="1:27" hidden="1" x14ac:dyDescent="0.2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60"/>
      <c r="L133" s="760"/>
      <c r="M133" s="760"/>
      <c r="N133" s="760"/>
      <c r="O133" s="760"/>
      <c r="P133" s="760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  <c r="AA133" s="755"/>
    </row>
    <row r="134" spans="1:27" hidden="1" x14ac:dyDescent="0.2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60"/>
      <c r="L134" s="760"/>
      <c r="M134" s="760"/>
      <c r="N134" s="760"/>
      <c r="O134" s="760"/>
      <c r="P134" s="760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  <c r="AA134" s="755"/>
    </row>
    <row r="135" spans="1:27" hidden="1" x14ac:dyDescent="0.2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60"/>
      <c r="L135" s="760"/>
      <c r="M135" s="760"/>
      <c r="N135" s="760"/>
      <c r="O135" s="760"/>
      <c r="P135" s="760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  <c r="AA135" s="755"/>
    </row>
    <row r="136" spans="1:27" hidden="1" x14ac:dyDescent="0.2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60"/>
      <c r="L136" s="760"/>
      <c r="M136" s="760"/>
      <c r="N136" s="760"/>
      <c r="O136" s="760"/>
      <c r="P136" s="760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  <c r="AA136" s="755"/>
    </row>
    <row r="137" spans="1:27" hidden="1" x14ac:dyDescent="0.2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60"/>
      <c r="L137" s="760"/>
      <c r="M137" s="760"/>
      <c r="N137" s="760"/>
      <c r="O137" s="760"/>
      <c r="P137" s="760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  <c r="AA137" s="755"/>
    </row>
    <row r="138" spans="1:27" hidden="1" x14ac:dyDescent="0.2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60"/>
      <c r="L138" s="760"/>
      <c r="M138" s="760"/>
      <c r="N138" s="760"/>
      <c r="O138" s="760"/>
      <c r="P138" s="760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  <c r="AA138" s="755"/>
    </row>
    <row r="139" spans="1:27" hidden="1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60"/>
      <c r="L139" s="760"/>
      <c r="M139" s="760"/>
      <c r="N139" s="760"/>
      <c r="O139" s="760"/>
      <c r="P139" s="760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  <c r="AA139" s="755"/>
    </row>
    <row r="140" spans="1:27" hidden="1" x14ac:dyDescent="0.2">
      <c r="A140" s="760"/>
      <c r="B140" s="760"/>
      <c r="C140" s="760"/>
      <c r="D140" s="760"/>
      <c r="E140" s="760"/>
      <c r="F140" s="760"/>
      <c r="G140" s="755"/>
      <c r="H140" s="755"/>
      <c r="I140" s="755"/>
      <c r="J140" s="755"/>
      <c r="K140" s="760"/>
      <c r="L140" s="760"/>
      <c r="M140" s="760"/>
      <c r="N140" s="760"/>
      <c r="O140" s="760"/>
      <c r="P140" s="760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  <c r="AA140" s="755"/>
    </row>
    <row r="141" spans="1:27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  <c r="AA141" s="755"/>
    </row>
    <row r="142" spans="1:27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  <c r="AA142" s="755"/>
    </row>
    <row r="143" spans="1:27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  <c r="AA143" s="755"/>
    </row>
    <row r="144" spans="1:27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  <c r="AA144" s="755"/>
    </row>
    <row r="145" spans="1:27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  <c r="AA145" s="755"/>
    </row>
    <row r="146" spans="1:27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  <c r="AA146" s="755"/>
    </row>
    <row r="147" spans="1:27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760"/>
      <c r="M147" s="760"/>
      <c r="N147" s="760"/>
      <c r="O147" s="760"/>
      <c r="P147" s="760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  <c r="AA147" s="755"/>
    </row>
    <row r="148" spans="1:27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760"/>
      <c r="M148" s="760"/>
      <c r="N148" s="760"/>
      <c r="O148" s="760"/>
      <c r="P148" s="760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  <c r="AA148" s="755"/>
    </row>
    <row r="149" spans="1:27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760"/>
      <c r="M149" s="760"/>
      <c r="N149" s="760"/>
      <c r="O149" s="760"/>
      <c r="P149" s="760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  <c r="AA149" s="755"/>
    </row>
    <row r="150" spans="1:27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  <c r="AA150" s="755"/>
    </row>
    <row r="151" spans="1:27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760"/>
      <c r="M151" s="760"/>
      <c r="N151" s="760"/>
      <c r="O151" s="760"/>
      <c r="P151" s="760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  <c r="AA151" s="755"/>
    </row>
    <row r="152" spans="1:27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760"/>
      <c r="M152" s="760"/>
      <c r="N152" s="760"/>
      <c r="O152" s="760"/>
      <c r="P152" s="760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  <c r="AA152" s="755"/>
    </row>
    <row r="153" spans="1:27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760"/>
      <c r="M153" s="760"/>
      <c r="N153" s="760"/>
      <c r="O153" s="760"/>
      <c r="P153" s="760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  <c r="AA153" s="755"/>
    </row>
    <row r="154" spans="1:27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760"/>
      <c r="M154" s="760"/>
      <c r="N154" s="760"/>
      <c r="O154" s="760"/>
      <c r="P154" s="760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  <c r="AA154" s="755"/>
    </row>
    <row r="155" spans="1:27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760"/>
      <c r="M155" s="760"/>
      <c r="N155" s="760"/>
      <c r="O155" s="760"/>
      <c r="P155" s="760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  <c r="AA155" s="755"/>
    </row>
    <row r="156" spans="1:27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0"/>
      <c r="P156" s="760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  <c r="AA156" s="755"/>
    </row>
    <row r="157" spans="1:27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760"/>
      <c r="M157" s="760"/>
      <c r="N157" s="760"/>
      <c r="O157" s="760"/>
      <c r="P157" s="760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  <c r="AA157" s="755"/>
    </row>
    <row r="158" spans="1:27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760"/>
      <c r="M158" s="760"/>
      <c r="N158" s="760"/>
      <c r="O158" s="760"/>
      <c r="P158" s="760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  <c r="AA158" s="755"/>
    </row>
    <row r="159" spans="1:27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760"/>
      <c r="M159" s="760"/>
      <c r="N159" s="760"/>
      <c r="O159" s="760"/>
      <c r="P159" s="760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  <c r="AA159" s="755"/>
    </row>
    <row r="160" spans="1:27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760"/>
      <c r="M160" s="760"/>
      <c r="N160" s="760"/>
      <c r="O160" s="760"/>
      <c r="P160" s="760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  <c r="AA160" s="755"/>
    </row>
    <row r="161" spans="1:27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  <c r="AA161" s="755"/>
    </row>
    <row r="162" spans="1:27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760"/>
      <c r="M162" s="760"/>
      <c r="N162" s="760"/>
      <c r="O162" s="760"/>
      <c r="P162" s="760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  <c r="AA162" s="755"/>
    </row>
    <row r="163" spans="1:27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  <c r="AA163" s="755"/>
    </row>
    <row r="164" spans="1:27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  <c r="AA164" s="755"/>
    </row>
    <row r="165" spans="1:27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  <c r="AA165" s="755"/>
    </row>
    <row r="166" spans="1:27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  <c r="AA166" s="755"/>
    </row>
    <row r="167" spans="1:27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  <c r="AA167" s="755"/>
    </row>
    <row r="168" spans="1:27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  <c r="AA168" s="755"/>
    </row>
    <row r="169" spans="1:27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  <c r="AA169" s="755"/>
    </row>
    <row r="170" spans="1:27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  <c r="AA170" s="755"/>
    </row>
    <row r="171" spans="1:27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  <c r="AA171" s="755"/>
    </row>
    <row r="172" spans="1:27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  <c r="AA172" s="755"/>
    </row>
    <row r="173" spans="1:27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  <c r="AA173" s="755"/>
    </row>
    <row r="174" spans="1:27" hidden="1" x14ac:dyDescent="0.2">
      <c r="A174" s="213"/>
      <c r="B174" s="552"/>
      <c r="C174" s="755"/>
      <c r="D174" s="755"/>
      <c r="E174" s="807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  <c r="AA174" s="755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  <c r="AA175" s="755"/>
    </row>
    <row r="176" spans="1:27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760"/>
      <c r="M176" s="760"/>
      <c r="N176" s="760"/>
      <c r="O176" s="760"/>
      <c r="P176" s="760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760"/>
      <c r="M177" s="760"/>
      <c r="N177" s="760"/>
      <c r="O177" s="760"/>
      <c r="P177" s="760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760"/>
      <c r="M178" s="760"/>
      <c r="N178" s="760"/>
      <c r="O178" s="760"/>
      <c r="P178" s="760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760"/>
      <c r="M179" s="760"/>
      <c r="N179" s="760"/>
      <c r="O179" s="760"/>
      <c r="P179" s="760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760"/>
      <c r="M180" s="760"/>
      <c r="N180" s="760"/>
      <c r="O180" s="760"/>
      <c r="P180" s="760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760"/>
      <c r="M181" s="760"/>
      <c r="N181" s="760"/>
      <c r="O181" s="760"/>
      <c r="P181" s="760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760"/>
      <c r="M182" s="760"/>
      <c r="N182" s="760"/>
      <c r="O182" s="760"/>
      <c r="P182" s="760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760"/>
      <c r="M184" s="760"/>
      <c r="N184" s="760"/>
      <c r="O184" s="760"/>
      <c r="P184" s="760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760"/>
      <c r="M185" s="760"/>
      <c r="N185" s="760"/>
      <c r="O185" s="760"/>
      <c r="P185" s="760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760"/>
      <c r="M187" s="760"/>
      <c r="N187" s="760"/>
      <c r="O187" s="760"/>
      <c r="P187" s="760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760"/>
      <c r="M188" s="760"/>
      <c r="N188" s="760"/>
      <c r="O188" s="760"/>
      <c r="P188" s="760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760"/>
      <c r="M189" s="760"/>
      <c r="N189" s="760"/>
      <c r="O189" s="760"/>
      <c r="P189" s="760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760"/>
      <c r="M190" s="760"/>
      <c r="N190" s="760"/>
      <c r="O190" s="760"/>
      <c r="P190" s="760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760"/>
      <c r="M191" s="760"/>
      <c r="N191" s="760"/>
      <c r="O191" s="760"/>
      <c r="P191" s="760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760"/>
      <c r="M192" s="760"/>
      <c r="N192" s="760"/>
      <c r="O192" s="760"/>
      <c r="P192" s="760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760"/>
      <c r="M193" s="760"/>
      <c r="N193" s="760"/>
      <c r="O193" s="760"/>
      <c r="P193" s="760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760"/>
      <c r="M194" s="760"/>
      <c r="N194" s="760"/>
      <c r="O194" s="760"/>
      <c r="P194" s="760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760"/>
      <c r="M195" s="760"/>
      <c r="N195" s="760"/>
      <c r="O195" s="760"/>
      <c r="P195" s="760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760"/>
      <c r="M196" s="760"/>
      <c r="N196" s="760"/>
      <c r="O196" s="760"/>
      <c r="P196" s="760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760"/>
      <c r="M197" s="760"/>
      <c r="N197" s="760"/>
      <c r="O197" s="760"/>
      <c r="P197" s="760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760"/>
      <c r="M198" s="760"/>
      <c r="N198" s="760"/>
      <c r="O198" s="760"/>
      <c r="P198" s="760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760"/>
      <c r="M199" s="760"/>
      <c r="N199" s="760"/>
      <c r="O199" s="760"/>
      <c r="P199" s="760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760"/>
      <c r="M200" s="760"/>
      <c r="N200" s="760"/>
      <c r="O200" s="760"/>
      <c r="P200" s="760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760"/>
      <c r="M201" s="760"/>
      <c r="N201" s="760"/>
      <c r="O201" s="760"/>
      <c r="P201" s="760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0"/>
      <c r="O202" s="760"/>
      <c r="P202" s="760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760"/>
      <c r="M203" s="760"/>
      <c r="N203" s="760"/>
      <c r="O203" s="760"/>
      <c r="P203" s="760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760"/>
      <c r="M204" s="760"/>
      <c r="N204" s="760"/>
      <c r="O204" s="760"/>
      <c r="P204" s="760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760"/>
      <c r="M205" s="760"/>
      <c r="N205" s="760"/>
      <c r="O205" s="760"/>
      <c r="P205" s="760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760"/>
      <c r="M206" s="760"/>
      <c r="N206" s="760"/>
      <c r="O206" s="760"/>
      <c r="P206" s="760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760"/>
      <c r="M207" s="760"/>
      <c r="N207" s="760"/>
      <c r="O207" s="760"/>
      <c r="P207" s="760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760"/>
      <c r="M208" s="760"/>
      <c r="N208" s="760"/>
      <c r="O208" s="760"/>
      <c r="P208" s="760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760"/>
      <c r="M209" s="760"/>
      <c r="N209" s="760"/>
      <c r="O209" s="760"/>
      <c r="P209" s="760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760"/>
      <c r="M210" s="760"/>
      <c r="N210" s="760"/>
      <c r="O210" s="760"/>
      <c r="P210" s="760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760"/>
      <c r="M211" s="760"/>
      <c r="N211" s="760"/>
      <c r="O211" s="760"/>
      <c r="P211" s="760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760"/>
      <c r="M212" s="760"/>
      <c r="N212" s="760"/>
      <c r="O212" s="760"/>
      <c r="P212" s="760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760"/>
      <c r="M213" s="760"/>
      <c r="N213" s="760"/>
      <c r="O213" s="760"/>
      <c r="P213" s="760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760"/>
      <c r="M214" s="760"/>
      <c r="N214" s="760"/>
      <c r="O214" s="760"/>
      <c r="P214" s="760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760"/>
      <c r="M215" s="760"/>
      <c r="N215" s="760"/>
      <c r="O215" s="760"/>
      <c r="P215" s="760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760"/>
      <c r="M216" s="760"/>
      <c r="N216" s="760"/>
      <c r="O216" s="760"/>
      <c r="P216" s="760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760"/>
      <c r="M217" s="760"/>
      <c r="N217" s="760"/>
      <c r="O217" s="760"/>
      <c r="P217" s="760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760"/>
      <c r="M218" s="760"/>
      <c r="N218" s="760"/>
      <c r="O218" s="760"/>
      <c r="P218" s="760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760"/>
      <c r="M219" s="760"/>
      <c r="N219" s="760"/>
      <c r="O219" s="760"/>
      <c r="P219" s="760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760"/>
      <c r="M220" s="760"/>
      <c r="N220" s="760"/>
      <c r="O220" s="760"/>
      <c r="P220" s="760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760"/>
      <c r="M221" s="760"/>
      <c r="N221" s="760"/>
      <c r="O221" s="760"/>
      <c r="P221" s="760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760"/>
      <c r="M222" s="760"/>
      <c r="N222" s="760"/>
      <c r="O222" s="760"/>
      <c r="P222" s="760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760"/>
      <c r="M223" s="760"/>
      <c r="N223" s="760"/>
      <c r="O223" s="760"/>
      <c r="P223" s="760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760"/>
      <c r="M224" s="760"/>
      <c r="N224" s="760"/>
      <c r="O224" s="760"/>
      <c r="P224" s="760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760"/>
      <c r="M225" s="760"/>
      <c r="N225" s="760"/>
      <c r="O225" s="760"/>
      <c r="P225" s="760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760"/>
      <c r="M226" s="760"/>
      <c r="N226" s="760"/>
      <c r="O226" s="760"/>
      <c r="P226" s="760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760"/>
      <c r="M227" s="760"/>
      <c r="N227" s="760"/>
      <c r="O227" s="760"/>
      <c r="P227" s="760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760"/>
      <c r="M228" s="760"/>
      <c r="N228" s="760"/>
      <c r="O228" s="760"/>
      <c r="P228" s="760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760"/>
      <c r="M229" s="760"/>
      <c r="N229" s="760"/>
      <c r="O229" s="760"/>
      <c r="P229" s="760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760"/>
      <c r="M230" s="760"/>
      <c r="N230" s="760"/>
      <c r="O230" s="760"/>
      <c r="P230" s="760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760"/>
      <c r="M231" s="760"/>
      <c r="N231" s="760"/>
      <c r="O231" s="760"/>
      <c r="P231" s="760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760"/>
      <c r="M232" s="760"/>
      <c r="N232" s="760"/>
      <c r="O232" s="760"/>
      <c r="P232" s="760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760"/>
      <c r="M233" s="760"/>
      <c r="N233" s="760"/>
      <c r="O233" s="760"/>
      <c r="P233" s="760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760"/>
      <c r="M234" s="760"/>
      <c r="N234" s="760"/>
      <c r="O234" s="760"/>
      <c r="P234" s="760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760"/>
      <c r="M235" s="760"/>
      <c r="N235" s="760"/>
      <c r="O235" s="760"/>
      <c r="P235" s="760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760"/>
      <c r="M236" s="760"/>
      <c r="N236" s="760"/>
      <c r="O236" s="760"/>
      <c r="P236" s="760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760"/>
      <c r="M237" s="760"/>
      <c r="N237" s="760"/>
      <c r="O237" s="760"/>
      <c r="P237" s="760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760"/>
      <c r="M238" s="760"/>
      <c r="N238" s="760"/>
      <c r="O238" s="760"/>
      <c r="P238" s="760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760"/>
      <c r="M239" s="760"/>
      <c r="N239" s="760"/>
      <c r="O239" s="760"/>
      <c r="P239" s="760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760"/>
      <c r="M240" s="760"/>
      <c r="N240" s="760"/>
      <c r="O240" s="760"/>
      <c r="P240" s="760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760"/>
      <c r="M241" s="760"/>
      <c r="N241" s="760"/>
      <c r="O241" s="760"/>
      <c r="P241" s="760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760"/>
      <c r="M242" s="760"/>
      <c r="N242" s="760"/>
      <c r="O242" s="760"/>
      <c r="P242" s="760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760"/>
      <c r="M243" s="760"/>
      <c r="N243" s="760"/>
      <c r="O243" s="760"/>
      <c r="P243" s="760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760"/>
      <c r="M245" s="760"/>
      <c r="N245" s="760"/>
      <c r="O245" s="760"/>
      <c r="P245" s="760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760"/>
      <c r="M246" s="760"/>
      <c r="N246" s="760"/>
      <c r="O246" s="760"/>
      <c r="P246" s="760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760"/>
      <c r="M247" s="760"/>
      <c r="N247" s="760"/>
      <c r="O247" s="760"/>
      <c r="P247" s="760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760"/>
      <c r="M248" s="760"/>
      <c r="N248" s="760"/>
      <c r="O248" s="760"/>
      <c r="P248" s="760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760"/>
      <c r="M249" s="760"/>
      <c r="N249" s="760"/>
      <c r="O249" s="760"/>
      <c r="P249" s="760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760"/>
      <c r="M250" s="760"/>
      <c r="N250" s="760"/>
      <c r="O250" s="760"/>
      <c r="P250" s="760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760"/>
      <c r="M251" s="760"/>
      <c r="N251" s="760"/>
      <c r="O251" s="760"/>
      <c r="P251" s="760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760"/>
      <c r="M252" s="760"/>
      <c r="N252" s="760"/>
      <c r="O252" s="760"/>
      <c r="P252" s="760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760"/>
      <c r="M253" s="760"/>
      <c r="N253" s="760"/>
      <c r="O253" s="760"/>
      <c r="P253" s="760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760"/>
      <c r="M255" s="760"/>
      <c r="N255" s="760"/>
      <c r="O255" s="760"/>
      <c r="P255" s="760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760"/>
      <c r="M256" s="760"/>
      <c r="N256" s="760"/>
      <c r="O256" s="760"/>
      <c r="P256" s="760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760"/>
      <c r="M257" s="760"/>
      <c r="N257" s="760"/>
      <c r="O257" s="760"/>
      <c r="P257" s="760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760"/>
      <c r="M259" s="760"/>
      <c r="N259" s="760"/>
      <c r="O259" s="760"/>
      <c r="P259" s="760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760"/>
      <c r="M260" s="760"/>
      <c r="N260" s="760"/>
      <c r="O260" s="760"/>
      <c r="P260" s="760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760"/>
      <c r="M261" s="760"/>
      <c r="N261" s="760"/>
      <c r="O261" s="760"/>
      <c r="P261" s="760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760"/>
      <c r="M262" s="760"/>
      <c r="N262" s="760"/>
      <c r="O262" s="760"/>
      <c r="P262" s="760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760"/>
      <c r="M263" s="760"/>
      <c r="N263" s="760"/>
      <c r="O263" s="760"/>
      <c r="P263" s="760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760"/>
      <c r="M265" s="760"/>
      <c r="N265" s="760"/>
      <c r="O265" s="760"/>
      <c r="P265" s="760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760"/>
      <c r="M266" s="760"/>
      <c r="N266" s="760"/>
      <c r="O266" s="760"/>
      <c r="P266" s="760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760"/>
      <c r="M267" s="760"/>
      <c r="N267" s="760"/>
      <c r="O267" s="760"/>
      <c r="P267" s="760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760"/>
      <c r="M268" s="760"/>
      <c r="N268" s="760"/>
      <c r="O268" s="760"/>
      <c r="P268" s="760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760"/>
      <c r="M269" s="760"/>
      <c r="N269" s="760"/>
      <c r="O269" s="760"/>
      <c r="P269" s="760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760"/>
      <c r="M270" s="760"/>
      <c r="N270" s="760"/>
      <c r="O270" s="760"/>
      <c r="P270" s="760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760"/>
      <c r="M271" s="760"/>
      <c r="N271" s="760"/>
      <c r="O271" s="760"/>
      <c r="P271" s="760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760"/>
      <c r="M272" s="760"/>
      <c r="N272" s="760"/>
      <c r="O272" s="760"/>
      <c r="P272" s="760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760"/>
      <c r="M274" s="760"/>
      <c r="N274" s="760"/>
      <c r="O274" s="760"/>
      <c r="P274" s="760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760"/>
      <c r="M275" s="760"/>
      <c r="N275" s="760"/>
      <c r="O275" s="760"/>
      <c r="P275" s="760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760"/>
      <c r="M277" s="760"/>
      <c r="N277" s="760"/>
      <c r="O277" s="760"/>
      <c r="P277" s="760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760"/>
      <c r="M278" s="760"/>
      <c r="N278" s="760"/>
      <c r="O278" s="760"/>
      <c r="P278" s="760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760"/>
      <c r="M280" s="760"/>
      <c r="N280" s="760"/>
      <c r="O280" s="760"/>
      <c r="P280" s="760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760"/>
      <c r="M281" s="760"/>
      <c r="N281" s="760"/>
      <c r="O281" s="760"/>
      <c r="P281" s="760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760"/>
      <c r="M282" s="760"/>
      <c r="N282" s="760"/>
      <c r="O282" s="760"/>
      <c r="P282" s="760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760"/>
      <c r="M288" s="760"/>
      <c r="N288" s="760"/>
      <c r="O288" s="760"/>
      <c r="P288" s="760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760"/>
      <c r="M289" s="760"/>
      <c r="N289" s="760"/>
      <c r="O289" s="760"/>
      <c r="P289" s="760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760"/>
      <c r="M290" s="760"/>
      <c r="N290" s="760"/>
      <c r="O290" s="760"/>
      <c r="P290" s="760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760"/>
      <c r="M291" s="760"/>
      <c r="N291" s="760"/>
      <c r="O291" s="760"/>
      <c r="P291" s="760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760"/>
      <c r="M292" s="760"/>
      <c r="N292" s="760"/>
      <c r="O292" s="760"/>
      <c r="P292" s="760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760"/>
      <c r="M293" s="760"/>
      <c r="N293" s="760"/>
      <c r="O293" s="760"/>
      <c r="P293" s="760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760"/>
      <c r="M294" s="760"/>
      <c r="N294" s="760"/>
      <c r="O294" s="760"/>
      <c r="P294" s="760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760"/>
      <c r="M295" s="760"/>
      <c r="N295" s="760"/>
      <c r="O295" s="760"/>
      <c r="P295" s="760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760"/>
      <c r="M296" s="760"/>
      <c r="N296" s="760"/>
      <c r="O296" s="760"/>
      <c r="P296" s="760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760"/>
      <c r="M297" s="760"/>
      <c r="N297" s="760"/>
      <c r="O297" s="760"/>
      <c r="P297" s="760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760"/>
      <c r="M298" s="760"/>
      <c r="N298" s="760"/>
      <c r="O298" s="760"/>
      <c r="P298" s="760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760"/>
      <c r="B299" s="760"/>
      <c r="C299" s="814" t="s">
        <v>395</v>
      </c>
      <c r="D299" s="814"/>
      <c r="E299" s="755"/>
      <c r="F299" s="760"/>
      <c r="G299" s="760"/>
      <c r="H299" s="760"/>
      <c r="I299" s="760"/>
      <c r="J299" s="760"/>
      <c r="K299" s="760"/>
      <c r="L299" s="760"/>
      <c r="M299" s="760"/>
      <c r="N299" s="760"/>
      <c r="O299" s="760"/>
      <c r="P299" s="760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05" si="5">IFERROR(INDEX(H$100:H$300,MATCH(A300&amp;". koht",H$101:H$301,0)),"")</f>
        <v>Jaan Sepp, Oskar Sepp</v>
      </c>
      <c r="C300" s="755">
        <f>IF(16-A300&gt;0,16-A300,1)</f>
        <v>15</v>
      </c>
      <c r="D300" s="817"/>
      <c r="E300" s="817"/>
      <c r="F300" s="760"/>
      <c r="G300" s="760"/>
      <c r="H300" s="760"/>
      <c r="I300" s="760"/>
      <c r="J300" s="760"/>
      <c r="K300" s="760"/>
      <c r="L300" s="760"/>
      <c r="M300" s="760"/>
      <c r="N300" s="760"/>
      <c r="O300" s="760"/>
      <c r="P300" s="760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15">
        <v>2</v>
      </c>
      <c r="B301" s="816" t="str">
        <f t="shared" si="5"/>
        <v>Andres Veski, Kenneth Muusikus</v>
      </c>
      <c r="C301" s="755">
        <f t="shared" ref="C301:C305" si="6">IF(16-A301&gt;0,16-A301,1)</f>
        <v>14</v>
      </c>
      <c r="D301" s="817"/>
      <c r="E301" s="817"/>
      <c r="F301" s="760"/>
      <c r="G301" s="760"/>
      <c r="H301" s="760"/>
      <c r="I301" s="760"/>
      <c r="J301" s="760"/>
      <c r="K301" s="760"/>
      <c r="L301" s="760"/>
      <c r="M301" s="760"/>
      <c r="N301" s="760"/>
      <c r="O301" s="760"/>
      <c r="P301" s="760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15">
        <v>3</v>
      </c>
      <c r="B302" s="816" t="str">
        <f t="shared" si="5"/>
        <v>Elmo Lageda, Tõnu Piik</v>
      </c>
      <c r="C302" s="755">
        <f t="shared" si="6"/>
        <v>13</v>
      </c>
      <c r="D302" s="817"/>
      <c r="E302" s="817"/>
      <c r="F302" s="760"/>
      <c r="G302" s="760"/>
      <c r="H302" s="760"/>
      <c r="I302" s="760"/>
      <c r="J302" s="760"/>
      <c r="K302" s="760"/>
      <c r="L302" s="760"/>
      <c r="M302" s="760"/>
      <c r="N302" s="760"/>
      <c r="O302" s="760"/>
      <c r="P302" s="760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15">
        <v>4</v>
      </c>
      <c r="B303" s="816" t="str">
        <f t="shared" si="5"/>
        <v>Enn Tokman, Tarmo Bombe</v>
      </c>
      <c r="C303" s="755">
        <f t="shared" si="6"/>
        <v>12</v>
      </c>
      <c r="D303" s="817"/>
      <c r="E303" s="817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15">
        <v>5</v>
      </c>
      <c r="B304" s="816" t="str">
        <f t="shared" si="5"/>
        <v>Urmas Jõeäär, Meelis Luud</v>
      </c>
      <c r="C304" s="755">
        <f t="shared" si="6"/>
        <v>11</v>
      </c>
      <c r="D304" s="817"/>
      <c r="E304" s="817"/>
      <c r="F304" s="760"/>
      <c r="G304" s="760"/>
      <c r="H304" s="760"/>
      <c r="I304" s="760"/>
      <c r="J304" s="760"/>
      <c r="K304" s="760"/>
      <c r="L304" s="760"/>
      <c r="M304" s="760"/>
      <c r="N304" s="760"/>
      <c r="O304" s="760"/>
      <c r="P304" s="760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15">
        <v>6</v>
      </c>
      <c r="B305" s="816" t="str">
        <f t="shared" si="5"/>
        <v>Einar Juhkam, Fredi Müür</v>
      </c>
      <c r="C305" s="755">
        <f t="shared" si="6"/>
        <v>10</v>
      </c>
      <c r="D305" s="817"/>
      <c r="E305" s="817"/>
      <c r="F305" s="760"/>
      <c r="G305" s="760"/>
      <c r="H305" s="760"/>
      <c r="I305" s="760"/>
      <c r="J305" s="760"/>
      <c r="K305" s="760"/>
      <c r="L305" s="760"/>
      <c r="M305" s="760"/>
      <c r="N305" s="760"/>
      <c r="O305" s="760"/>
      <c r="P305" s="760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755"/>
      <c r="B306" s="818"/>
      <c r="C306" s="755"/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755"/>
      <c r="B307" s="755"/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</sheetData>
  <conditionalFormatting sqref="J10:J12">
    <cfRule type="expression" dxfId="3693" priority="39">
      <formula>FIND(2,J10,1)</formula>
    </cfRule>
    <cfRule type="expression" dxfId="3692" priority="40">
      <formula>FIND(1,J10,1)</formula>
    </cfRule>
  </conditionalFormatting>
  <conditionalFormatting sqref="D7 C8">
    <cfRule type="aboveAverage" dxfId="3691" priority="38"/>
  </conditionalFormatting>
  <conditionalFormatting sqref="E7 C9">
    <cfRule type="aboveAverage" dxfId="3690" priority="37"/>
  </conditionalFormatting>
  <conditionalFormatting sqref="F7 C10">
    <cfRule type="aboveAverage" dxfId="3689" priority="36"/>
  </conditionalFormatting>
  <conditionalFormatting sqref="E8 D9">
    <cfRule type="aboveAverage" dxfId="3688" priority="35"/>
  </conditionalFormatting>
  <conditionalFormatting sqref="G7 C11">
    <cfRule type="aboveAverage" dxfId="3687" priority="34"/>
  </conditionalFormatting>
  <conditionalFormatting sqref="F8 D10">
    <cfRule type="aboveAverage" dxfId="3686" priority="33"/>
  </conditionalFormatting>
  <conditionalFormatting sqref="G8 D11">
    <cfRule type="aboveAverage" dxfId="3685" priority="32"/>
  </conditionalFormatting>
  <conditionalFormatting sqref="F9 E10">
    <cfRule type="aboveAverage" dxfId="3684" priority="31"/>
  </conditionalFormatting>
  <conditionalFormatting sqref="G9 E11">
    <cfRule type="aboveAverage" dxfId="3683" priority="30"/>
  </conditionalFormatting>
  <conditionalFormatting sqref="F11 G10">
    <cfRule type="aboveAverage" dxfId="3682" priority="29"/>
  </conditionalFormatting>
  <conditionalFormatting sqref="I7:I12">
    <cfRule type="expression" dxfId="3681" priority="26">
      <formula>AND(#REF!=1,IF(COUNTIF(#REF!,"=1")&gt;=2,TRUE))</formula>
    </cfRule>
    <cfRule type="expression" dxfId="3680" priority="27">
      <formula>AND(#REF!=3,IF(COUNTIF(#REF!,"=3")&gt;=2,TRUE))</formula>
    </cfRule>
    <cfRule type="expression" dxfId="3679" priority="28">
      <formula>AND(#REF!=2,IF(COUNTIF(#REF!,"=2")&gt;=2,TRUE))</formula>
    </cfRule>
  </conditionalFormatting>
  <conditionalFormatting sqref="C69">
    <cfRule type="aboveAverage" dxfId="3678" priority="25"/>
  </conditionalFormatting>
  <conditionalFormatting sqref="D69">
    <cfRule type="aboveAverage" dxfId="3677" priority="24"/>
  </conditionalFormatting>
  <conditionalFormatting sqref="N21:N24">
    <cfRule type="duplicateValues" dxfId="3676" priority="23"/>
  </conditionalFormatting>
  <conditionalFormatting sqref="N26:N31">
    <cfRule type="duplicateValues" dxfId="3675" priority="22"/>
  </conditionalFormatting>
  <conditionalFormatting sqref="N15:N17 N19:N20">
    <cfRule type="duplicateValues" dxfId="3674" priority="41"/>
  </conditionalFormatting>
  <conditionalFormatting sqref="N5:N6 N13:N14">
    <cfRule type="duplicateValues" dxfId="3673" priority="42"/>
  </conditionalFormatting>
  <conditionalFormatting sqref="N49:N52">
    <cfRule type="duplicateValues" dxfId="3672" priority="19"/>
  </conditionalFormatting>
  <conditionalFormatting sqref="N54:N59">
    <cfRule type="duplicateValues" dxfId="3671" priority="18"/>
  </conditionalFormatting>
  <conditionalFormatting sqref="N43:N45 N47:N48">
    <cfRule type="duplicateValues" dxfId="3670" priority="20"/>
  </conditionalFormatting>
  <conditionalFormatting sqref="N38 N40:N42">
    <cfRule type="duplicateValues" dxfId="3669" priority="21"/>
  </conditionalFormatting>
  <conditionalFormatting sqref="B7:B12">
    <cfRule type="duplicateValues" dxfId="3668" priority="17"/>
  </conditionalFormatting>
  <conditionalFormatting sqref="H7 C12">
    <cfRule type="aboveAverage" dxfId="3667" priority="16"/>
  </conditionalFormatting>
  <conditionalFormatting sqref="H8 D12">
    <cfRule type="aboveAverage" dxfId="3666" priority="15"/>
  </conditionalFormatting>
  <conditionalFormatting sqref="E12 H9">
    <cfRule type="aboveAverage" dxfId="3665" priority="14"/>
  </conditionalFormatting>
  <conditionalFormatting sqref="H10 F12">
    <cfRule type="aboveAverage" dxfId="3664" priority="13"/>
  </conditionalFormatting>
  <conditionalFormatting sqref="H11 G12">
    <cfRule type="aboveAverage" dxfId="3663" priority="12"/>
  </conditionalFormatting>
  <conditionalFormatting sqref="B301:B307">
    <cfRule type="expression" dxfId="3662" priority="9">
      <formula>A301=3</formula>
    </cfRule>
    <cfRule type="expression" dxfId="3661" priority="10">
      <formula>A301=2</formula>
    </cfRule>
    <cfRule type="expression" dxfId="3660" priority="11">
      <formula>A301=1</formula>
    </cfRule>
    <cfRule type="containsBlanks" dxfId="3659" priority="43">
      <formula>LEN(TRIM(B301))=0</formula>
    </cfRule>
    <cfRule type="duplicateValues" dxfId="3658" priority="44"/>
  </conditionalFormatting>
  <conditionalFormatting sqref="B300">
    <cfRule type="expression" dxfId="3657" priority="4">
      <formula>A300=3</formula>
    </cfRule>
    <cfRule type="expression" dxfId="3656" priority="5">
      <formula>A300=2</formula>
    </cfRule>
    <cfRule type="expression" dxfId="3655" priority="6">
      <formula>A300=1</formula>
    </cfRule>
    <cfRule type="containsBlanks" dxfId="3654" priority="7">
      <formula>LEN(TRIM(B300))=0</formula>
    </cfRule>
    <cfRule type="duplicateValues" dxfId="3653" priority="8"/>
  </conditionalFormatting>
  <conditionalFormatting sqref="T7:T12 X7:X12 Z7:Z12">
    <cfRule type="expression" dxfId="3652" priority="270">
      <formula>AND(S7="",COUNTIF(T7,"*,*")=0)</formula>
    </cfRule>
  </conditionalFormatting>
  <conditionalFormatting sqref="V7:V12">
    <cfRule type="expression" dxfId="3651" priority="271">
      <formula>AND(U7="",FIND(",",V7))</formula>
    </cfRule>
    <cfRule type="expression" dxfId="3650" priority="272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portrait" verticalDpi="0" r:id="rId1"/>
  <headerFooter>
    <oddHeader>&amp;R&amp;9Page &amp;P of &amp;N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16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3.2851562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7" width="9.140625" style="1"/>
    <col min="18" max="18" width="7.7109375" style="1" hidden="1" customWidth="1"/>
    <col min="19" max="19" width="6" style="1" hidden="1" customWidth="1"/>
    <col min="20" max="20" width="18.28515625" style="1" hidden="1" customWidth="1"/>
    <col min="21" max="21" width="6" style="1" hidden="1" customWidth="1"/>
    <col min="22" max="22" width="18.7109375" style="1" hidden="1" customWidth="1"/>
    <col min="23" max="23" width="9.140625" style="1" hidden="1" customWidth="1"/>
    <col min="24" max="24" width="17.28515625" style="1" hidden="1" customWidth="1"/>
    <col min="25" max="25" width="9.140625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UPPER((Kalend!E6)&amp;" - "&amp;(Kalend!C6)&amp;" - "&amp;(Kalend!D6))</f>
        <v>V2 - VOKA 2. SISE-KV 2.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Q1" s="755"/>
      <c r="R1" s="622" t="s">
        <v>233</v>
      </c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"&amp;(Kalend!A6)&amp;" kell "&amp;(Kalend!B6)</f>
        <v>Toimumisaeg: P, 28.10.2018 kell 11:30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"&amp;(Kalend!F6)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Q3" s="757"/>
      <c r="R3" s="889" t="s">
        <v>444</v>
      </c>
      <c r="S3" s="757"/>
      <c r="T3" s="757"/>
      <c r="U3" s="757"/>
      <c r="V3" s="757"/>
      <c r="W3" s="757"/>
      <c r="X3" s="757"/>
      <c r="Y3" s="757"/>
      <c r="Z3" s="757"/>
      <c r="AA3" s="757"/>
    </row>
    <row r="4" spans="1:27" x14ac:dyDescent="0.2">
      <c r="A4" s="757" t="str">
        <f>"Korraldaja: "&amp;(Kalend!G6)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61" t="s">
        <v>49</v>
      </c>
      <c r="S4" s="757"/>
      <c r="T4" s="916"/>
      <c r="U4" s="757"/>
      <c r="V4" s="916"/>
      <c r="W4" s="757"/>
      <c r="X4" s="916"/>
      <c r="Y4" s="757"/>
      <c r="Z4" s="916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358</v>
      </c>
      <c r="S5" s="913"/>
      <c r="T5" s="762" t="s">
        <v>359</v>
      </c>
      <c r="U5" s="913"/>
      <c r="V5" s="763" t="s">
        <v>360</v>
      </c>
      <c r="W5" s="913"/>
      <c r="X5" s="762" t="s">
        <v>361</v>
      </c>
      <c r="Y5" s="915"/>
      <c r="Z5" s="762" t="s">
        <v>362</v>
      </c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366</v>
      </c>
      <c r="S6" s="880"/>
      <c r="T6" s="772"/>
      <c r="U6" s="880"/>
      <c r="V6" s="772"/>
      <c r="W6" s="211"/>
      <c r="X6" s="774"/>
      <c r="Y6" s="211"/>
      <c r="Z6" s="774"/>
      <c r="AA6" s="212"/>
    </row>
    <row r="7" spans="1:27" x14ac:dyDescent="0.2">
      <c r="A7" s="765">
        <v>1</v>
      </c>
      <c r="B7" s="820" t="s">
        <v>369</v>
      </c>
      <c r="C7" s="776"/>
      <c r="D7" s="788">
        <v>4</v>
      </c>
      <c r="E7" s="788">
        <v>13</v>
      </c>
      <c r="F7" s="778"/>
      <c r="G7" s="778"/>
      <c r="H7" s="796" t="str">
        <f>(IF(D7-C8&gt;0,1)+IF(E7-C9&gt;0,1)+IF(F7-C10&gt;0,1)+IF(G7-C11&gt;0,1))&amp;"-"&amp;(IF(D7-C8&lt;0,1)+IF(E7-C9&lt;0,1)+IF(F7-C10&lt;0,1)+IF(G7-C11&lt;0,1))</f>
        <v>1-1</v>
      </c>
      <c r="I7" s="778" t="str">
        <f>IF(AND(B7&lt;&gt;"",M$6=TRUE),A$6&amp;RANK(M7,M$7:M$11,0),"")</f>
        <v>A3</v>
      </c>
      <c r="J7" s="821">
        <f>VALUE(LEFT(H7,1))</f>
        <v>1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1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-6</v>
      </c>
      <c r="M7" s="824">
        <f>10000*J7+K7*100+L7</f>
        <v>10094</v>
      </c>
      <c r="N7" s="212"/>
      <c r="O7" s="212"/>
      <c r="P7" s="212"/>
      <c r="Q7" s="212"/>
      <c r="R7" s="764">
        <f t="shared" ref="R7:R38" si="0">SUM(S7:AB7)</f>
        <v>164</v>
      </c>
      <c r="S7" s="914">
        <f>IFERROR(INDEX(V!$R:$R,MATCH(T7,V!$L:$L,0)),"")</f>
        <v>88</v>
      </c>
      <c r="T7" s="783" t="str">
        <f t="shared" ref="T7:T60" si="1">IFERROR(LEFT($B7,(FIND(",",$B7,1)-1)),"")</f>
        <v>Enn Tokman</v>
      </c>
      <c r="U7" s="914">
        <f>IFERROR(INDEX(V!$R:$R,MATCH(V7,V!$L:$L,0)),"")</f>
        <v>76</v>
      </c>
      <c r="V7" s="783" t="str">
        <f t="shared" ref="V7:V60" si="2">IFERROR(MID($B7,FIND(", ",$B7)+2,256),"")</f>
        <v>Tarmo Bombe</v>
      </c>
      <c r="W7" s="914" t="str">
        <f>IFERROR(INDEX(V!$R:$R,MATCH(X7,V!$L:$L,0)),"")</f>
        <v/>
      </c>
      <c r="X7" s="785" t="str">
        <f t="shared" ref="X7:X60" si="3">IFERROR(MID($B7,FIND("^",SUBSTITUTE($B7,", ","^",1))+2,FIND("^",SUBSTITUTE($B7,", ","^",2))-FIND("^",SUBSTITUTE($B7,", ","^",1))-2),"")</f>
        <v/>
      </c>
      <c r="Y7" s="914" t="str">
        <f>IFERROR(INDEX(V!$R:$R,MATCH(Z7,V!$L:$L,0)),"")</f>
        <v/>
      </c>
      <c r="Z7" s="785" t="str">
        <f t="shared" ref="Z7:Z60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396</v>
      </c>
      <c r="C8" s="788">
        <v>13</v>
      </c>
      <c r="D8" s="776"/>
      <c r="E8" s="788">
        <v>9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1-1</v>
      </c>
      <c r="I8" s="778" t="str">
        <f>IF(AND(B8&lt;&gt;"",M$6=TRUE),A$6&amp;RANK(M8,M$7:M$11,0),"")</f>
        <v>A1</v>
      </c>
      <c r="J8" s="821">
        <f t="shared" ref="J8:J11" si="5">VALUE(LEFT(H8,1))</f>
        <v>1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1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5</v>
      </c>
      <c r="M8" s="824">
        <f t="shared" ref="M8:M11" si="6">10000*J8+K8*100+L8</f>
        <v>10105</v>
      </c>
      <c r="N8" s="212"/>
      <c r="O8" s="212"/>
      <c r="P8" s="212"/>
      <c r="Q8" s="212"/>
      <c r="R8" s="764">
        <f t="shared" si="0"/>
        <v>164.5</v>
      </c>
      <c r="S8" s="914">
        <f>IFERROR(INDEX(V!$R:$R,MATCH(T8,V!$L:$L,0)),"")</f>
        <v>57</v>
      </c>
      <c r="T8" s="783" t="str">
        <f t="shared" si="1"/>
        <v>Tõnu Kapper</v>
      </c>
      <c r="U8" s="914">
        <f>IFERROR(INDEX(V!$R:$R,MATCH(V8,V!$L:$L,0)),"")</f>
        <v>107.5</v>
      </c>
      <c r="V8" s="783" t="str">
        <f t="shared" si="2"/>
        <v>Vladimir Ogneštšikov</v>
      </c>
      <c r="W8" s="914" t="str">
        <f>IFERROR(INDEX(V!$R:$R,MATCH(X8,V!$L:$L,0)),"")</f>
        <v/>
      </c>
      <c r="X8" s="785" t="str">
        <f t="shared" si="3"/>
        <v/>
      </c>
      <c r="Y8" s="91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397</v>
      </c>
      <c r="C9" s="788">
        <v>10</v>
      </c>
      <c r="D9" s="826">
        <v>13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1-1</v>
      </c>
      <c r="I9" s="778" t="str">
        <f>IF(AND(B9&lt;&gt;"",M$6=TRUE),A$6&amp;RANK(M9,M$7:M$11,0),"")</f>
        <v>A2</v>
      </c>
      <c r="J9" s="821">
        <f t="shared" si="5"/>
        <v>1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1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1</v>
      </c>
      <c r="M9" s="824">
        <f t="shared" si="6"/>
        <v>10101</v>
      </c>
      <c r="N9" s="212"/>
      <c r="O9" s="212"/>
      <c r="P9" s="212"/>
      <c r="Q9" s="212"/>
      <c r="R9" s="764">
        <f t="shared" si="0"/>
        <v>143</v>
      </c>
      <c r="S9" s="914">
        <f>IFERROR(INDEX(V!$R:$R,MATCH(T9,V!$L:$L,0)),"")</f>
        <v>37.5</v>
      </c>
      <c r="T9" s="783" t="str">
        <f t="shared" si="1"/>
        <v>Boriss Klubov</v>
      </c>
      <c r="U9" s="914">
        <f>IFERROR(INDEX(V!$R:$R,MATCH(V9,V!$L:$L,0)),"")</f>
        <v>105.5</v>
      </c>
      <c r="V9" s="783" t="str">
        <f t="shared" si="2"/>
        <v>Mait Metsla</v>
      </c>
      <c r="W9" s="914" t="str">
        <f>IFERROR(INDEX(V!$R:$R,MATCH(X9,V!$L:$L,0)),"")</f>
        <v/>
      </c>
      <c r="X9" s="785" t="str">
        <f t="shared" si="3"/>
        <v/>
      </c>
      <c r="Y9" s="914" t="str">
        <f>IFERROR(INDEX(V!$R:$R,MATCH(Z9,V!$L:$L,0)),"")</f>
        <v/>
      </c>
      <c r="Z9" s="785" t="str">
        <f t="shared" si="4"/>
        <v/>
      </c>
      <c r="AA9" s="212"/>
    </row>
    <row r="10" spans="1:27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5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6"/>
        <v>0</v>
      </c>
      <c r="N10" s="212"/>
      <c r="O10" s="212"/>
      <c r="P10" s="212"/>
      <c r="Q10" s="212"/>
      <c r="R10" s="764">
        <f t="shared" si="0"/>
        <v>0</v>
      </c>
      <c r="S10" s="914" t="str">
        <f>IFERROR(INDEX(V!$R:$R,MATCH(T10,V!$L:$L,0)),"")</f>
        <v/>
      </c>
      <c r="T10" s="783" t="str">
        <f t="shared" si="1"/>
        <v/>
      </c>
      <c r="U10" s="914" t="str">
        <f>IFERROR(INDEX(V!$R:$R,MATCH(V10,V!$L:$L,0)),"")</f>
        <v/>
      </c>
      <c r="V10" s="783" t="str">
        <f t="shared" si="2"/>
        <v/>
      </c>
      <c r="W10" s="914" t="str">
        <f>IFERROR(INDEX(V!$R:$R,MATCH(X10,V!$L:$L,0)),"")</f>
        <v/>
      </c>
      <c r="X10" s="785" t="str">
        <f t="shared" si="3"/>
        <v/>
      </c>
      <c r="Y10" s="914" t="str">
        <f>IFERROR(INDEX(V!$R:$R,MATCH(Z10,V!$L:$L,0)),"")</f>
        <v/>
      </c>
      <c r="Z10" s="785" t="str">
        <f t="shared" si="4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5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6"/>
        <v>0</v>
      </c>
      <c r="O11" s="212"/>
      <c r="P11" s="212"/>
      <c r="Q11" s="212"/>
      <c r="R11" s="764">
        <f t="shared" si="0"/>
        <v>0</v>
      </c>
      <c r="S11" s="914" t="str">
        <f>IFERROR(INDEX(V!$R:$R,MATCH(T11,V!$L:$L,0)),"")</f>
        <v/>
      </c>
      <c r="T11" s="783" t="str">
        <f t="shared" si="1"/>
        <v/>
      </c>
      <c r="U11" s="914" t="str">
        <f>IFERROR(INDEX(V!$R:$R,MATCH(V11,V!$L:$L,0)),"")</f>
        <v/>
      </c>
      <c r="V11" s="783" t="str">
        <f t="shared" si="2"/>
        <v/>
      </c>
      <c r="W11" s="914" t="str">
        <f>IFERROR(INDEX(V!$R:$R,MATCH(X11,V!$L:$L,0)),"")</f>
        <v/>
      </c>
      <c r="X11" s="785" t="str">
        <f t="shared" si="3"/>
        <v/>
      </c>
      <c r="Y11" s="91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0"/>
        <v>0</v>
      </c>
      <c r="S12" s="914" t="str">
        <f>IFERROR(INDEX(V!$R:$R,MATCH(T12,V!$L:$L,0)),"")</f>
        <v/>
      </c>
      <c r="T12" s="783" t="str">
        <f t="shared" si="1"/>
        <v/>
      </c>
      <c r="U12" s="914" t="str">
        <f>IFERROR(INDEX(V!$R:$R,MATCH(V12,V!$L:$L,0)),"")</f>
        <v/>
      </c>
      <c r="V12" s="783" t="str">
        <f t="shared" si="2"/>
        <v/>
      </c>
      <c r="W12" s="914" t="str">
        <f>IFERROR(INDEX(V!$R:$R,MATCH(X12,V!$L:$L,0)),"")</f>
        <v/>
      </c>
      <c r="X12" s="785" t="str">
        <f t="shared" si="3"/>
        <v/>
      </c>
      <c r="Y12" s="91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>
        <v>4</v>
      </c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64">
        <f t="shared" si="0"/>
        <v>0</v>
      </c>
      <c r="S13" s="914" t="str">
        <f>IFERROR(INDEX(V!$R:$R,MATCH(T13,V!$L:$L,0)),"")</f>
        <v/>
      </c>
      <c r="T13" s="783" t="str">
        <f t="shared" si="1"/>
        <v/>
      </c>
      <c r="U13" s="914" t="str">
        <f>IFERROR(INDEX(V!$R:$R,MATCH(V13,V!$L:$L,0)),"")</f>
        <v/>
      </c>
      <c r="V13" s="783" t="str">
        <f t="shared" si="2"/>
        <v/>
      </c>
      <c r="W13" s="914" t="str">
        <f>IFERROR(INDEX(V!$R:$R,MATCH(X13,V!$L:$L,0)),"")</f>
        <v/>
      </c>
      <c r="X13" s="785" t="str">
        <f t="shared" si="3"/>
        <v/>
      </c>
      <c r="Y13" s="91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65">
        <v>1</v>
      </c>
      <c r="B14" s="820" t="s">
        <v>398</v>
      </c>
      <c r="C14" s="776"/>
      <c r="D14" s="778">
        <v>13</v>
      </c>
      <c r="E14" s="778">
        <v>13</v>
      </c>
      <c r="F14" s="778">
        <v>4</v>
      </c>
      <c r="G14" s="778"/>
      <c r="H14" s="796" t="str">
        <f>(IF(D14-C15&gt;0,1)+IF(E14-C16&gt;0,1)+IF(F14-C17&gt;0,1)+IF(G14-C18&gt;0,1))&amp;"-"&amp;(IF(D14-C15&lt;0,1)+IF(E14-C16&lt;0,1)+IF(F14-C17&lt;0,1)+IF(G14-C18&lt;0,1))</f>
        <v>2-1</v>
      </c>
      <c r="I14" s="778" t="str">
        <f>IF(AND(B14&lt;&gt;"",M$13=TRUE),A$13&amp;RANK(M14,M$14:M$18,0),"")</f>
        <v>B2</v>
      </c>
      <c r="J14" s="821">
        <f>VALUE(LEFT(H14,1))</f>
        <v>2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0</v>
      </c>
      <c r="L14" s="823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0</v>
      </c>
      <c r="M14" s="824">
        <f>10000*J14+K14*100+L14</f>
        <v>20000</v>
      </c>
      <c r="O14" s="770"/>
      <c r="P14" s="770"/>
      <c r="Q14" s="770"/>
      <c r="R14" s="764">
        <f t="shared" si="0"/>
        <v>173.5</v>
      </c>
      <c r="S14" s="914">
        <f>IFERROR(INDEX(V!$R:$R,MATCH(T14,V!$L:$L,0)),"")</f>
        <v>125</v>
      </c>
      <c r="T14" s="783" t="str">
        <f t="shared" si="1"/>
        <v>Meelis Luud</v>
      </c>
      <c r="U14" s="914">
        <f>IFERROR(INDEX(V!$R:$R,MATCH(V14,V!$L:$L,0)),"")</f>
        <v>48.5</v>
      </c>
      <c r="V14" s="783" t="str">
        <f t="shared" si="2"/>
        <v>Urmas Jõeäär</v>
      </c>
      <c r="W14" s="914" t="str">
        <f>IFERROR(INDEX(V!$R:$R,MATCH(X14,V!$L:$L,0)),"")</f>
        <v/>
      </c>
      <c r="X14" s="785" t="str">
        <f t="shared" si="3"/>
        <v/>
      </c>
      <c r="Y14" s="914" t="str">
        <f>IFERROR(INDEX(V!$R:$R,MATCH(Z14,V!$L:$L,0)),"")</f>
        <v/>
      </c>
      <c r="Z14" s="785" t="str">
        <f t="shared" si="4"/>
        <v/>
      </c>
      <c r="AA14" s="757"/>
    </row>
    <row r="15" spans="1:27" x14ac:dyDescent="0.2">
      <c r="A15" s="765">
        <v>2</v>
      </c>
      <c r="B15" s="775" t="s">
        <v>399</v>
      </c>
      <c r="C15" s="778">
        <v>8</v>
      </c>
      <c r="D15" s="776"/>
      <c r="E15" s="778">
        <v>8</v>
      </c>
      <c r="F15" s="778">
        <v>5</v>
      </c>
      <c r="G15" s="778"/>
      <c r="H15" s="796" t="str">
        <f>(IF(C15-D14&gt;0,1)+IF(E15-D16&gt;0,1)+IF(F15-D17&gt;0,1)+IF(G15-D18&gt;0,1))&amp;"-"&amp;(IF(C15-D14&lt;0,1)+IF(E15-D16&lt;0,1)+IF(F15-D17&lt;0,1)+IF(G15-D18&lt;0,1))</f>
        <v>0-3</v>
      </c>
      <c r="I15" s="778" t="str">
        <f>IF(AND(B15&lt;&gt;"",M$13=TRUE),A$13&amp;RANK(M15,M$14:M$18,0),"")</f>
        <v>B4</v>
      </c>
      <c r="J15" s="821">
        <f t="shared" ref="J15:J18" si="7">VALUE(LEFT(H15,1))</f>
        <v>0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0</v>
      </c>
      <c r="L15" s="837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0</v>
      </c>
      <c r="M15" s="824">
        <f t="shared" ref="M15:M18" si="8">10000*J15+K15*100+L15</f>
        <v>0</v>
      </c>
      <c r="O15" s="770"/>
      <c r="P15" s="770"/>
      <c r="Q15" s="770"/>
      <c r="R15" s="764">
        <f t="shared" si="0"/>
        <v>200</v>
      </c>
      <c r="S15" s="914">
        <f>IFERROR(INDEX(V!$R:$R,MATCH(T15,V!$L:$L,0)),"")</f>
        <v>123.5</v>
      </c>
      <c r="T15" s="783" t="str">
        <f t="shared" si="1"/>
        <v>Karla Purgats</v>
      </c>
      <c r="U15" s="914">
        <f>IFERROR(INDEX(V!$R:$R,MATCH(V15,V!$L:$L,0)),"")</f>
        <v>76.5</v>
      </c>
      <c r="V15" s="783" t="str">
        <f t="shared" si="2"/>
        <v>Lemmit Toomra</v>
      </c>
      <c r="W15" s="914" t="str">
        <f>IFERROR(INDEX(V!$R:$R,MATCH(X15,V!$L:$L,0)),"")</f>
        <v/>
      </c>
      <c r="X15" s="785" t="str">
        <f t="shared" si="3"/>
        <v/>
      </c>
      <c r="Y15" s="914" t="str">
        <f>IFERROR(INDEX(V!$R:$R,MATCH(Z15,V!$L:$L,0)),"")</f>
        <v/>
      </c>
      <c r="Z15" s="785" t="str">
        <f t="shared" si="4"/>
        <v/>
      </c>
      <c r="AA15" s="757"/>
    </row>
    <row r="16" spans="1:27" x14ac:dyDescent="0.2">
      <c r="A16" s="765">
        <v>3</v>
      </c>
      <c r="B16" s="775" t="s">
        <v>400</v>
      </c>
      <c r="C16" s="778">
        <v>7</v>
      </c>
      <c r="D16" s="787">
        <v>13</v>
      </c>
      <c r="E16" s="776"/>
      <c r="F16" s="778">
        <v>9</v>
      </c>
      <c r="G16" s="778"/>
      <c r="H16" s="796" t="str">
        <f>(IF(C16-E14&gt;0,1)+IF(D16-E15&gt;0,1)+IF(F16-E17&gt;0,1)+IF(G16-E18&gt;0,1))&amp;"-"&amp;(IF(C16-E14&lt;0,1)+IF(D16-E15&lt;0,1)+IF(F16-E17&lt;0,1)+IF(G16-E18&lt;0,1))</f>
        <v>1-2</v>
      </c>
      <c r="I16" s="778" t="str">
        <f>IF(AND(B16&lt;&gt;"",M$13=TRUE),A$13&amp;RANK(M16,M$14:M$18,0),"")</f>
        <v>B3</v>
      </c>
      <c r="J16" s="821">
        <f t="shared" si="7"/>
        <v>1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37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8"/>
        <v>10000</v>
      </c>
      <c r="O16" s="770"/>
      <c r="P16" s="770"/>
      <c r="Q16" s="770"/>
      <c r="R16" s="764">
        <f t="shared" si="0"/>
        <v>225</v>
      </c>
      <c r="S16" s="914">
        <f>IFERROR(INDEX(V!$R:$R,MATCH(T16,V!$L:$L,0)),"")</f>
        <v>94</v>
      </c>
      <c r="T16" s="783" t="str">
        <f t="shared" si="1"/>
        <v>Johannes Neiland</v>
      </c>
      <c r="U16" s="914">
        <f>IFERROR(INDEX(V!$R:$R,MATCH(V16,V!$L:$L,0)),"")</f>
        <v>131</v>
      </c>
      <c r="V16" s="783" t="str">
        <f t="shared" si="2"/>
        <v>Kenneth Muusikus</v>
      </c>
      <c r="W16" s="914" t="str">
        <f>IFERROR(INDEX(V!$R:$R,MATCH(X16,V!$L:$L,0)),"")</f>
        <v/>
      </c>
      <c r="X16" s="785" t="str">
        <f t="shared" si="3"/>
        <v/>
      </c>
      <c r="Y16" s="914" t="str">
        <f>IFERROR(INDEX(V!$R:$R,MATCH(Z16,V!$L:$L,0)),"")</f>
        <v/>
      </c>
      <c r="Z16" s="785" t="str">
        <f t="shared" si="4"/>
        <v/>
      </c>
      <c r="AA16" s="757"/>
    </row>
    <row r="17" spans="1:27" x14ac:dyDescent="0.2">
      <c r="A17" s="765">
        <v>4</v>
      </c>
      <c r="B17" s="792" t="s">
        <v>401</v>
      </c>
      <c r="C17" s="778">
        <v>13</v>
      </c>
      <c r="D17" s="787">
        <v>13</v>
      </c>
      <c r="E17" s="778">
        <v>13</v>
      </c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3-0</v>
      </c>
      <c r="I17" s="778" t="str">
        <f>IF(AND(B17&lt;&gt;"",M$13=TRUE),A$13&amp;RANK(M17,M$14:M$18,0),"")</f>
        <v>B1</v>
      </c>
      <c r="J17" s="821">
        <f t="shared" si="7"/>
        <v>3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8"/>
        <v>30000</v>
      </c>
      <c r="O17" s="770"/>
      <c r="P17" s="770"/>
      <c r="Q17" s="770"/>
      <c r="R17" s="764">
        <f t="shared" si="0"/>
        <v>82</v>
      </c>
      <c r="S17" s="914">
        <f>IFERROR(INDEX(V!$R:$R,MATCH(T17,V!$L:$L,0)),"")</f>
        <v>15.5</v>
      </c>
      <c r="T17" s="783" t="str">
        <f t="shared" si="1"/>
        <v>Oksana Rõndenkova</v>
      </c>
      <c r="U17" s="914">
        <f>IFERROR(INDEX(V!$R:$R,MATCH(V17,V!$L:$L,0)),"")</f>
        <v>66.5</v>
      </c>
      <c r="V17" s="783" t="str">
        <f t="shared" si="2"/>
        <v>Oleg Rõndenkov</v>
      </c>
      <c r="W17" s="914" t="str">
        <f>IFERROR(INDEX(V!$R:$R,MATCH(X17,V!$L:$L,0)),"")</f>
        <v/>
      </c>
      <c r="X17" s="785" t="str">
        <f t="shared" si="3"/>
        <v/>
      </c>
      <c r="Y17" s="914" t="str">
        <f>IFERROR(INDEX(V!$R:$R,MATCH(Z17,V!$L:$L,0)),"")</f>
        <v/>
      </c>
      <c r="Z17" s="785" t="str">
        <f t="shared" si="4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IF(AND(B18&lt;&gt;"",M$13=TRUE),A$13&amp;RANK(M18,M$14:M$18,0),"")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0"/>
        <v>0</v>
      </c>
      <c r="S18" s="914" t="str">
        <f>IFERROR(INDEX(V!$R:$R,MATCH(T18,V!$L:$L,0)),"")</f>
        <v/>
      </c>
      <c r="T18" s="783" t="str">
        <f t="shared" si="1"/>
        <v/>
      </c>
      <c r="U18" s="914" t="str">
        <f>IFERROR(INDEX(V!$R:$R,MATCH(V18,V!$L:$L,0)),"")</f>
        <v/>
      </c>
      <c r="V18" s="783" t="str">
        <f t="shared" si="2"/>
        <v/>
      </c>
      <c r="W18" s="914" t="str">
        <f>IFERROR(INDEX(V!$R:$R,MATCH(X18,V!$L:$L,0)),"")</f>
        <v/>
      </c>
      <c r="X18" s="785" t="str">
        <f t="shared" si="3"/>
        <v/>
      </c>
      <c r="Y18" s="914" t="str">
        <f>IFERROR(INDEX(V!$R:$R,MATCH(Z18,V!$L:$L,0)),"")</f>
        <v/>
      </c>
      <c r="Z18" s="785" t="str">
        <f t="shared" si="4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0"/>
        <v>0</v>
      </c>
      <c r="S19" s="914" t="str">
        <f>IFERROR(INDEX(V!$R:$R,MATCH(T19,V!$L:$L,0)),"")</f>
        <v/>
      </c>
      <c r="T19" s="783" t="str">
        <f t="shared" si="1"/>
        <v/>
      </c>
      <c r="U19" s="914" t="str">
        <f>IFERROR(INDEX(V!$R:$R,MATCH(V19,V!$L:$L,0)),"")</f>
        <v/>
      </c>
      <c r="V19" s="783" t="str">
        <f t="shared" si="2"/>
        <v/>
      </c>
      <c r="W19" s="914" t="str">
        <f>IFERROR(INDEX(V!$R:$R,MATCH(X19,V!$L:$L,0)),"")</f>
        <v/>
      </c>
      <c r="X19" s="785" t="str">
        <f t="shared" si="3"/>
        <v/>
      </c>
      <c r="Y19" s="914" t="str">
        <f>IFERROR(INDEX(V!$R:$R,MATCH(Z19,V!$L:$L,0)),"")</f>
        <v/>
      </c>
      <c r="Z19" s="785" t="str">
        <f t="shared" si="4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>
        <v>4</v>
      </c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0"/>
        <v>0</v>
      </c>
      <c r="S20" s="914" t="str">
        <f>IFERROR(INDEX(V!$R:$R,MATCH(T20,V!$L:$L,0)),"")</f>
        <v/>
      </c>
      <c r="T20" s="783" t="str">
        <f t="shared" si="1"/>
        <v/>
      </c>
      <c r="U20" s="914" t="str">
        <f>IFERROR(INDEX(V!$R:$R,MATCH(V20,V!$L:$L,0)),"")</f>
        <v/>
      </c>
      <c r="V20" s="783" t="str">
        <f t="shared" si="2"/>
        <v/>
      </c>
      <c r="W20" s="914" t="str">
        <f>IFERROR(INDEX(V!$R:$R,MATCH(X20,V!$L:$L,0)),"")</f>
        <v/>
      </c>
      <c r="X20" s="785" t="str">
        <f t="shared" si="3"/>
        <v/>
      </c>
      <c r="Y20" s="914" t="str">
        <f>IFERROR(INDEX(V!$R:$R,MATCH(Z20,V!$L:$L,0)),"")</f>
        <v/>
      </c>
      <c r="Z20" s="785" t="str">
        <f t="shared" si="4"/>
        <v/>
      </c>
      <c r="AA20" s="755"/>
    </row>
    <row r="21" spans="1:27" x14ac:dyDescent="0.2">
      <c r="A21" s="765">
        <v>1</v>
      </c>
      <c r="B21" s="820" t="s">
        <v>370</v>
      </c>
      <c r="C21" s="776"/>
      <c r="D21" s="778">
        <v>10</v>
      </c>
      <c r="E21" s="778">
        <v>13</v>
      </c>
      <c r="F21" s="778">
        <v>8</v>
      </c>
      <c r="G21" s="778"/>
      <c r="H21" s="796" t="str">
        <f>(IF(D21-C22&gt;0,1)+IF(E21-C23&gt;0,1)+IF(F21-C24&gt;0,1)+IF(G21-C25&gt;0,1))&amp;"-"&amp;(IF(D21-C22&lt;0,1)+IF(E21-C23&lt;0,1)+IF(F21-C24&lt;0,1)+IF(G21-C25&lt;0,1))</f>
        <v>1-2</v>
      </c>
      <c r="I21" s="778" t="str">
        <f>IF(AND(B21&lt;&gt;"",M$20=TRUE),A$20&amp;RANK(M21,M$21:M$25,0),"")</f>
        <v>C3</v>
      </c>
      <c r="J21" s="821">
        <f>VALUE(LEFT(H21,1))</f>
        <v>1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0</v>
      </c>
      <c r="M21" s="824">
        <f>10000*J21+K21*100+L21</f>
        <v>10000</v>
      </c>
      <c r="O21" s="770"/>
      <c r="P21" s="770"/>
      <c r="Q21" s="770"/>
      <c r="R21" s="764">
        <f t="shared" si="0"/>
        <v>240</v>
      </c>
      <c r="S21" s="914">
        <f>IFERROR(INDEX(V!$R:$R,MATCH(T21,V!$L:$L,0)),"")</f>
        <v>117</v>
      </c>
      <c r="T21" s="783" t="str">
        <f t="shared" si="1"/>
        <v>Elmo Lageda</v>
      </c>
      <c r="U21" s="914">
        <f>IFERROR(INDEX(V!$R:$R,MATCH(V21,V!$L:$L,0)),"")</f>
        <v>123</v>
      </c>
      <c r="V21" s="783" t="str">
        <f t="shared" si="2"/>
        <v>Tõnu Piik</v>
      </c>
      <c r="W21" s="914" t="str">
        <f>IFERROR(INDEX(V!$R:$R,MATCH(X21,V!$L:$L,0)),"")</f>
        <v/>
      </c>
      <c r="X21" s="785" t="str">
        <f t="shared" si="3"/>
        <v/>
      </c>
      <c r="Y21" s="914" t="str">
        <f>IFERROR(INDEX(V!$R:$R,MATCH(Z21,V!$L:$L,0)),"")</f>
        <v/>
      </c>
      <c r="Z21" s="785" t="str">
        <f t="shared" si="4"/>
        <v/>
      </c>
      <c r="AA21" s="757"/>
    </row>
    <row r="22" spans="1:27" x14ac:dyDescent="0.2">
      <c r="A22" s="765">
        <v>2</v>
      </c>
      <c r="B22" s="775" t="s">
        <v>402</v>
      </c>
      <c r="C22" s="778">
        <v>13</v>
      </c>
      <c r="D22" s="776"/>
      <c r="E22" s="778">
        <v>13</v>
      </c>
      <c r="F22" s="778">
        <v>11</v>
      </c>
      <c r="G22" s="778"/>
      <c r="H22" s="796" t="str">
        <f>(IF(C22-D21&gt;0,1)+IF(E22-D23&gt;0,1)+IF(F22-D24&gt;0,1)+IF(G22-D25&gt;0,1))&amp;"-"&amp;(IF(C22-D21&lt;0,1)+IF(E22-D23&lt;0,1)+IF(F22-D24&lt;0,1)+IF(G22-D25&lt;0,1))</f>
        <v>2-1</v>
      </c>
      <c r="I22" s="778" t="str">
        <f>IF(AND(B22&lt;&gt;"",M$20=TRUE),A$20&amp;RANK(M22,M$21:M$25,0),"")</f>
        <v>C2</v>
      </c>
      <c r="J22" s="821">
        <f t="shared" ref="J22:J25" si="9">VALUE(LEFT(H22,1))</f>
        <v>2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0</v>
      </c>
      <c r="M22" s="824">
        <f t="shared" ref="M22:M25" si="10">10000*J22+K22*100+L22</f>
        <v>20000</v>
      </c>
      <c r="O22" s="770"/>
      <c r="P22" s="770"/>
      <c r="Q22" s="770"/>
      <c r="R22" s="764">
        <f t="shared" si="0"/>
        <v>93</v>
      </c>
      <c r="S22" s="914">
        <f>IFERROR(INDEX(V!$R:$R,MATCH(T22,V!$L:$L,0)),"")</f>
        <v>48</v>
      </c>
      <c r="T22" s="783" t="str">
        <f t="shared" si="1"/>
        <v>Andres Veski</v>
      </c>
      <c r="U22" s="914">
        <f>IFERROR(INDEX(V!$R:$R,MATCH(V22,V!$L:$L,0)),"")</f>
        <v>45</v>
      </c>
      <c r="V22" s="783" t="str">
        <f t="shared" si="2"/>
        <v>Svetlana Veski</v>
      </c>
      <c r="W22" s="914" t="str">
        <f>IFERROR(INDEX(V!$R:$R,MATCH(X22,V!$L:$L,0)),"")</f>
        <v/>
      </c>
      <c r="X22" s="785" t="str">
        <f t="shared" si="3"/>
        <v/>
      </c>
      <c r="Y22" s="914" t="str">
        <f>IFERROR(INDEX(V!$R:$R,MATCH(Z22,V!$L:$L,0)),"")</f>
        <v/>
      </c>
      <c r="Z22" s="785" t="str">
        <f t="shared" si="4"/>
        <v/>
      </c>
      <c r="AA22" s="757"/>
    </row>
    <row r="23" spans="1:27" x14ac:dyDescent="0.2">
      <c r="A23" s="765">
        <v>3</v>
      </c>
      <c r="B23" s="775" t="s">
        <v>403</v>
      </c>
      <c r="C23" s="778">
        <v>5</v>
      </c>
      <c r="D23" s="787">
        <v>5</v>
      </c>
      <c r="E23" s="776"/>
      <c r="F23" s="778">
        <v>12</v>
      </c>
      <c r="G23" s="778"/>
      <c r="H23" s="796" t="str">
        <f>(IF(C23-E21&gt;0,1)+IF(D23-E22&gt;0,1)+IF(F23-E24&gt;0,1)+IF(G23-E25&gt;0,1))&amp;"-"&amp;(IF(C23-E21&lt;0,1)+IF(D23-E22&lt;0,1)+IF(F23-E24&lt;0,1)+IF(G23-E25&lt;0,1))</f>
        <v>0-3</v>
      </c>
      <c r="I23" s="778" t="str">
        <f>IF(AND(B23&lt;&gt;"",M$20=TRUE),A$20&amp;RANK(M23,M$21:M$25,0),"")</f>
        <v>C4</v>
      </c>
      <c r="J23" s="821">
        <f t="shared" si="9"/>
        <v>0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0</v>
      </c>
      <c r="M23" s="824">
        <f t="shared" si="10"/>
        <v>0</v>
      </c>
      <c r="O23" s="770"/>
      <c r="P23" s="770"/>
      <c r="Q23" s="770"/>
      <c r="R23" s="764">
        <f t="shared" si="0"/>
        <v>83</v>
      </c>
      <c r="S23" s="914">
        <f>IFERROR(INDEX(V!$R:$R,MATCH(T23,V!$L:$L,0)),"")</f>
        <v>61</v>
      </c>
      <c r="T23" s="783" t="str">
        <f t="shared" si="1"/>
        <v>Henri Mitt</v>
      </c>
      <c r="U23" s="914">
        <f>IFERROR(INDEX(V!$R:$R,MATCH(V23,V!$L:$L,0)),"")</f>
        <v>22</v>
      </c>
      <c r="V23" s="783" t="str">
        <f t="shared" si="2"/>
        <v>Melika Lehtla</v>
      </c>
      <c r="W23" s="914" t="str">
        <f>IFERROR(INDEX(V!$R:$R,MATCH(X23,V!$L:$L,0)),"")</f>
        <v/>
      </c>
      <c r="X23" s="785" t="str">
        <f t="shared" si="3"/>
        <v/>
      </c>
      <c r="Y23" s="914" t="str">
        <f>IFERROR(INDEX(V!$R:$R,MATCH(Z23,V!$L:$L,0)),"")</f>
        <v/>
      </c>
      <c r="Z23" s="785" t="str">
        <f t="shared" si="4"/>
        <v/>
      </c>
      <c r="AA23" s="757"/>
    </row>
    <row r="24" spans="1:27" x14ac:dyDescent="0.2">
      <c r="A24" s="765">
        <v>4</v>
      </c>
      <c r="B24" s="775" t="s">
        <v>404</v>
      </c>
      <c r="C24" s="778">
        <v>13</v>
      </c>
      <c r="D24" s="787">
        <v>13</v>
      </c>
      <c r="E24" s="778">
        <v>13</v>
      </c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3-0</v>
      </c>
      <c r="I24" s="778" t="str">
        <f>IF(AND(B24&lt;&gt;"",M$20=TRUE),A$20&amp;RANK(M24,M$21:M$25,0),"")</f>
        <v>C1</v>
      </c>
      <c r="J24" s="821">
        <f t="shared" si="9"/>
        <v>3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0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10"/>
        <v>30000</v>
      </c>
      <c r="O24" s="770"/>
      <c r="P24" s="770"/>
      <c r="Q24" s="770"/>
      <c r="R24" s="764">
        <f t="shared" si="0"/>
        <v>190.5</v>
      </c>
      <c r="S24" s="914">
        <f>IFERROR(INDEX(V!$R:$R,MATCH(T24,V!$L:$L,0)),"")</f>
        <v>98.5</v>
      </c>
      <c r="T24" s="783" t="str">
        <f t="shared" si="1"/>
        <v>Illar Tõnurist</v>
      </c>
      <c r="U24" s="914">
        <f>IFERROR(INDEX(V!$R:$R,MATCH(V24,V!$L:$L,0)),"")</f>
        <v>92</v>
      </c>
      <c r="V24" s="783" t="str">
        <f t="shared" si="2"/>
        <v>Jaan Saar</v>
      </c>
      <c r="W24" s="914" t="str">
        <f>IFERROR(INDEX(V!$R:$R,MATCH(X24,V!$L:$L,0)),"")</f>
        <v/>
      </c>
      <c r="X24" s="785" t="str">
        <f t="shared" si="3"/>
        <v/>
      </c>
      <c r="Y24" s="914" t="str">
        <f>IFERROR(INDEX(V!$R:$R,MATCH(Z24,V!$L:$L,0)),"")</f>
        <v/>
      </c>
      <c r="Z24" s="785" t="str">
        <f t="shared" si="4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0"/>
        <v>0</v>
      </c>
      <c r="S25" s="914" t="str">
        <f>IFERROR(INDEX(V!$R:$R,MATCH(T25,V!$L:$L,0)),"")</f>
        <v/>
      </c>
      <c r="T25" s="783" t="str">
        <f t="shared" si="1"/>
        <v/>
      </c>
      <c r="U25" s="914" t="str">
        <f>IFERROR(INDEX(V!$R:$R,MATCH(V25,V!$L:$L,0)),"")</f>
        <v/>
      </c>
      <c r="V25" s="783" t="str">
        <f t="shared" si="2"/>
        <v/>
      </c>
      <c r="W25" s="914" t="str">
        <f>IFERROR(INDEX(V!$R:$R,MATCH(X25,V!$L:$L,0)),"")</f>
        <v/>
      </c>
      <c r="X25" s="785" t="str">
        <f t="shared" si="3"/>
        <v/>
      </c>
      <c r="Y25" s="914" t="str">
        <f>IFERROR(INDEX(V!$R:$R,MATCH(Z25,V!$L:$L,0)),"")</f>
        <v/>
      </c>
      <c r="Z25" s="785" t="str">
        <f t="shared" si="4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0"/>
        <v>0</v>
      </c>
      <c r="S26" s="914" t="str">
        <f>IFERROR(INDEX(V!$R:$R,MATCH(T26,V!$L:$L,0)),"")</f>
        <v/>
      </c>
      <c r="T26" s="783" t="str">
        <f t="shared" si="1"/>
        <v/>
      </c>
      <c r="U26" s="914" t="str">
        <f>IFERROR(INDEX(V!$R:$R,MATCH(V26,V!$L:$L,0)),"")</f>
        <v/>
      </c>
      <c r="V26" s="783" t="str">
        <f t="shared" si="2"/>
        <v/>
      </c>
      <c r="W26" s="914" t="str">
        <f>IFERROR(INDEX(V!$R:$R,MATCH(X26,V!$L:$L,0)),"")</f>
        <v/>
      </c>
      <c r="X26" s="785" t="str">
        <f t="shared" si="3"/>
        <v/>
      </c>
      <c r="Y26" s="914" t="str">
        <f>IFERROR(INDEX(V!$R:$R,MATCH(Z26,V!$L:$L,0)),"")</f>
        <v/>
      </c>
      <c r="Z26" s="785" t="str">
        <f t="shared" si="4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/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0"/>
        <v>0</v>
      </c>
      <c r="S27" s="914" t="str">
        <f>IFERROR(INDEX(V!$R:$R,MATCH(T27,V!$L:$L,0)),"")</f>
        <v/>
      </c>
      <c r="T27" s="783" t="str">
        <f t="shared" si="1"/>
        <v/>
      </c>
      <c r="U27" s="914" t="str">
        <f>IFERROR(INDEX(V!$R:$R,MATCH(V27,V!$L:$L,0)),"")</f>
        <v/>
      </c>
      <c r="V27" s="783" t="str">
        <f t="shared" si="2"/>
        <v/>
      </c>
      <c r="W27" s="914" t="str">
        <f>IFERROR(INDEX(V!$R:$R,MATCH(X27,V!$L:$L,0)),"")</f>
        <v/>
      </c>
      <c r="X27" s="785" t="str">
        <f t="shared" si="3"/>
        <v/>
      </c>
      <c r="Y27" s="914" t="str">
        <f>IFERROR(INDEX(V!$R:$R,MATCH(Z27,V!$L:$L,0)),"")</f>
        <v/>
      </c>
      <c r="Z27" s="785" t="str">
        <f t="shared" si="4"/>
        <v/>
      </c>
      <c r="AA27" s="760"/>
    </row>
    <row r="28" spans="1:27" x14ac:dyDescent="0.2">
      <c r="A28" s="765">
        <v>1</v>
      </c>
      <c r="B28" s="820" t="s">
        <v>405</v>
      </c>
      <c r="C28" s="776"/>
      <c r="D28" s="778">
        <v>11</v>
      </c>
      <c r="E28" s="778">
        <v>4</v>
      </c>
      <c r="F28" s="778"/>
      <c r="G28" s="778"/>
      <c r="H28" s="796" t="str">
        <f>(IF(D28-C29&gt;0,1)+IF(E28-C30&gt;0,1)+IF(F28-C31&gt;0,1)+IF(G28-C32&gt;0,1))&amp;"-"&amp;(IF(D28-C29&lt;0,1)+IF(E28-C30&lt;0,1)+IF(F28-C31&lt;0,1)+IF(G28-C32&lt;0,1))</f>
        <v>0-2</v>
      </c>
      <c r="I28" s="778" t="str">
        <f>IF(AND(B28&lt;&gt;"",M$27=TRUE),A$27&amp;RANK(M28,M$28:M$32,0),"")</f>
        <v>D3</v>
      </c>
      <c r="J28" s="821">
        <f>VALUE(LEFT(H28,1))</f>
        <v>0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0</v>
      </c>
      <c r="O28" s="212"/>
      <c r="P28" s="212"/>
      <c r="Q28" s="212"/>
      <c r="R28" s="764">
        <f t="shared" si="0"/>
        <v>210</v>
      </c>
      <c r="S28" s="914">
        <f>IFERROR(INDEX(V!$R:$R,MATCH(T28,V!$L:$L,0)),"")</f>
        <v>159</v>
      </c>
      <c r="T28" s="783" t="str">
        <f t="shared" si="1"/>
        <v>Jaan Sepp</v>
      </c>
      <c r="U28" s="914">
        <f>IFERROR(INDEX(V!$R:$R,MATCH(V28,V!$L:$L,0)),"")</f>
        <v>51</v>
      </c>
      <c r="V28" s="783" t="str">
        <f t="shared" si="2"/>
        <v>Janek Tarto</v>
      </c>
      <c r="W28" s="914" t="str">
        <f>IFERROR(INDEX(V!$R:$R,MATCH(X28,V!$L:$L,0)),"")</f>
        <v/>
      </c>
      <c r="X28" s="785" t="str">
        <f t="shared" si="3"/>
        <v/>
      </c>
      <c r="Y28" s="914" t="str">
        <f>IFERROR(INDEX(V!$R:$R,MATCH(Z28,V!$L:$L,0)),"")</f>
        <v/>
      </c>
      <c r="Z28" s="785" t="str">
        <f t="shared" si="4"/>
        <v/>
      </c>
      <c r="AA28" s="760"/>
    </row>
    <row r="29" spans="1:27" x14ac:dyDescent="0.2">
      <c r="A29" s="765">
        <v>2</v>
      </c>
      <c r="B29" s="775" t="s">
        <v>406</v>
      </c>
      <c r="C29" s="778">
        <v>13</v>
      </c>
      <c r="D29" s="776"/>
      <c r="E29" s="778">
        <v>10</v>
      </c>
      <c r="F29" s="778"/>
      <c r="G29" s="778"/>
      <c r="H29" s="796" t="str">
        <f>(IF(C29-D28&gt;0,1)+IF(E29-D30&gt;0,1)+IF(F29-D31&gt;0,1)+IF(G29-D32&gt;0,1))&amp;"-"&amp;(IF(C29-D28&lt;0,1)+IF(E29-D30&lt;0,1)+IF(F29-D31&lt;0,1)+IF(G29-D32&lt;0,1))</f>
        <v>1-1</v>
      </c>
      <c r="I29" s="778" t="str">
        <f>IF(AND(B29&lt;&gt;"",M$27=TRUE),A$27&amp;RANK(M29,M$28:M$32,0),"")</f>
        <v>D2</v>
      </c>
      <c r="J29" s="821">
        <f t="shared" ref="J29:J32" si="11">VALUE(LEFT(H29,1))</f>
        <v>1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10000</v>
      </c>
      <c r="O29" s="212"/>
      <c r="P29" s="212"/>
      <c r="Q29" s="212"/>
      <c r="R29" s="764">
        <f t="shared" si="0"/>
        <v>204</v>
      </c>
      <c r="S29" s="914">
        <f>IFERROR(INDEX(V!$R:$R,MATCH(T29,V!$L:$L,0)),"")</f>
        <v>97.5</v>
      </c>
      <c r="T29" s="783" t="str">
        <f t="shared" si="1"/>
        <v>Klavdia Piik</v>
      </c>
      <c r="U29" s="914">
        <f>IFERROR(INDEX(V!$R:$R,MATCH(V29,V!$L:$L,0)),"")</f>
        <v>106.5</v>
      </c>
      <c r="V29" s="783" t="str">
        <f t="shared" si="2"/>
        <v>Ülo Piik</v>
      </c>
      <c r="W29" s="914" t="str">
        <f>IFERROR(INDEX(V!$R:$R,MATCH(X29,V!$L:$L,0)),"")</f>
        <v/>
      </c>
      <c r="X29" s="785" t="str">
        <f t="shared" si="3"/>
        <v/>
      </c>
      <c r="Y29" s="914" t="str">
        <f>IFERROR(INDEX(V!$R:$R,MATCH(Z29,V!$L:$L,0)),"")</f>
        <v/>
      </c>
      <c r="Z29" s="785" t="str">
        <f t="shared" si="4"/>
        <v/>
      </c>
      <c r="AA29" s="760"/>
    </row>
    <row r="30" spans="1:27" x14ac:dyDescent="0.2">
      <c r="A30" s="765">
        <v>3</v>
      </c>
      <c r="B30" s="775" t="s">
        <v>407</v>
      </c>
      <c r="C30" s="778">
        <v>13</v>
      </c>
      <c r="D30" s="787">
        <v>13</v>
      </c>
      <c r="E30" s="776"/>
      <c r="F30" s="778"/>
      <c r="G30" s="778"/>
      <c r="H30" s="796" t="str">
        <f>(IF(C30-E28&gt;0,1)+IF(D30-E29&gt;0,1)+IF(F30-E31&gt;0,1)+IF(G30-E32&gt;0,1))&amp;"-"&amp;(IF(C30-E28&lt;0,1)+IF(D30-E29&lt;0,1)+IF(F30-E31&lt;0,1)+IF(G30-E32&lt;0,1))</f>
        <v>2-0</v>
      </c>
      <c r="I30" s="778" t="str">
        <f>IF(AND(B30&lt;&gt;"",M$27=TRUE),A$27&amp;RANK(M30,M$28:M$32,0),"")</f>
        <v>D1</v>
      </c>
      <c r="J30" s="821">
        <f t="shared" si="11"/>
        <v>2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20000</v>
      </c>
      <c r="O30" s="212"/>
      <c r="P30" s="212"/>
      <c r="Q30" s="212"/>
      <c r="R30" s="764">
        <f t="shared" si="0"/>
        <v>186</v>
      </c>
      <c r="S30" s="914">
        <f>IFERROR(INDEX(V!$R:$R,MATCH(T30,V!$L:$L,0)),"")</f>
        <v>120</v>
      </c>
      <c r="T30" s="783" t="str">
        <f t="shared" si="1"/>
        <v>Ivar Viljaste</v>
      </c>
      <c r="U30" s="914">
        <f>IFERROR(INDEX(V!$R:$R,MATCH(V30,V!$L:$L,0)),"")</f>
        <v>66</v>
      </c>
      <c r="V30" s="783" t="str">
        <f t="shared" si="2"/>
        <v>Sirje Viljaste</v>
      </c>
      <c r="W30" s="914" t="str">
        <f>IFERROR(INDEX(V!$R:$R,MATCH(X30,V!$L:$L,0)),"")</f>
        <v/>
      </c>
      <c r="X30" s="785" t="str">
        <f t="shared" si="3"/>
        <v/>
      </c>
      <c r="Y30" s="914" t="str">
        <f>IFERROR(INDEX(V!$R:$R,MATCH(Z30,V!$L:$L,0)),"")</f>
        <v/>
      </c>
      <c r="Z30" s="785" t="str">
        <f t="shared" si="4"/>
        <v/>
      </c>
      <c r="AA30" s="760"/>
    </row>
    <row r="31" spans="1:27" hidden="1" x14ac:dyDescent="0.2">
      <c r="A31" s="765">
        <v>4</v>
      </c>
      <c r="B31" s="792"/>
      <c r="C31" s="778"/>
      <c r="D31" s="787"/>
      <c r="E31" s="778"/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0-0</v>
      </c>
      <c r="I31" s="778" t="str">
        <f>IF(AND(B31&lt;&gt;"",M$27=TRUE),A$27&amp;RANK(M31,M$28:M$32,0),"")</f>
        <v/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212"/>
      <c r="P31" s="212"/>
      <c r="Q31" s="212"/>
      <c r="R31" s="764">
        <f t="shared" si="0"/>
        <v>0</v>
      </c>
      <c r="S31" s="784" t="str">
        <f>IFERROR(INDEX(V!$R:$R,MATCH(T31,V!$L:$L,0)),"")</f>
        <v/>
      </c>
      <c r="T31" s="783" t="str">
        <f t="shared" si="1"/>
        <v/>
      </c>
      <c r="U31" s="784" t="str">
        <f>IFERROR(INDEX(V!$R:$R,MATCH(V31,V!$L:$L,0)),"")</f>
        <v/>
      </c>
      <c r="V31" s="783" t="str">
        <f t="shared" si="2"/>
        <v/>
      </c>
      <c r="W31" s="784" t="str">
        <f>IFERROR(INDEX(V!$R:$R,MATCH(X31,V!$L:$L,0)),"")</f>
        <v/>
      </c>
      <c r="X31" s="785" t="str">
        <f t="shared" si="3"/>
        <v/>
      </c>
      <c r="Y31" s="784" t="str">
        <f>IFERROR(INDEX(V!$R:$R,MATCH(Z31,V!$L:$L,0)),"")</f>
        <v/>
      </c>
      <c r="Z31" s="785" t="str">
        <f t="shared" si="4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0"/>
        <v>0</v>
      </c>
      <c r="S32" s="784" t="str">
        <f>IFERROR(INDEX(V!$R:$R,MATCH(T32,V!$L:$L,0)),"")</f>
        <v/>
      </c>
      <c r="T32" s="783" t="str">
        <f t="shared" si="1"/>
        <v/>
      </c>
      <c r="U32" s="784" t="str">
        <f>IFERROR(INDEX(V!$R:$R,MATCH(V32,V!$L:$L,0)),"")</f>
        <v/>
      </c>
      <c r="V32" s="783" t="str">
        <f t="shared" si="2"/>
        <v/>
      </c>
      <c r="W32" s="784" t="str">
        <f>IFERROR(INDEX(V!$R:$R,MATCH(X32,V!$L:$L,0)),"")</f>
        <v/>
      </c>
      <c r="X32" s="785" t="str">
        <f t="shared" si="3"/>
        <v/>
      </c>
      <c r="Y32" s="784" t="str">
        <f>IFERROR(INDEX(V!$R:$R,MATCH(Z32,V!$L:$L,0)),"")</f>
        <v/>
      </c>
      <c r="Z32" s="785" t="str">
        <f t="shared" si="4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0"/>
        <v>0</v>
      </c>
      <c r="S33" s="784" t="str">
        <f>IFERROR(INDEX(V!$R:$R,MATCH(T33,V!$L:$L,0)),"")</f>
        <v/>
      </c>
      <c r="T33" s="783" t="str">
        <f t="shared" si="1"/>
        <v/>
      </c>
      <c r="U33" s="784" t="str">
        <f>IFERROR(INDEX(V!$R:$R,MATCH(V33,V!$L:$L,0)),"")</f>
        <v/>
      </c>
      <c r="V33" s="783" t="str">
        <f t="shared" si="2"/>
        <v/>
      </c>
      <c r="W33" s="784" t="str">
        <f>IFERROR(INDEX(V!$R:$R,MATCH(X33,V!$L:$L,0)),"")</f>
        <v/>
      </c>
      <c r="X33" s="785" t="str">
        <f t="shared" si="3"/>
        <v/>
      </c>
      <c r="Y33" s="784" t="str">
        <f>IFERROR(INDEX(V!$R:$R,MATCH(Z33,V!$L:$L,0)),"")</f>
        <v/>
      </c>
      <c r="Z33" s="785" t="str">
        <f t="shared" si="4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0"/>
        <v>0</v>
      </c>
      <c r="S34" s="784" t="str">
        <f>IFERROR(INDEX(V!$R:$R,MATCH(T34,V!$L:$L,0)),"")</f>
        <v/>
      </c>
      <c r="T34" s="783" t="str">
        <f t="shared" si="1"/>
        <v/>
      </c>
      <c r="U34" s="784" t="str">
        <f>IFERROR(INDEX(V!$R:$R,MATCH(V34,V!$L:$L,0)),"")</f>
        <v/>
      </c>
      <c r="V34" s="783" t="str">
        <f t="shared" si="2"/>
        <v/>
      </c>
      <c r="W34" s="784" t="str">
        <f>IFERROR(INDEX(V!$R:$R,MATCH(X34,V!$L:$L,0)),"")</f>
        <v/>
      </c>
      <c r="X34" s="785" t="str">
        <f t="shared" si="3"/>
        <v/>
      </c>
      <c r="Y34" s="784" t="str">
        <f>IFERROR(INDEX(V!$R:$R,MATCH(Z34,V!$L:$L,0)),"")</f>
        <v/>
      </c>
      <c r="Z34" s="785" t="str">
        <f t="shared" si="4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0"/>
        <v>0</v>
      </c>
      <c r="S35" s="784" t="str">
        <f>IFERROR(INDEX(V!$R:$R,MATCH(T35,V!$L:$L,0)),"")</f>
        <v/>
      </c>
      <c r="T35" s="783" t="str">
        <f t="shared" si="1"/>
        <v/>
      </c>
      <c r="U35" s="784" t="str">
        <f>IFERROR(INDEX(V!$R:$R,MATCH(V35,V!$L:$L,0)),"")</f>
        <v/>
      </c>
      <c r="V35" s="783" t="str">
        <f t="shared" si="2"/>
        <v/>
      </c>
      <c r="W35" s="784" t="str">
        <f>IFERROR(INDEX(V!$R:$R,MATCH(X35,V!$L:$L,0)),"")</f>
        <v/>
      </c>
      <c r="X35" s="785" t="str">
        <f t="shared" si="3"/>
        <v/>
      </c>
      <c r="Y35" s="784" t="str">
        <f>IFERROR(INDEX(V!$R:$R,MATCH(Z35,V!$L:$L,0)),"")</f>
        <v/>
      </c>
      <c r="Z35" s="785" t="str">
        <f t="shared" si="4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0"/>
        <v>0</v>
      </c>
      <c r="S36" s="784" t="str">
        <f>IFERROR(INDEX(V!$R:$R,MATCH(T36,V!$L:$L,0)),"")</f>
        <v/>
      </c>
      <c r="T36" s="783" t="str">
        <f t="shared" si="1"/>
        <v/>
      </c>
      <c r="U36" s="784" t="str">
        <f>IFERROR(INDEX(V!$R:$R,MATCH(V36,V!$L:$L,0)),"")</f>
        <v/>
      </c>
      <c r="V36" s="783" t="str">
        <f t="shared" si="2"/>
        <v/>
      </c>
      <c r="W36" s="784" t="str">
        <f>IFERROR(INDEX(V!$R:$R,MATCH(X36,V!$L:$L,0)),"")</f>
        <v/>
      </c>
      <c r="X36" s="785" t="str">
        <f t="shared" si="3"/>
        <v/>
      </c>
      <c r="Y36" s="784" t="str">
        <f>IFERROR(INDEX(V!$R:$R,MATCH(Z36,V!$L:$L,0)),"")</f>
        <v/>
      </c>
      <c r="Z36" s="785" t="str">
        <f t="shared" si="4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0"/>
        <v>0</v>
      </c>
      <c r="S37" s="784" t="str">
        <f>IFERROR(INDEX(V!$R:$R,MATCH(T37,V!$L:$L,0)),"")</f>
        <v/>
      </c>
      <c r="T37" s="783" t="str">
        <f t="shared" si="1"/>
        <v/>
      </c>
      <c r="U37" s="784" t="str">
        <f>IFERROR(INDEX(V!$R:$R,MATCH(V37,V!$L:$L,0)),"")</f>
        <v/>
      </c>
      <c r="V37" s="783" t="str">
        <f t="shared" si="2"/>
        <v/>
      </c>
      <c r="W37" s="784" t="str">
        <f>IFERROR(INDEX(V!$R:$R,MATCH(X37,V!$L:$L,0)),"")</f>
        <v/>
      </c>
      <c r="X37" s="785" t="str">
        <f t="shared" si="3"/>
        <v/>
      </c>
      <c r="Y37" s="784" t="str">
        <f>IFERROR(INDEX(V!$R:$R,MATCH(Z37,V!$L:$L,0)),"")</f>
        <v/>
      </c>
      <c r="Z37" s="785" t="str">
        <f t="shared" si="4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0"/>
        <v>0</v>
      </c>
      <c r="S38" s="784" t="str">
        <f>IFERROR(INDEX(V!$R:$R,MATCH(T38,V!$L:$L,0)),"")</f>
        <v/>
      </c>
      <c r="T38" s="783" t="str">
        <f t="shared" si="1"/>
        <v/>
      </c>
      <c r="U38" s="784" t="str">
        <f>IFERROR(INDEX(V!$R:$R,MATCH(V38,V!$L:$L,0)),"")</f>
        <v/>
      </c>
      <c r="V38" s="783" t="str">
        <f t="shared" si="2"/>
        <v/>
      </c>
      <c r="W38" s="784" t="str">
        <f>IFERROR(INDEX(V!$R:$R,MATCH(X38,V!$L:$L,0)),"")</f>
        <v/>
      </c>
      <c r="X38" s="785" t="str">
        <f t="shared" si="3"/>
        <v/>
      </c>
      <c r="Y38" s="784" t="str">
        <f>IFERROR(INDEX(V!$R:$R,MATCH(Z38,V!$L:$L,0)),"")</f>
        <v/>
      </c>
      <c r="Z38" s="785" t="str">
        <f t="shared" si="4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ref="R39:R60" si="15">SUM(S39:AB39)</f>
        <v>0</v>
      </c>
      <c r="S39" s="784" t="str">
        <f>IFERROR(INDEX(V!$R:$R,MATCH(T39,V!$L:$L,0)),"")</f>
        <v/>
      </c>
      <c r="T39" s="783" t="str">
        <f t="shared" si="1"/>
        <v/>
      </c>
      <c r="U39" s="784" t="str">
        <f>IFERROR(INDEX(V!$R:$R,MATCH(V39,V!$L:$L,0)),"")</f>
        <v/>
      </c>
      <c r="V39" s="783" t="str">
        <f t="shared" si="2"/>
        <v/>
      </c>
      <c r="W39" s="784" t="str">
        <f>IFERROR(INDEX(V!$R:$R,MATCH(X39,V!$L:$L,0)),"")</f>
        <v/>
      </c>
      <c r="X39" s="785" t="str">
        <f t="shared" si="3"/>
        <v/>
      </c>
      <c r="Y39" s="784" t="str">
        <f>IFERROR(INDEX(V!$R:$R,MATCH(Z39,V!$L:$L,0)),"")</f>
        <v/>
      </c>
      <c r="Z39" s="785" t="str">
        <f t="shared" si="4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si="15"/>
        <v>0</v>
      </c>
      <c r="S40" s="784" t="str">
        <f>IFERROR(INDEX(V!$R:$R,MATCH(T40,V!$L:$L,0)),"")</f>
        <v/>
      </c>
      <c r="T40" s="783" t="str">
        <f t="shared" si="1"/>
        <v/>
      </c>
      <c r="U40" s="784" t="str">
        <f>IFERROR(INDEX(V!$R:$R,MATCH(V40,V!$L:$L,0)),"")</f>
        <v/>
      </c>
      <c r="V40" s="783" t="str">
        <f t="shared" si="2"/>
        <v/>
      </c>
      <c r="W40" s="784" t="str">
        <f>IFERROR(INDEX(V!$R:$R,MATCH(X40,V!$L:$L,0)),"")</f>
        <v/>
      </c>
      <c r="X40" s="785" t="str">
        <f t="shared" si="3"/>
        <v/>
      </c>
      <c r="Y40" s="784" t="str">
        <f>IFERROR(INDEX(V!$R:$R,MATCH(Z40,V!$L:$L,0)),"")</f>
        <v/>
      </c>
      <c r="Z40" s="785" t="str">
        <f t="shared" si="4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1"/>
        <v/>
      </c>
      <c r="U41" s="784" t="str">
        <f>IFERROR(INDEX(V!$R:$R,MATCH(V41,V!$L:$L,0)),"")</f>
        <v/>
      </c>
      <c r="V41" s="783" t="str">
        <f t="shared" si="2"/>
        <v/>
      </c>
      <c r="W41" s="784" t="str">
        <f>IFERROR(INDEX(V!$R:$R,MATCH(X41,V!$L:$L,0)),"")</f>
        <v/>
      </c>
      <c r="X41" s="785" t="str">
        <f t="shared" si="3"/>
        <v/>
      </c>
      <c r="Y41" s="784" t="str">
        <f>IFERROR(INDEX(V!$R:$R,MATCH(Z41,V!$L:$L,0)),"")</f>
        <v/>
      </c>
      <c r="Z41" s="785" t="str">
        <f t="shared" si="4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1"/>
        <v/>
      </c>
      <c r="U42" s="784" t="str">
        <f>IFERROR(INDEX(V!$R:$R,MATCH(V42,V!$L:$L,0)),"")</f>
        <v/>
      </c>
      <c r="V42" s="783" t="str">
        <f t="shared" si="2"/>
        <v/>
      </c>
      <c r="W42" s="784" t="str">
        <f>IFERROR(INDEX(V!$R:$R,MATCH(X42,V!$L:$L,0)),"")</f>
        <v/>
      </c>
      <c r="X42" s="785" t="str">
        <f t="shared" si="3"/>
        <v/>
      </c>
      <c r="Y42" s="784" t="str">
        <f>IFERROR(INDEX(V!$R:$R,MATCH(Z42,V!$L:$L,0)),"")</f>
        <v/>
      </c>
      <c r="Z42" s="785" t="str">
        <f t="shared" si="4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1"/>
        <v/>
      </c>
      <c r="U43" s="784" t="str">
        <f>IFERROR(INDEX(V!$R:$R,MATCH(V43,V!$L:$L,0)),"")</f>
        <v/>
      </c>
      <c r="V43" s="783" t="str">
        <f t="shared" si="2"/>
        <v/>
      </c>
      <c r="W43" s="784" t="str">
        <f>IFERROR(INDEX(V!$R:$R,MATCH(X43,V!$L:$L,0)),"")</f>
        <v/>
      </c>
      <c r="X43" s="785" t="str">
        <f t="shared" si="3"/>
        <v/>
      </c>
      <c r="Y43" s="784" t="str">
        <f>IFERROR(INDEX(V!$R:$R,MATCH(Z43,V!$L:$L,0)),"")</f>
        <v/>
      </c>
      <c r="Z43" s="785" t="str">
        <f t="shared" si="4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1"/>
        <v/>
      </c>
      <c r="U44" s="784" t="str">
        <f>IFERROR(INDEX(V!$R:$R,MATCH(V44,V!$L:$L,0)),"")</f>
        <v/>
      </c>
      <c r="V44" s="783" t="str">
        <f t="shared" si="2"/>
        <v/>
      </c>
      <c r="W44" s="784" t="str">
        <f>IFERROR(INDEX(V!$R:$R,MATCH(X44,V!$L:$L,0)),"")</f>
        <v/>
      </c>
      <c r="X44" s="785" t="str">
        <f t="shared" si="3"/>
        <v/>
      </c>
      <c r="Y44" s="784" t="str">
        <f>IFERROR(INDEX(V!$R:$R,MATCH(Z44,V!$L:$L,0)),"")</f>
        <v/>
      </c>
      <c r="Z44" s="785" t="str">
        <f t="shared" si="4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1"/>
        <v/>
      </c>
      <c r="U45" s="784" t="str">
        <f>IFERROR(INDEX(V!$R:$R,MATCH(V45,V!$L:$L,0)),"")</f>
        <v/>
      </c>
      <c r="V45" s="783" t="str">
        <f t="shared" si="2"/>
        <v/>
      </c>
      <c r="W45" s="784" t="str">
        <f>IFERROR(INDEX(V!$R:$R,MATCH(X45,V!$L:$L,0)),"")</f>
        <v/>
      </c>
      <c r="X45" s="785" t="str">
        <f t="shared" si="3"/>
        <v/>
      </c>
      <c r="Y45" s="784" t="str">
        <f>IFERROR(INDEX(V!$R:$R,MATCH(Z45,V!$L:$L,0)),"")</f>
        <v/>
      </c>
      <c r="Z45" s="785" t="str">
        <f t="shared" si="4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1"/>
        <v/>
      </c>
      <c r="U46" s="784" t="str">
        <f>IFERROR(INDEX(V!$R:$R,MATCH(V46,V!$L:$L,0)),"")</f>
        <v/>
      </c>
      <c r="V46" s="783" t="str">
        <f t="shared" si="2"/>
        <v/>
      </c>
      <c r="W46" s="784" t="str">
        <f>IFERROR(INDEX(V!$R:$R,MATCH(X46,V!$L:$L,0)),"")</f>
        <v/>
      </c>
      <c r="X46" s="785" t="str">
        <f t="shared" si="3"/>
        <v/>
      </c>
      <c r="Y46" s="784" t="str">
        <f>IFERROR(INDEX(V!$R:$R,MATCH(Z46,V!$L:$L,0)),"")</f>
        <v/>
      </c>
      <c r="Z46" s="785" t="str">
        <f t="shared" si="4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1"/>
        <v/>
      </c>
      <c r="U47" s="784" t="str">
        <f>IFERROR(INDEX(V!$R:$R,MATCH(V47,V!$L:$L,0)),"")</f>
        <v/>
      </c>
      <c r="V47" s="783" t="str">
        <f t="shared" si="2"/>
        <v/>
      </c>
      <c r="W47" s="784" t="str">
        <f>IFERROR(INDEX(V!$R:$R,MATCH(X47,V!$L:$L,0)),"")</f>
        <v/>
      </c>
      <c r="X47" s="785" t="str">
        <f t="shared" si="3"/>
        <v/>
      </c>
      <c r="Y47" s="784" t="str">
        <f>IFERROR(INDEX(V!$R:$R,MATCH(Z47,V!$L:$L,0)),"")</f>
        <v/>
      </c>
      <c r="Z47" s="785" t="str">
        <f t="shared" si="4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1"/>
        <v/>
      </c>
      <c r="U48" s="784" t="str">
        <f>IFERROR(INDEX(V!$R:$R,MATCH(V48,V!$L:$L,0)),"")</f>
        <v/>
      </c>
      <c r="V48" s="783" t="str">
        <f t="shared" si="2"/>
        <v/>
      </c>
      <c r="W48" s="784" t="str">
        <f>IFERROR(INDEX(V!$R:$R,MATCH(X48,V!$L:$L,0)),"")</f>
        <v/>
      </c>
      <c r="X48" s="785" t="str">
        <f t="shared" si="3"/>
        <v/>
      </c>
      <c r="Y48" s="784" t="str">
        <f>IFERROR(INDEX(V!$R:$R,MATCH(Z48,V!$L:$L,0)),"")</f>
        <v/>
      </c>
      <c r="Z48" s="785" t="str">
        <f t="shared" si="4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1"/>
        <v/>
      </c>
      <c r="U49" s="784" t="str">
        <f>IFERROR(INDEX(V!$R:$R,MATCH(V49,V!$L:$L,0)),"")</f>
        <v/>
      </c>
      <c r="V49" s="783" t="str">
        <f t="shared" si="2"/>
        <v/>
      </c>
      <c r="W49" s="784" t="str">
        <f>IFERROR(INDEX(V!$R:$R,MATCH(X49,V!$L:$L,0)),"")</f>
        <v/>
      </c>
      <c r="X49" s="785" t="str">
        <f t="shared" si="3"/>
        <v/>
      </c>
      <c r="Y49" s="784" t="str">
        <f>IFERROR(INDEX(V!$R:$R,MATCH(Z49,V!$L:$L,0)),"")</f>
        <v/>
      </c>
      <c r="Z49" s="785" t="str">
        <f t="shared" si="4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1"/>
        <v/>
      </c>
      <c r="U50" s="784" t="str">
        <f>IFERROR(INDEX(V!$R:$R,MATCH(V50,V!$L:$L,0)),"")</f>
        <v/>
      </c>
      <c r="V50" s="783" t="str">
        <f t="shared" si="2"/>
        <v/>
      </c>
      <c r="W50" s="784" t="str">
        <f>IFERROR(INDEX(V!$R:$R,MATCH(X50,V!$L:$L,0)),"")</f>
        <v/>
      </c>
      <c r="X50" s="785" t="str">
        <f t="shared" si="3"/>
        <v/>
      </c>
      <c r="Y50" s="784" t="str">
        <f>IFERROR(INDEX(V!$R:$R,MATCH(Z50,V!$L:$L,0)),"")</f>
        <v/>
      </c>
      <c r="Z50" s="785" t="str">
        <f t="shared" si="4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1"/>
        <v/>
      </c>
      <c r="U51" s="784" t="str">
        <f>IFERROR(INDEX(V!$R:$R,MATCH(V51,V!$L:$L,0)),"")</f>
        <v/>
      </c>
      <c r="V51" s="783" t="str">
        <f t="shared" si="2"/>
        <v/>
      </c>
      <c r="W51" s="784" t="str">
        <f>IFERROR(INDEX(V!$R:$R,MATCH(X51,V!$L:$L,0)),"")</f>
        <v/>
      </c>
      <c r="X51" s="785" t="str">
        <f t="shared" si="3"/>
        <v/>
      </c>
      <c r="Y51" s="784" t="str">
        <f>IFERROR(INDEX(V!$R:$R,MATCH(Z51,V!$L:$L,0)),"")</f>
        <v/>
      </c>
      <c r="Z51" s="785" t="str">
        <f t="shared" si="4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1"/>
        <v/>
      </c>
      <c r="U52" s="784" t="str">
        <f>IFERROR(INDEX(V!$R:$R,MATCH(V52,V!$L:$L,0)),"")</f>
        <v/>
      </c>
      <c r="V52" s="783" t="str">
        <f t="shared" si="2"/>
        <v/>
      </c>
      <c r="W52" s="784" t="str">
        <f>IFERROR(INDEX(V!$R:$R,MATCH(X52,V!$L:$L,0)),"")</f>
        <v/>
      </c>
      <c r="X52" s="785" t="str">
        <f t="shared" si="3"/>
        <v/>
      </c>
      <c r="Y52" s="784" t="str">
        <f>IFERROR(INDEX(V!$R:$R,MATCH(Z52,V!$L:$L,0)),"")</f>
        <v/>
      </c>
      <c r="Z52" s="785" t="str">
        <f t="shared" si="4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1"/>
        <v/>
      </c>
      <c r="U53" s="784" t="str">
        <f>IFERROR(INDEX(V!$R:$R,MATCH(V53,V!$L:$L,0)),"")</f>
        <v/>
      </c>
      <c r="V53" s="783" t="str">
        <f t="shared" si="2"/>
        <v/>
      </c>
      <c r="W53" s="784" t="str">
        <f>IFERROR(INDEX(V!$R:$R,MATCH(X53,V!$L:$L,0)),"")</f>
        <v/>
      </c>
      <c r="X53" s="785" t="str">
        <f t="shared" si="3"/>
        <v/>
      </c>
      <c r="Y53" s="784" t="str">
        <f>IFERROR(INDEX(V!$R:$R,MATCH(Z53,V!$L:$L,0)),"")</f>
        <v/>
      </c>
      <c r="Z53" s="785" t="str">
        <f t="shared" si="4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1"/>
        <v/>
      </c>
      <c r="U54" s="784" t="str">
        <f>IFERROR(INDEX(V!$R:$R,MATCH(V54,V!$L:$L,0)),"")</f>
        <v/>
      </c>
      <c r="V54" s="783" t="str">
        <f t="shared" si="2"/>
        <v/>
      </c>
      <c r="W54" s="784" t="str">
        <f>IFERROR(INDEX(V!$R:$R,MATCH(X54,V!$L:$L,0)),"")</f>
        <v/>
      </c>
      <c r="X54" s="785" t="str">
        <f t="shared" si="3"/>
        <v/>
      </c>
      <c r="Y54" s="784" t="str">
        <f>IFERROR(INDEX(V!$R:$R,MATCH(Z54,V!$L:$L,0)),"")</f>
        <v/>
      </c>
      <c r="Z54" s="785" t="str">
        <f t="shared" si="4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1"/>
        <v/>
      </c>
      <c r="U55" s="784" t="str">
        <f>IFERROR(INDEX(V!$R:$R,MATCH(V55,V!$L:$L,0)),"")</f>
        <v/>
      </c>
      <c r="V55" s="783" t="str">
        <f t="shared" si="2"/>
        <v/>
      </c>
      <c r="W55" s="784" t="str">
        <f>IFERROR(INDEX(V!$R:$R,MATCH(X55,V!$L:$L,0)),"")</f>
        <v/>
      </c>
      <c r="X55" s="785" t="str">
        <f t="shared" si="3"/>
        <v/>
      </c>
      <c r="Y55" s="784" t="str">
        <f>IFERROR(INDEX(V!$R:$R,MATCH(Z55,V!$L:$L,0)),"")</f>
        <v/>
      </c>
      <c r="Z55" s="785" t="str">
        <f t="shared" si="4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1"/>
        <v/>
      </c>
      <c r="U56" s="784" t="str">
        <f>IFERROR(INDEX(V!$R:$R,MATCH(V56,V!$L:$L,0)),"")</f>
        <v/>
      </c>
      <c r="V56" s="783" t="str">
        <f t="shared" si="2"/>
        <v/>
      </c>
      <c r="W56" s="784" t="str">
        <f>IFERROR(INDEX(V!$R:$R,MATCH(X56,V!$L:$L,0)),"")</f>
        <v/>
      </c>
      <c r="X56" s="785" t="str">
        <f t="shared" si="3"/>
        <v/>
      </c>
      <c r="Y56" s="784" t="str">
        <f>IFERROR(INDEX(V!$R:$R,MATCH(Z56,V!$L:$L,0)),"")</f>
        <v/>
      </c>
      <c r="Z56" s="785" t="str">
        <f t="shared" si="4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1"/>
        <v/>
      </c>
      <c r="U57" s="784" t="str">
        <f>IFERROR(INDEX(V!$R:$R,MATCH(V57,V!$L:$L,0)),"")</f>
        <v/>
      </c>
      <c r="V57" s="783" t="str">
        <f t="shared" si="2"/>
        <v/>
      </c>
      <c r="W57" s="784" t="str">
        <f>IFERROR(INDEX(V!$R:$R,MATCH(X57,V!$L:$L,0)),"")</f>
        <v/>
      </c>
      <c r="X57" s="785" t="str">
        <f t="shared" si="3"/>
        <v/>
      </c>
      <c r="Y57" s="784" t="str">
        <f>IFERROR(INDEX(V!$R:$R,MATCH(Z57,V!$L:$L,0)),"")</f>
        <v/>
      </c>
      <c r="Z57" s="785" t="str">
        <f t="shared" si="4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1"/>
        <v/>
      </c>
      <c r="U58" s="784" t="str">
        <f>IFERROR(INDEX(V!$R:$R,MATCH(V58,V!$L:$L,0)),"")</f>
        <v/>
      </c>
      <c r="V58" s="783" t="str">
        <f t="shared" si="2"/>
        <v/>
      </c>
      <c r="W58" s="784" t="str">
        <f>IFERROR(INDEX(V!$R:$R,MATCH(X58,V!$L:$L,0)),"")</f>
        <v/>
      </c>
      <c r="X58" s="785" t="str">
        <f t="shared" si="3"/>
        <v/>
      </c>
      <c r="Y58" s="784" t="str">
        <f>IFERROR(INDEX(V!$R:$R,MATCH(Z58,V!$L:$L,0)),"")</f>
        <v/>
      </c>
      <c r="Z58" s="785" t="str">
        <f t="shared" si="4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1"/>
        <v/>
      </c>
      <c r="U59" s="784" t="str">
        <f>IFERROR(INDEX(V!$R:$R,MATCH(V59,V!$L:$L,0)),"")</f>
        <v/>
      </c>
      <c r="V59" s="783" t="str">
        <f t="shared" si="2"/>
        <v/>
      </c>
      <c r="W59" s="784" t="str">
        <f>IFERROR(INDEX(V!$R:$R,MATCH(X59,V!$L:$L,0)),"")</f>
        <v/>
      </c>
      <c r="X59" s="785" t="str">
        <f t="shared" si="3"/>
        <v/>
      </c>
      <c r="Y59" s="784" t="str">
        <f>IFERROR(INDEX(V!$R:$R,MATCH(Z59,V!$L:$L,0)),"")</f>
        <v/>
      </c>
      <c r="Z59" s="785" t="str">
        <f t="shared" si="4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1"/>
        <v/>
      </c>
      <c r="U60" s="784" t="str">
        <f>IFERROR(INDEX(V!$R:$R,MATCH(V60,V!$L:$L,0)),"")</f>
        <v/>
      </c>
      <c r="V60" s="783" t="str">
        <f t="shared" si="2"/>
        <v/>
      </c>
      <c r="W60" s="784" t="str">
        <f>IFERROR(INDEX(V!$R:$R,MATCH(X60,V!$L:$L,0)),"")</f>
        <v/>
      </c>
      <c r="X60" s="785" t="str">
        <f t="shared" si="3"/>
        <v/>
      </c>
      <c r="Y60" s="784" t="str">
        <f>IFERROR(INDEX(V!$R:$R,MATCH(Z60,V!$L:$L,0)),"")</f>
        <v/>
      </c>
      <c r="Z60" s="785" t="str">
        <f t="shared" si="4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Tõnu Kapper, Vladimir Ogneštšikov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Tõnu Kapper, Vladimir Ogneštšikov</v>
      </c>
      <c r="D103" s="755"/>
      <c r="E103" s="851">
        <v>6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Klavdia Piik, Ülo Piik</v>
      </c>
      <c r="C104" s="856">
        <v>3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Andres Veski, Svetlana Veski</v>
      </c>
      <c r="F105" s="755"/>
      <c r="G105" s="851">
        <v>6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Oksana Rõndenkova, Oleg Rõndenkov</v>
      </c>
      <c r="C106" s="851">
        <v>3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Andres Veski, Svetlana Veski</v>
      </c>
      <c r="D107" s="860"/>
      <c r="E107" s="851">
        <v>13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Andres Veski, Svetlana Veski</v>
      </c>
      <c r="C108" s="856">
        <v>13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861" t="str">
        <f>IF(COUNT(G105,G113)=2,IF(G105&gt;G113,E105,E113),"")</f>
        <v>Ivar Viljaste, Sirje Viljaste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414</v>
      </c>
      <c r="B110" s="850" t="str">
        <f>IF(A110="-","-",IFERROR(INDEX(B$1:B$100,MATCH(A110,I$1:I$100,0)),""))</f>
        <v>Illar Tõnurist, Jaan Saar</v>
      </c>
      <c r="C110" s="851">
        <v>10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Meelis Luud, Urmas Jõeäär</v>
      </c>
      <c r="D111" s="755"/>
      <c r="E111" s="851">
        <v>6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415</v>
      </c>
      <c r="B112" s="855" t="str">
        <f>IF(A112="-","-",IFERROR(INDEX(B$1:B$100,MATCH(A112,I$1:I$100,0)),""))</f>
        <v>Meelis Luud, Urmas Jõeäär</v>
      </c>
      <c r="C112" s="856">
        <v>13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Ivar Viljaste, Sirje Viljaste</v>
      </c>
      <c r="F113" s="860"/>
      <c r="G113" s="851">
        <v>13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416</v>
      </c>
      <c r="B114" s="850" t="str">
        <f>IF(A114="-","-",IFERROR(INDEX(B$1:B$100,MATCH(A114,I$1:I$100,0)),""))</f>
        <v>Boriss Klubov, Mait Metsla</v>
      </c>
      <c r="C114" s="851">
        <v>4</v>
      </c>
      <c r="D114" s="858"/>
      <c r="E114" s="859"/>
      <c r="F114" s="807"/>
      <c r="G114" s="807"/>
      <c r="H114" s="861" t="str">
        <f>IF(COUNT(G105,G113)=2,IF(G105&lt;G113,E105,E113),"")</f>
        <v>Andres Veski, Svetlana Veski</v>
      </c>
      <c r="I114" s="812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Ivar Viljaste, Sirje Viljaste</v>
      </c>
      <c r="D115" s="860"/>
      <c r="E115" s="851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417</v>
      </c>
      <c r="B116" s="855" t="str">
        <f>IF(A116="-","-",IFERROR(INDEX(B$1:B$100,MATCH(A116,I$1:I$100,0)),""))</f>
        <v>Ivar Viljaste, Sirje Viljaste</v>
      </c>
      <c r="C116" s="856">
        <v>13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Tõnu Kapper, Vladimir Ogneštšikov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64"/>
      <c r="H118" s="861" t="str">
        <f>IF(COUNT(G117,G119)=2,IF(G117&gt;G119,E117,E119),"")</f>
        <v>Tõnu Kapper, Vladimir Ogneštšikov</v>
      </c>
      <c r="I118" s="812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Meelis Luud, Urmas Jõeäär</v>
      </c>
      <c r="F119" s="860"/>
      <c r="G119" s="856">
        <v>4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861" t="str">
        <f>IF(COUNT(G117,G119)=2,IF(G117&lt;G119,E117,E119),"")</f>
        <v>Meelis Luud, Urmas Jõeäär</v>
      </c>
      <c r="I121" s="812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Klavdia Piik, Ülo Piik</v>
      </c>
      <c r="D123" s="755"/>
      <c r="E123" s="851">
        <v>13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Klavdia Piik, Ülo Piik</v>
      </c>
      <c r="F124" s="755"/>
      <c r="G124" s="851">
        <v>13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Oksana Rõndenkova, Oleg Rõndenkov</v>
      </c>
      <c r="D125" s="868"/>
      <c r="E125" s="856">
        <v>6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861" t="str">
        <f>IF(COUNT(G124,G128)=2,IF(G124&gt;G128,E124,E128),"")</f>
        <v>Klavdia Piik, Ülo Piik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Illar Tõnurist, Jaan Saar</v>
      </c>
      <c r="D127" s="851"/>
      <c r="E127" s="851">
        <v>5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Boriss Klubov, Mait Metsla</v>
      </c>
      <c r="F128" s="860"/>
      <c r="G128" s="856">
        <v>7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Boriss Klubov, Mait Metsla</v>
      </c>
      <c r="D129" s="868"/>
      <c r="E129" s="856">
        <v>13</v>
      </c>
      <c r="F129" s="851"/>
      <c r="G129" s="869"/>
      <c r="H129" s="861" t="str">
        <f>IF(COUNT(G124,G128)=2,IF(G124&lt;G128,E124,E128),"")</f>
        <v>Boriss Klubov, Mait Metsla</v>
      </c>
      <c r="I129" s="812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Oksana Rõndenkova, Oleg Rõndenkov</v>
      </c>
      <c r="F131" s="755"/>
      <c r="G131" s="851">
        <v>2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812"/>
      <c r="H132" s="861" t="str">
        <f>IF(COUNT(G131,G133)=2,IF(G131&gt;G133,E131,E133),"")</f>
        <v>Illar Tõnurist, Jaan Saar</v>
      </c>
      <c r="I132" s="812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Illar Tõnurist, Jaan Saar</v>
      </c>
      <c r="F133" s="860"/>
      <c r="G133" s="856">
        <v>13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812" t="str">
        <f>IF(COUNT(G131,G133)=2,IF(G131&lt;G133,E131,E133),"")</f>
        <v>Oksana Rõndenkova, Oleg Rõndenkov</v>
      </c>
      <c r="I135" s="812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420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Enn Tokman, Tarmo Bombe</v>
      </c>
      <c r="C140" s="851">
        <v>7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Henri Mitt, Melika Lehtla</v>
      </c>
      <c r="D141" s="755"/>
      <c r="E141" s="851">
        <v>6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422</v>
      </c>
      <c r="B142" s="855" t="str">
        <f>IF(A142="-","-",IFERROR(INDEX(B$1:B$100,MATCH(A142,I$1:I$100,0)),""))</f>
        <v>Henri Mitt, Melika Lehtla</v>
      </c>
      <c r="C142" s="856">
        <v>13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Johannes Neiland, Kenneth Muusikus</v>
      </c>
      <c r="F143" s="755"/>
      <c r="G143" s="851">
        <v>13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423</v>
      </c>
      <c r="B144" s="850" t="str">
        <f>IF(A144="-","-",IFERROR(INDEX(B$1:B$100,MATCH(A144,I$1:I$100,0)),""))</f>
        <v>Johannes Neiland, Kenneth Muusikus</v>
      </c>
      <c r="C144" s="851">
        <f>IF(B144="-",0,IF(B146="-",13,""))</f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Johannes Neiland, Kenneth Muusikus</v>
      </c>
      <c r="D145" s="860"/>
      <c r="E145" s="851">
        <v>13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424</v>
      </c>
      <c r="B146" s="855" t="str">
        <f>IF(A146="-","-",IFERROR(INDEX(B$1:B$100,MATCH(A146,I$1:I$100,0)),""))</f>
        <v>-</v>
      </c>
      <c r="C146" s="856">
        <f>IF(B146="-",0,IF(B144="-",13,""))</f>
        <v>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861" t="str">
        <f>IF(COUNT(G143,G151)=2,IF(G143&gt;G151,E143,E151),"")</f>
        <v>Johannes Neiland, Kenneth Muusikus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425</v>
      </c>
      <c r="B148" s="850" t="str">
        <f>IF(A148="-","-",IFERROR(INDEX(B$1:B$100,MATCH(A148,I$1:I$100,0)),""))</f>
        <v>Elmo Lageda, Tõnu Piik</v>
      </c>
      <c r="C148" s="851">
        <f>IF(B148="-",0,IF(B150="-",13,""))</f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Elmo Lageda, Tõnu Piik</v>
      </c>
      <c r="D149" s="755"/>
      <c r="E149" s="851">
        <v>4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424</v>
      </c>
      <c r="B150" s="855" t="str">
        <f>IF(A150="-","-",IFERROR(INDEX(B$1:B$100,MATCH(A150,I$1:I$100,0)),""))</f>
        <v>-</v>
      </c>
      <c r="C150" s="856">
        <f>IF(B150="-",0,IF(B148="-",13,""))</f>
        <v>0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Karla Purgats, Lemmit Toomra</v>
      </c>
      <c r="F151" s="860"/>
      <c r="G151" s="851">
        <v>10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427</v>
      </c>
      <c r="B152" s="850" t="str">
        <f>IF(A152="-","-",IFERROR(INDEX(B$1:B$100,MATCH(A152,I$1:I$100,0)),""))</f>
        <v>Jaan Sepp, Janek Tarto</v>
      </c>
      <c r="C152" s="851">
        <v>0</v>
      </c>
      <c r="D152" s="858"/>
      <c r="E152" s="859"/>
      <c r="F152" s="807"/>
      <c r="G152" s="807"/>
      <c r="H152" s="861" t="str">
        <f>IF(COUNT(G143,G151)=2,IF(G143&lt;G151,E143,E151),"")</f>
        <v>Karla Purgats, Lemmit Toomra</v>
      </c>
      <c r="I152" s="812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Karla Purgats, Lemmit Toomra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429</v>
      </c>
      <c r="B154" s="855" t="str">
        <f>IF(A154="-","-",IFERROR(INDEX(B$1:B$100,MATCH(A154,I$1:I$100,0)),""))</f>
        <v>Karla Purgats, Lemmit Toomra</v>
      </c>
      <c r="C154" s="856">
        <v>13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Henri Mitt, Melika Lehtla</v>
      </c>
      <c r="F155" s="755"/>
      <c r="G155" s="851">
        <v>12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861" t="str">
        <f>IF(COUNT(G155,G157)=2,IF(G155&gt;G157,E155,E157),"")</f>
        <v>Elmo Lageda, Tõnu Piik</v>
      </c>
      <c r="I156" s="812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Elmo Lageda, Tõnu Piik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861" t="str">
        <f>IF(COUNT(G155,G157)=2,IF(G155&lt;G157,E155,E157),"")</f>
        <v>Henri Mitt, Melika Lehtla</v>
      </c>
      <c r="I159" s="812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Enn Tokman, Tarmo Bombe</v>
      </c>
      <c r="D161" s="755"/>
      <c r="E161" s="851">
        <f>IF(C161="-",0,IF(C163="-",13,""))</f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Enn Tokman, Tarmo Bombe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-</v>
      </c>
      <c r="D163" s="868"/>
      <c r="E163" s="856">
        <f>IF(C163="-",0,IF(C161="-",13,""))</f>
        <v>0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861" t="str">
        <f>IF(COUNT(G162,G166)=2,IF(G162&gt;G166,E162,E166),"")</f>
        <v>Enn Tokman, Tarmo Bombe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-</v>
      </c>
      <c r="D165" s="851"/>
      <c r="E165" s="851">
        <f>IF(C165="-",0,IF(C167="-",13,""))</f>
        <v>0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Jaan Sepp, Janek Tarto</v>
      </c>
      <c r="F166" s="860"/>
      <c r="G166" s="872">
        <v>0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Jaan Sepp, Janek Tarto</v>
      </c>
      <c r="D167" s="868"/>
      <c r="E167" s="856">
        <f>IF(C167="-",0,IF(C165="-",13,""))</f>
        <v>13</v>
      </c>
      <c r="F167" s="851"/>
      <c r="G167" s="869"/>
      <c r="H167" s="861" t="str">
        <f>IF(COUNT(G162,G166)=2,IF(G162&lt;G166,E162,E166),"")</f>
        <v>Jaan Sepp, Janek Tarto</v>
      </c>
      <c r="I167" s="812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 t="s">
        <v>433</v>
      </c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812"/>
      <c r="H170" s="861" t="str">
        <f>IF(COUNT(G169,G171)=2,IF(G169&gt;G171,E169,E171),"")</f>
        <v>-</v>
      </c>
      <c r="I170" s="812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810"/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812" t="str">
        <f>IF(COUNT(G169,G171)=2,IF(G169&lt;G171,E169,E171),"")</f>
        <v>-</v>
      </c>
      <c r="I173" s="812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 t="s">
        <v>232</v>
      </c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3" si="22">IFERROR(INDEX(H$100:H$300,MATCH(A300&amp;". koht",H$101:H$301,0)),"")</f>
        <v>Ivar Viljaste, Sirje Viljaste</v>
      </c>
      <c r="C300" s="755">
        <f>IF(16-A300&gt;0,16-A300,1)</f>
        <v>15</v>
      </c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Andres Veski, Svetlana Veski</v>
      </c>
      <c r="C301" s="755">
        <f t="shared" ref="C301:C313" si="23">IF(16-A301&gt;0,16-A301,1)</f>
        <v>14</v>
      </c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Tõnu Kapper, Vladimir Ogneštšikov</v>
      </c>
      <c r="C302" s="755">
        <f t="shared" si="23"/>
        <v>13</v>
      </c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Meelis Luud, Urmas Jõeäär</v>
      </c>
      <c r="C303" s="755">
        <f t="shared" si="23"/>
        <v>12</v>
      </c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Klavdia Piik, Ülo Piik</v>
      </c>
      <c r="C304" s="755">
        <f t="shared" si="23"/>
        <v>11</v>
      </c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Boriss Klubov, Mait Metsla</v>
      </c>
      <c r="C305" s="755">
        <f t="shared" si="23"/>
        <v>10</v>
      </c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75">
        <v>7</v>
      </c>
      <c r="B306" s="816" t="str">
        <f t="shared" si="22"/>
        <v>Illar Tõnurist, Jaan Saar</v>
      </c>
      <c r="C306" s="755">
        <f t="shared" si="23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Oksana Rõndenkova, Oleg Rõndenkov</v>
      </c>
      <c r="C307" s="755">
        <f t="shared" si="23"/>
        <v>8</v>
      </c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Johannes Neiland, Kenneth Muusikus</v>
      </c>
      <c r="C308" s="755">
        <f t="shared" si="23"/>
        <v>7</v>
      </c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Karla Purgats, Lemmit Toomra</v>
      </c>
      <c r="C309" s="755">
        <f t="shared" si="23"/>
        <v>6</v>
      </c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x14ac:dyDescent="0.2">
      <c r="A310" s="875">
        <v>11</v>
      </c>
      <c r="B310" s="816" t="str">
        <f t="shared" si="22"/>
        <v>Elmo Lageda, Tõnu Piik</v>
      </c>
      <c r="C310" s="755">
        <f t="shared" si="23"/>
        <v>5</v>
      </c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Henri Mitt, Melika Lehtla</v>
      </c>
      <c r="C311" s="755">
        <f t="shared" si="23"/>
        <v>4</v>
      </c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Enn Tokman, Tarmo Bombe</v>
      </c>
      <c r="C312" s="755">
        <f t="shared" si="23"/>
        <v>3</v>
      </c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875">
        <v>14</v>
      </c>
      <c r="B313" s="816" t="str">
        <f t="shared" si="22"/>
        <v>Jaan Sepp, Janek Tarto</v>
      </c>
      <c r="C313" s="755">
        <f t="shared" si="23"/>
        <v>2</v>
      </c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  <row r="314" spans="1:27" x14ac:dyDescent="0.2">
      <c r="A314" s="755"/>
      <c r="B314" s="754"/>
      <c r="C314" s="755"/>
      <c r="D314" s="755"/>
      <c r="E314" s="755"/>
      <c r="F314" s="755"/>
      <c r="G314" s="755"/>
      <c r="H314" s="755"/>
      <c r="I314" s="755"/>
      <c r="J314" s="755"/>
      <c r="K314" s="755"/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</row>
    <row r="315" spans="1:27" x14ac:dyDescent="0.2">
      <c r="A315" s="755"/>
      <c r="B315" s="754"/>
      <c r="C315" s="755"/>
      <c r="D315" s="755"/>
      <c r="E315" s="755"/>
      <c r="F315" s="755"/>
      <c r="G315" s="755"/>
      <c r="H315" s="755"/>
      <c r="I315" s="755"/>
      <c r="J315" s="755"/>
      <c r="K315" s="755"/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</row>
    <row r="316" spans="1:27" x14ac:dyDescent="0.2">
      <c r="A316" s="755"/>
      <c r="B316" s="754"/>
      <c r="C316" s="755"/>
      <c r="D316" s="755"/>
      <c r="E316" s="755"/>
      <c r="F316" s="755"/>
      <c r="G316" s="755"/>
      <c r="H316" s="755"/>
      <c r="I316" s="755"/>
      <c r="J316" s="755"/>
      <c r="K316" s="755"/>
      <c r="L316" s="755"/>
      <c r="M316" s="755"/>
      <c r="N316" s="755"/>
      <c r="O316" s="755"/>
      <c r="P316" s="755"/>
      <c r="Q316" s="755"/>
      <c r="R316" s="755"/>
      <c r="S316" s="755"/>
      <c r="T316" s="755"/>
      <c r="U316" s="755"/>
      <c r="V316" s="755"/>
      <c r="W316" s="755"/>
      <c r="X316" s="755"/>
      <c r="Y316" s="755"/>
      <c r="Z316" s="755"/>
      <c r="AA316" s="755"/>
    </row>
  </sheetData>
  <conditionalFormatting sqref="B313">
    <cfRule type="containsBlanks" dxfId="3649" priority="259">
      <formula>LEN(TRIM(B313))=0</formula>
    </cfRule>
    <cfRule type="duplicateValues" dxfId="3648" priority="260"/>
  </conditionalFormatting>
  <conditionalFormatting sqref="I56:I60">
    <cfRule type="expression" dxfId="3647" priority="96">
      <formula>FIND(2,I56,1)</formula>
    </cfRule>
    <cfRule type="expression" dxfId="3646" priority="97">
      <formula>FIND(1,I56,1)</formula>
    </cfRule>
  </conditionalFormatting>
  <conditionalFormatting sqref="A102:A116">
    <cfRule type="cellIs" dxfId="3645" priority="252" operator="equal">
      <formula>"-"</formula>
    </cfRule>
    <cfRule type="duplicateValues" dxfId="3644" priority="253"/>
  </conditionalFormatting>
  <conditionalFormatting sqref="A140:A154">
    <cfRule type="cellIs" dxfId="3643" priority="250" operator="equal">
      <formula>"-"</formula>
    </cfRule>
    <cfRule type="duplicateValues" dxfId="3642" priority="251"/>
  </conditionalFormatting>
  <conditionalFormatting sqref="D7 C8">
    <cfRule type="aboveAverage" dxfId="3641" priority="249"/>
  </conditionalFormatting>
  <conditionalFormatting sqref="E7 C9">
    <cfRule type="aboveAverage" dxfId="3640" priority="248"/>
  </conditionalFormatting>
  <conditionalFormatting sqref="F7 C10">
    <cfRule type="aboveAverage" dxfId="3639" priority="247"/>
  </conditionalFormatting>
  <conditionalFormatting sqref="E8 D9">
    <cfRule type="aboveAverage" dxfId="3638" priority="246"/>
  </conditionalFormatting>
  <conditionalFormatting sqref="G7 C11">
    <cfRule type="aboveAverage" dxfId="3637" priority="245"/>
  </conditionalFormatting>
  <conditionalFormatting sqref="F8 D10">
    <cfRule type="aboveAverage" dxfId="3636" priority="244"/>
  </conditionalFormatting>
  <conditionalFormatting sqref="G8 D11">
    <cfRule type="aboveAverage" dxfId="3635" priority="243"/>
  </conditionalFormatting>
  <conditionalFormatting sqref="F9 E10">
    <cfRule type="aboveAverage" dxfId="3634" priority="242"/>
  </conditionalFormatting>
  <conditionalFormatting sqref="G9 E11">
    <cfRule type="aboveAverage" dxfId="3633" priority="241"/>
  </conditionalFormatting>
  <conditionalFormatting sqref="F11 G10">
    <cfRule type="aboveAverage" dxfId="3632" priority="240"/>
  </conditionalFormatting>
  <conditionalFormatting sqref="K14:K18">
    <cfRule type="expression" dxfId="3631" priority="232">
      <formula>AND(J14=3,IF(COUNTIF(J$14:J$18,"=3")&gt;=2,TRUE))</formula>
    </cfRule>
    <cfRule type="expression" dxfId="3630" priority="238">
      <formula>AND(J14=1,IF(COUNTIF(J$14:J$18,"=1")&gt;=2,TRUE))</formula>
    </cfRule>
    <cfRule type="expression" dxfId="3629" priority="239">
      <formula>AND(J14=2,IF(COUNTIF(J$14:J$18,"=2")&gt;=2,TRUE))</formula>
    </cfRule>
  </conditionalFormatting>
  <conditionalFormatting sqref="K21:K25">
    <cfRule type="expression" dxfId="3628" priority="231">
      <formula>AND(J21=3,IF(COUNTIF(J$21:J$25,"=3")&gt;=2,TRUE))</formula>
    </cfRule>
    <cfRule type="expression" dxfId="3627" priority="236">
      <formula>AND(J21=1,IF(COUNTIF(J$21:J$25,"=1")&gt;=2,TRUE))</formula>
    </cfRule>
    <cfRule type="expression" dxfId="3626" priority="237">
      <formula>AND(J21=2,IF(COUNTIF(J$21:J$25,"=2")&gt;=2,TRUE))</formula>
    </cfRule>
  </conditionalFormatting>
  <conditionalFormatting sqref="K7:K11">
    <cfRule type="expression" dxfId="3625" priority="233">
      <formula>AND(J7=3,IF(COUNTIF(J$7:J$11,"=3")&gt;=2,TRUE))</formula>
    </cfRule>
    <cfRule type="expression" dxfId="3624" priority="234">
      <formula>AND(J7=1,IF(COUNTIF(J$7:J$11,"=1")&gt;=2,TRUE))</formula>
    </cfRule>
    <cfRule type="expression" dxfId="3623" priority="235">
      <formula>AND(J7=2,IF(COUNTIF(J$7:J$11,"=2")&gt;=2,TRUE))</formula>
    </cfRule>
  </conditionalFormatting>
  <conditionalFormatting sqref="H7:H11">
    <cfRule type="expression" dxfId="3622" priority="222">
      <formula>AND(J7=1,IF(COUNTIF(J$7:J$11,"=1")&gt;=2,TRUE))</formula>
    </cfRule>
    <cfRule type="expression" dxfId="3621" priority="229">
      <formula>AND(J7=3,IF(COUNTIF(J$7:J$11,"=3")&gt;=2,TRUE))</formula>
    </cfRule>
    <cfRule type="expression" dxfId="3620" priority="230">
      <formula>AND(J7=2,IF(COUNTIF(J$7:J$11,"=2")&gt;=2,TRUE))</formula>
    </cfRule>
  </conditionalFormatting>
  <conditionalFormatting sqref="H14:H18">
    <cfRule type="expression" dxfId="3619" priority="223">
      <formula>AND(J14=1,IF(COUNTIF(J$14:J$18,"=1")&gt;=2,TRUE))</formula>
    </cfRule>
    <cfRule type="expression" dxfId="3618" priority="227">
      <formula>AND(J14=3,IF(COUNTIF(J$14:J$18,"=3")&gt;=2,TRUE))</formula>
    </cfRule>
    <cfRule type="expression" dxfId="3617" priority="228">
      <formula>AND(J14=2,IF(COUNTIF(J$14:J$18,"=2")&gt;=2,TRUE))</formula>
    </cfRule>
  </conditionalFormatting>
  <conditionalFormatting sqref="H21:H25">
    <cfRule type="expression" dxfId="3616" priority="224">
      <formula>AND(J21=1,IF(COUNTIF(J$21:J$25,"=1")&gt;=2,TRUE))</formula>
    </cfRule>
    <cfRule type="expression" dxfId="3615" priority="225">
      <formula>AND(J21=3,IF(COUNTIF(J$21:J$25,"=3")&gt;=2,TRUE))</formula>
    </cfRule>
    <cfRule type="expression" dxfId="3614" priority="226">
      <formula>AND(J21=2,IF(COUNTIF(J$21:J$25,"=2")&gt;=2,TRUE))</formula>
    </cfRule>
  </conditionalFormatting>
  <conditionalFormatting sqref="C69 C73:C74">
    <cfRule type="aboveAverage" dxfId="3613" priority="221"/>
  </conditionalFormatting>
  <conditionalFormatting sqref="D69 D73:D74">
    <cfRule type="aboveAverage" dxfId="3612" priority="220"/>
  </conditionalFormatting>
  <conditionalFormatting sqref="K28:K32">
    <cfRule type="expression" dxfId="3611" priority="217">
      <formula>AND(J28=3,IF(COUNTIF(J$28:J$32,"=3")&gt;=2,TRUE))</formula>
    </cfRule>
    <cfRule type="expression" dxfId="3610" priority="218">
      <formula>AND(J28=1,IF(COUNTIF(J$28:J$32,"=1")&gt;=2,TRUE))</formula>
    </cfRule>
    <cfRule type="expression" dxfId="3609" priority="219">
      <formula>AND(J28=2,IF(COUNTIF(J$28:J$32,"=2")&gt;=2,TRUE))</formula>
    </cfRule>
  </conditionalFormatting>
  <conditionalFormatting sqref="H28:H32">
    <cfRule type="expression" dxfId="3608" priority="214">
      <formula>AND(J28=1,IF(COUNTIF(J$28:J$32,"=1")&gt;=2,TRUE))</formula>
    </cfRule>
    <cfRule type="expression" dxfId="3607" priority="215">
      <formula>AND(J28=3,IF(COUNTIF(J$28:J$32,"=3")&gt;=2,TRUE))</formula>
    </cfRule>
    <cfRule type="expression" dxfId="3606" priority="216">
      <formula>AND(J28=2,IF(COUNTIF(J$28:J$32,"=2")&gt;=2,TRUE))</formula>
    </cfRule>
  </conditionalFormatting>
  <conditionalFormatting sqref="D14 C15">
    <cfRule type="aboveAverage" dxfId="3605" priority="213"/>
  </conditionalFormatting>
  <conditionalFormatting sqref="E14 C16">
    <cfRule type="aboveAverage" dxfId="3604" priority="212"/>
  </conditionalFormatting>
  <conditionalFormatting sqref="F14 C17">
    <cfRule type="aboveAverage" dxfId="3603" priority="211"/>
  </conditionalFormatting>
  <conditionalFormatting sqref="E15 D16">
    <cfRule type="aboveAverage" dxfId="3602" priority="210"/>
  </conditionalFormatting>
  <conditionalFormatting sqref="G14 C18">
    <cfRule type="aboveAverage" dxfId="3601" priority="209"/>
  </conditionalFormatting>
  <conditionalFormatting sqref="F15 D17">
    <cfRule type="aboveAverage" dxfId="3600" priority="208"/>
  </conditionalFormatting>
  <conditionalFormatting sqref="G15 D18">
    <cfRule type="aboveAverage" dxfId="3599" priority="207"/>
  </conditionalFormatting>
  <conditionalFormatting sqref="F16 E17">
    <cfRule type="aboveAverage" dxfId="3598" priority="206"/>
  </conditionalFormatting>
  <conditionalFormatting sqref="G16 E18">
    <cfRule type="aboveAverage" dxfId="3597" priority="205"/>
  </conditionalFormatting>
  <conditionalFormatting sqref="F18 G17">
    <cfRule type="aboveAverage" dxfId="3596" priority="204"/>
  </conditionalFormatting>
  <conditionalFormatting sqref="D21 C22">
    <cfRule type="aboveAverage" dxfId="3595" priority="203"/>
  </conditionalFormatting>
  <conditionalFormatting sqref="E21 C23">
    <cfRule type="aboveAverage" dxfId="3594" priority="202"/>
  </conditionalFormatting>
  <conditionalFormatting sqref="F21 C24">
    <cfRule type="aboveAverage" dxfId="3593" priority="201"/>
  </conditionalFormatting>
  <conditionalFormatting sqref="E22 D23">
    <cfRule type="aboveAverage" dxfId="3592" priority="200"/>
  </conditionalFormatting>
  <conditionalFormatting sqref="G21 C25">
    <cfRule type="aboveAverage" dxfId="3591" priority="199"/>
  </conditionalFormatting>
  <conditionalFormatting sqref="F22 D24">
    <cfRule type="aboveAverage" dxfId="3590" priority="198"/>
  </conditionalFormatting>
  <conditionalFormatting sqref="G22 D25">
    <cfRule type="aboveAverage" dxfId="3589" priority="197"/>
  </conditionalFormatting>
  <conditionalFormatting sqref="F23 E24">
    <cfRule type="aboveAverage" dxfId="3588" priority="196"/>
  </conditionalFormatting>
  <conditionalFormatting sqref="G23 E25">
    <cfRule type="aboveAverage" dxfId="3587" priority="195"/>
  </conditionalFormatting>
  <conditionalFormatting sqref="F25 G24">
    <cfRule type="aboveAverage" dxfId="3586" priority="194"/>
  </conditionalFormatting>
  <conditionalFormatting sqref="D28 C29">
    <cfRule type="aboveAverage" dxfId="3585" priority="193"/>
  </conditionalFormatting>
  <conditionalFormatting sqref="E28 C30">
    <cfRule type="aboveAverage" dxfId="3584" priority="192"/>
  </conditionalFormatting>
  <conditionalFormatting sqref="F28 C31">
    <cfRule type="aboveAverage" dxfId="3583" priority="191"/>
  </conditionalFormatting>
  <conditionalFormatting sqref="E29 D30">
    <cfRule type="aboveAverage" dxfId="3582" priority="190"/>
  </conditionalFormatting>
  <conditionalFormatting sqref="G28 C32">
    <cfRule type="aboveAverage" dxfId="3581" priority="189"/>
  </conditionalFormatting>
  <conditionalFormatting sqref="F29 D31">
    <cfRule type="aboveAverage" dxfId="3580" priority="188"/>
  </conditionalFormatting>
  <conditionalFormatting sqref="G29 D32">
    <cfRule type="aboveAverage" dxfId="3579" priority="187"/>
  </conditionalFormatting>
  <conditionalFormatting sqref="F30 E31">
    <cfRule type="aboveAverage" dxfId="3578" priority="186"/>
  </conditionalFormatting>
  <conditionalFormatting sqref="G30 E32">
    <cfRule type="aboveAverage" dxfId="3577" priority="185"/>
  </conditionalFormatting>
  <conditionalFormatting sqref="F32 G31">
    <cfRule type="aboveAverage" dxfId="3576" priority="184"/>
  </conditionalFormatting>
  <conditionalFormatting sqref="D35 C36">
    <cfRule type="aboveAverage" dxfId="3575" priority="182"/>
  </conditionalFormatting>
  <conditionalFormatting sqref="E35 C37">
    <cfRule type="aboveAverage" dxfId="3574" priority="181"/>
  </conditionalFormatting>
  <conditionalFormatting sqref="F35 C38">
    <cfRule type="aboveAverage" dxfId="3573" priority="180"/>
  </conditionalFormatting>
  <conditionalFormatting sqref="E36 D37">
    <cfRule type="aboveAverage" dxfId="3572" priority="179"/>
  </conditionalFormatting>
  <conditionalFormatting sqref="G35 C39">
    <cfRule type="aboveAverage" dxfId="3571" priority="178"/>
  </conditionalFormatting>
  <conditionalFormatting sqref="F36 D38">
    <cfRule type="aboveAverage" dxfId="3570" priority="177"/>
  </conditionalFormatting>
  <conditionalFormatting sqref="G36 D39">
    <cfRule type="aboveAverage" dxfId="3569" priority="176"/>
  </conditionalFormatting>
  <conditionalFormatting sqref="F37 E38">
    <cfRule type="aboveAverage" dxfId="3568" priority="175"/>
  </conditionalFormatting>
  <conditionalFormatting sqref="G37 E39">
    <cfRule type="aboveAverage" dxfId="3567" priority="174"/>
  </conditionalFormatting>
  <conditionalFormatting sqref="F39 G38">
    <cfRule type="aboveAverage" dxfId="3566" priority="173"/>
  </conditionalFormatting>
  <conditionalFormatting sqref="K42:K46">
    <cfRule type="expression" dxfId="3565" priority="165">
      <formula>AND(J42=3,IF(COUNTIF(J$14:J$18,"=3")&gt;=2,TRUE))</formula>
    </cfRule>
    <cfRule type="expression" dxfId="3564" priority="171">
      <formula>AND(J42=1,IF(COUNTIF(J$14:J$18,"=1")&gt;=2,TRUE))</formula>
    </cfRule>
    <cfRule type="expression" dxfId="3563" priority="172">
      <formula>AND(J42=2,IF(COUNTIF(J$14:J$18,"=2")&gt;=2,TRUE))</formula>
    </cfRule>
  </conditionalFormatting>
  <conditionalFormatting sqref="K49:K53">
    <cfRule type="expression" dxfId="3562" priority="164">
      <formula>AND(J49=3,IF(COUNTIF(J$21:J$25,"=3")&gt;=2,TRUE))</formula>
    </cfRule>
    <cfRule type="expression" dxfId="3561" priority="169">
      <formula>AND(J49=1,IF(COUNTIF(J$21:J$25,"=1")&gt;=2,TRUE))</formula>
    </cfRule>
    <cfRule type="expression" dxfId="3560" priority="170">
      <formula>AND(J49=2,IF(COUNTIF(J$21:J$25,"=2")&gt;=2,TRUE))</formula>
    </cfRule>
  </conditionalFormatting>
  <conditionalFormatting sqref="K35:K39">
    <cfRule type="expression" dxfId="3559" priority="166">
      <formula>AND(J35=3,IF(COUNTIF(J$7:J$11,"=3")&gt;=2,TRUE))</formula>
    </cfRule>
    <cfRule type="expression" dxfId="3558" priority="167">
      <formula>AND(J35=1,IF(COUNTIF(J$7:J$11,"=1")&gt;=2,TRUE))</formula>
    </cfRule>
    <cfRule type="expression" dxfId="3557" priority="168">
      <formula>AND(J35=2,IF(COUNTIF(J$7:J$11,"=2")&gt;=2,TRUE))</formula>
    </cfRule>
  </conditionalFormatting>
  <conditionalFormatting sqref="H35:H39">
    <cfRule type="expression" dxfId="3556" priority="155">
      <formula>AND(J35=1,IF(COUNTIF(J$7:J$11,"=1")&gt;=2,TRUE))</formula>
    </cfRule>
    <cfRule type="expression" dxfId="3555" priority="162">
      <formula>AND(J35=3,IF(COUNTIF(J$7:J$11,"=3")&gt;=2,TRUE))</formula>
    </cfRule>
    <cfRule type="expression" dxfId="3554" priority="163">
      <formula>AND(J35=2,IF(COUNTIF(J$7:J$11,"=2")&gt;=2,TRUE))</formula>
    </cfRule>
  </conditionalFormatting>
  <conditionalFormatting sqref="H42:H46">
    <cfRule type="expression" dxfId="3553" priority="156">
      <formula>AND(J42=1,IF(COUNTIF(J$14:J$18,"=1")&gt;=2,TRUE))</formula>
    </cfRule>
    <cfRule type="expression" dxfId="3552" priority="160">
      <formula>AND(J42=3,IF(COUNTIF(J$14:J$18,"=3")&gt;=2,TRUE))</formula>
    </cfRule>
    <cfRule type="expression" dxfId="3551" priority="161">
      <formula>AND(J42=2,IF(COUNTIF(J$14:J$18,"=2")&gt;=2,TRUE))</formula>
    </cfRule>
  </conditionalFormatting>
  <conditionalFormatting sqref="H49:H53">
    <cfRule type="expression" dxfId="3550" priority="157">
      <formula>AND(J49=1,IF(COUNTIF(J$21:J$25,"=1")&gt;=2,TRUE))</formula>
    </cfRule>
    <cfRule type="expression" dxfId="3549" priority="158">
      <formula>AND(J49=3,IF(COUNTIF(J$21:J$25,"=3")&gt;=2,TRUE))</formula>
    </cfRule>
    <cfRule type="expression" dxfId="3548" priority="159">
      <formula>AND(J49=2,IF(COUNTIF(J$21:J$25,"=2")&gt;=2,TRUE))</formula>
    </cfRule>
  </conditionalFormatting>
  <conditionalFormatting sqref="K56:K60">
    <cfRule type="expression" dxfId="3547" priority="152">
      <formula>AND(J56=3,IF(COUNTIF(J$28:J$32,"=3")&gt;=2,TRUE))</formula>
    </cfRule>
    <cfRule type="expression" dxfId="3546" priority="153">
      <formula>AND(J56=1,IF(COUNTIF(J$28:J$32,"=1")&gt;=2,TRUE))</formula>
    </cfRule>
    <cfRule type="expression" dxfId="3545" priority="154">
      <formula>AND(J56=2,IF(COUNTIF(J$28:J$32,"=2")&gt;=2,TRUE))</formula>
    </cfRule>
  </conditionalFormatting>
  <conditionalFormatting sqref="H56:H60">
    <cfRule type="expression" dxfId="3544" priority="149">
      <formula>AND(J56=1,IF(COUNTIF(J$28:J$32,"=1")&gt;=2,TRUE))</formula>
    </cfRule>
    <cfRule type="expression" dxfId="3543" priority="150">
      <formula>AND(J56=3,IF(COUNTIF(J$28:J$32,"=3")&gt;=2,TRUE))</formula>
    </cfRule>
    <cfRule type="expression" dxfId="3542" priority="151">
      <formula>AND(J56=2,IF(COUNTIF(J$28:J$32,"=2")&gt;=2,TRUE))</formula>
    </cfRule>
  </conditionalFormatting>
  <conditionalFormatting sqref="B37">
    <cfRule type="duplicateValues" dxfId="3541" priority="183"/>
  </conditionalFormatting>
  <conditionalFormatting sqref="D42 C43">
    <cfRule type="aboveAverage" dxfId="3540" priority="147"/>
  </conditionalFormatting>
  <conditionalFormatting sqref="E42 C44">
    <cfRule type="aboveAverage" dxfId="3539" priority="146"/>
  </conditionalFormatting>
  <conditionalFormatting sqref="F42 C45">
    <cfRule type="aboveAverage" dxfId="3538" priority="145"/>
  </conditionalFormatting>
  <conditionalFormatting sqref="E43 D44">
    <cfRule type="aboveAverage" dxfId="3537" priority="144"/>
  </conditionalFormatting>
  <conditionalFormatting sqref="G42 C46">
    <cfRule type="aboveAverage" dxfId="3536" priority="143"/>
  </conditionalFormatting>
  <conditionalFormatting sqref="F43 D45">
    <cfRule type="aboveAverage" dxfId="3535" priority="142"/>
  </conditionalFormatting>
  <conditionalFormatting sqref="G43 D46">
    <cfRule type="aboveAverage" dxfId="3534" priority="141"/>
  </conditionalFormatting>
  <conditionalFormatting sqref="F44 E45">
    <cfRule type="aboveAverage" dxfId="3533" priority="140"/>
  </conditionalFormatting>
  <conditionalFormatting sqref="G44 E46">
    <cfRule type="aboveAverage" dxfId="3532" priority="139"/>
  </conditionalFormatting>
  <conditionalFormatting sqref="F46 G45">
    <cfRule type="aboveAverage" dxfId="3531" priority="138"/>
  </conditionalFormatting>
  <conditionalFormatting sqref="B44">
    <cfRule type="duplicateValues" dxfId="3530" priority="148"/>
  </conditionalFormatting>
  <conditionalFormatting sqref="D49 C50">
    <cfRule type="aboveAverage" dxfId="3529" priority="136"/>
  </conditionalFormatting>
  <conditionalFormatting sqref="E49 C51">
    <cfRule type="aboveAverage" dxfId="3528" priority="135"/>
  </conditionalFormatting>
  <conditionalFormatting sqref="F49 C52">
    <cfRule type="aboveAverage" dxfId="3527" priority="134"/>
  </conditionalFormatting>
  <conditionalFormatting sqref="E50 D51">
    <cfRule type="aboveAverage" dxfId="3526" priority="133"/>
  </conditionalFormatting>
  <conditionalFormatting sqref="G49 C53">
    <cfRule type="aboveAverage" dxfId="3525" priority="132"/>
  </conditionalFormatting>
  <conditionalFormatting sqref="F50 D52">
    <cfRule type="aboveAverage" dxfId="3524" priority="131"/>
  </conditionalFormatting>
  <conditionalFormatting sqref="G50 D53">
    <cfRule type="aboveAverage" dxfId="3523" priority="130"/>
  </conditionalFormatting>
  <conditionalFormatting sqref="F51 E52">
    <cfRule type="aboveAverage" dxfId="3522" priority="129"/>
  </conditionalFormatting>
  <conditionalFormatting sqref="G51 E53">
    <cfRule type="aboveAverage" dxfId="3521" priority="128"/>
  </conditionalFormatting>
  <conditionalFormatting sqref="F53 G52">
    <cfRule type="aboveAverage" dxfId="3520" priority="127"/>
  </conditionalFormatting>
  <conditionalFormatting sqref="B51">
    <cfRule type="duplicateValues" dxfId="3519" priority="137"/>
  </conditionalFormatting>
  <conditionalFormatting sqref="D56 C57">
    <cfRule type="aboveAverage" dxfId="3518" priority="125"/>
  </conditionalFormatting>
  <conditionalFormatting sqref="E56 C58">
    <cfRule type="aboveAverage" dxfId="3517" priority="124"/>
  </conditionalFormatting>
  <conditionalFormatting sqref="F56 C59">
    <cfRule type="aboveAverage" dxfId="3516" priority="123"/>
  </conditionalFormatting>
  <conditionalFormatting sqref="E57 D58">
    <cfRule type="aboveAverage" dxfId="3515" priority="122"/>
  </conditionalFormatting>
  <conditionalFormatting sqref="G56 C60">
    <cfRule type="aboveAverage" dxfId="3514" priority="121"/>
  </conditionalFormatting>
  <conditionalFormatting sqref="F57 D59">
    <cfRule type="aboveAverage" dxfId="3513" priority="120"/>
  </conditionalFormatting>
  <conditionalFormatting sqref="G57 D60">
    <cfRule type="aboveAverage" dxfId="3512" priority="119"/>
  </conditionalFormatting>
  <conditionalFormatting sqref="F58 E59">
    <cfRule type="aboveAverage" dxfId="3511" priority="118"/>
  </conditionalFormatting>
  <conditionalFormatting sqref="G58 E60">
    <cfRule type="aboveAverage" dxfId="3510" priority="117"/>
  </conditionalFormatting>
  <conditionalFormatting sqref="F60 G59">
    <cfRule type="aboveAverage" dxfId="3509" priority="116"/>
  </conditionalFormatting>
  <conditionalFormatting sqref="B58">
    <cfRule type="duplicateValues" dxfId="3508" priority="126"/>
  </conditionalFormatting>
  <conditionalFormatting sqref="I10:I11">
    <cfRule type="expression" dxfId="3507" priority="114">
      <formula>FIND(2,I10,1)</formula>
    </cfRule>
    <cfRule type="expression" dxfId="3506" priority="115">
      <formula>FIND(1,I10,1)</formula>
    </cfRule>
  </conditionalFormatting>
  <conditionalFormatting sqref="I7:I9">
    <cfRule type="expression" dxfId="3505" priority="112">
      <formula>FIND(2,I7,1)</formula>
    </cfRule>
    <cfRule type="expression" dxfId="3504" priority="113">
      <formula>FIND(1,I7,1)</formula>
    </cfRule>
  </conditionalFormatting>
  <conditionalFormatting sqref="I14:I18">
    <cfRule type="expression" dxfId="3503" priority="110">
      <formula>FIND(2,I14,1)</formula>
    </cfRule>
    <cfRule type="expression" dxfId="3502" priority="111">
      <formula>FIND(1,I14,1)</formula>
    </cfRule>
  </conditionalFormatting>
  <conditionalFormatting sqref="I21:I25">
    <cfRule type="expression" dxfId="3501" priority="108">
      <formula>FIND(2,I21,1)</formula>
    </cfRule>
    <cfRule type="expression" dxfId="3500" priority="109">
      <formula>FIND(1,I21,1)</formula>
    </cfRule>
  </conditionalFormatting>
  <conditionalFormatting sqref="I28:I32">
    <cfRule type="expression" dxfId="3499" priority="106">
      <formula>FIND(2,I28,1)</formula>
    </cfRule>
    <cfRule type="expression" dxfId="3498" priority="107">
      <formula>FIND(1,I28,1)</formula>
    </cfRule>
  </conditionalFormatting>
  <conditionalFormatting sqref="I38:I39">
    <cfRule type="expression" dxfId="3497" priority="104">
      <formula>FIND(2,I38,1)</formula>
    </cfRule>
    <cfRule type="expression" dxfId="3496" priority="105">
      <formula>FIND(1,I38,1)</formula>
    </cfRule>
  </conditionalFormatting>
  <conditionalFormatting sqref="I35:I37">
    <cfRule type="expression" dxfId="3495" priority="102">
      <formula>FIND(2,I35,1)</formula>
    </cfRule>
    <cfRule type="expression" dxfId="3494" priority="103">
      <formula>FIND(1,I35,1)</formula>
    </cfRule>
  </conditionalFormatting>
  <conditionalFormatting sqref="I42:I46">
    <cfRule type="expression" dxfId="3493" priority="100">
      <formula>FIND(2,I42,1)</formula>
    </cfRule>
    <cfRule type="expression" dxfId="3492" priority="101">
      <formula>FIND(1,I42,1)</formula>
    </cfRule>
  </conditionalFormatting>
  <conditionalFormatting sqref="I49:I53">
    <cfRule type="expression" dxfId="3491" priority="98">
      <formula>FIND(2,I49,1)</formula>
    </cfRule>
    <cfRule type="expression" dxfId="3490" priority="99">
      <formula>FIND(1,I49,1)</formula>
    </cfRule>
  </conditionalFormatting>
  <conditionalFormatting sqref="L15:L18">
    <cfRule type="expression" dxfId="3489" priority="90">
      <formula>OR(J15=0,J15=4)</formula>
    </cfRule>
    <cfRule type="expression" dxfId="3488" priority="94">
      <formula>AND(J15=1,IF(COUNTIF(J$14:J$18,"=1")=1,TRUE))</formula>
    </cfRule>
    <cfRule type="expression" dxfId="3487" priority="95">
      <formula>AND(J15=3,IF(COUNTIF(J$14:J$18,"=3")=1,TRUE))</formula>
    </cfRule>
  </conditionalFormatting>
  <conditionalFormatting sqref="L21:L25">
    <cfRule type="expression" dxfId="3486" priority="91">
      <formula>OR(J21=0,J21=4)</formula>
    </cfRule>
    <cfRule type="expression" dxfId="3485" priority="92">
      <formula>AND(J21=1,IF(COUNTIF(J$21:J$25,"=1")=1,TRUE))</formula>
    </cfRule>
    <cfRule type="expression" dxfId="3484" priority="93">
      <formula>AND(J21=3,IF(COUNTIF(J$21:J$25,"=3")=1,TRUE))</formula>
    </cfRule>
  </conditionalFormatting>
  <conditionalFormatting sqref="L7:L11">
    <cfRule type="expression" dxfId="3483" priority="87">
      <formula>OR(J7=0,J7=4)</formula>
    </cfRule>
    <cfRule type="expression" dxfId="3482" priority="88">
      <formula>AND(J7=1,IF(COUNTIF(J$7:J$11,"=1")=1,TRUE))</formula>
    </cfRule>
    <cfRule type="expression" dxfId="3481" priority="89">
      <formula>AND(J7=3,IF(COUNTIF(J$7:J$11,"=3")=1,TRUE))</formula>
    </cfRule>
  </conditionalFormatting>
  <conditionalFormatting sqref="L28:L32">
    <cfRule type="expression" dxfId="3480" priority="84">
      <formula>OR(J28=0,J28=4)</formula>
    </cfRule>
    <cfRule type="expression" dxfId="3479" priority="85">
      <formula>AND(J28=1,IF(COUNTIF(J$28:J$32,"=1")=1,TRUE))</formula>
    </cfRule>
    <cfRule type="expression" dxfId="3478" priority="86">
      <formula>AND(J28=3,IF(COUNTIF(J$28:J$32,"=3")=1,TRUE))</formula>
    </cfRule>
  </conditionalFormatting>
  <conditionalFormatting sqref="L43:L46">
    <cfRule type="expression" dxfId="3477" priority="78">
      <formula>OR(J43=0,J43=4)</formula>
    </cfRule>
    <cfRule type="expression" dxfId="3476" priority="82">
      <formula>AND(J43=1,IF(COUNTIF(J$14:J$18,"=1")=1,TRUE))</formula>
    </cfRule>
    <cfRule type="expression" dxfId="3475" priority="83">
      <formula>AND(J43=3,IF(COUNTIF(J$14:J$18,"=3")=1,TRUE))</formula>
    </cfRule>
  </conditionalFormatting>
  <conditionalFormatting sqref="L49:L53">
    <cfRule type="expression" dxfId="3474" priority="79">
      <formula>OR(J49=0,J49=4)</formula>
    </cfRule>
    <cfRule type="expression" dxfId="3473" priority="80">
      <formula>AND(J49=1,IF(COUNTIF(J$21:J$25,"=1")=1,TRUE))</formula>
    </cfRule>
    <cfRule type="expression" dxfId="3472" priority="81">
      <formula>AND(J49=3,IF(COUNTIF(J$21:J$25,"=3")=1,TRUE))</formula>
    </cfRule>
  </conditionalFormatting>
  <conditionalFormatting sqref="L35:L39">
    <cfRule type="expression" dxfId="3471" priority="75">
      <formula>OR(J35=0,J35=4)</formula>
    </cfRule>
    <cfRule type="expression" dxfId="3470" priority="76">
      <formula>AND(J35=1,IF(COUNTIF(J$7:J$11,"=1")=1,TRUE))</formula>
    </cfRule>
    <cfRule type="expression" dxfId="3469" priority="77">
      <formula>AND(J35=3,IF(COUNTIF(J$7:J$11,"=3")=1,TRUE))</formula>
    </cfRule>
  </conditionalFormatting>
  <conditionalFormatting sqref="L56:L60">
    <cfRule type="expression" dxfId="3468" priority="72">
      <formula>OR(J56=0,J56=4)</formula>
    </cfRule>
    <cfRule type="expression" dxfId="3467" priority="73">
      <formula>AND(J56=1,IF(COUNTIF(J$28:J$32,"=1")=1,TRUE))</formula>
    </cfRule>
    <cfRule type="expression" dxfId="3466" priority="74">
      <formula>AND(J56=3,IF(COUNTIF(J$28:J$32,"=3")=1,TRUE))</formula>
    </cfRule>
  </conditionalFormatting>
  <conditionalFormatting sqref="L14">
    <cfRule type="expression" dxfId="3465" priority="69">
      <formula>OR(J14=0,J14=4)</formula>
    </cfRule>
    <cfRule type="expression" dxfId="3464" priority="70">
      <formula>AND(J14=1,IF(COUNTIF(J$7:J$11,"=1")=1,TRUE))</formula>
    </cfRule>
    <cfRule type="expression" dxfId="3463" priority="71">
      <formula>AND(J14=3,IF(COUNTIF(J$7:J$11,"=3")=1,TRUE))</formula>
    </cfRule>
  </conditionalFormatting>
  <conditionalFormatting sqref="L42">
    <cfRule type="expression" dxfId="3462" priority="66">
      <formula>OR(J42=0,J42=4)</formula>
    </cfRule>
    <cfRule type="expression" dxfId="3461" priority="67">
      <formula>AND(J42=1,IF(COUNTIF(J$7:J$11,"=1")=1,TRUE))</formula>
    </cfRule>
    <cfRule type="expression" dxfId="3460" priority="68">
      <formula>AND(J42=3,IF(COUNTIF(J$7:J$11,"=3")=1,TRUE))</formula>
    </cfRule>
  </conditionalFormatting>
  <conditionalFormatting sqref="E123 E125">
    <cfRule type="aboveAverage" dxfId="3459" priority="65"/>
  </conditionalFormatting>
  <conditionalFormatting sqref="E127 E129">
    <cfRule type="aboveAverage" dxfId="3458" priority="64"/>
  </conditionalFormatting>
  <conditionalFormatting sqref="G124 G128">
    <cfRule type="aboveAverage" dxfId="3457" priority="63"/>
  </conditionalFormatting>
  <conditionalFormatting sqref="G131 G133">
    <cfRule type="aboveAverage" dxfId="3456" priority="62"/>
  </conditionalFormatting>
  <conditionalFormatting sqref="E123 E125 E127 E129 G124 G128 G131 G133">
    <cfRule type="containsBlanks" dxfId="3455" priority="61">
      <formula>LEN(TRIM(E123))=0</formula>
    </cfRule>
  </conditionalFormatting>
  <conditionalFormatting sqref="C102 C104">
    <cfRule type="aboveAverage" dxfId="3454" priority="60"/>
  </conditionalFormatting>
  <conditionalFormatting sqref="E103 E107">
    <cfRule type="aboveAverage" dxfId="3453" priority="59"/>
  </conditionalFormatting>
  <conditionalFormatting sqref="C110 C112">
    <cfRule type="aboveAverage" dxfId="3452" priority="58"/>
  </conditionalFormatting>
  <conditionalFormatting sqref="G105 G113">
    <cfRule type="aboveAverage" dxfId="3451" priority="57"/>
  </conditionalFormatting>
  <conditionalFormatting sqref="C102 C104 C110 C112 E103 G105 E107 G113">
    <cfRule type="containsBlanks" dxfId="3450" priority="56">
      <formula>LEN(TRIM(C102))=0</formula>
    </cfRule>
  </conditionalFormatting>
  <conditionalFormatting sqref="C106 C108">
    <cfRule type="aboveAverage" dxfId="3449" priority="55"/>
  </conditionalFormatting>
  <conditionalFormatting sqref="C106 C108">
    <cfRule type="containsBlanks" dxfId="3448" priority="54">
      <formula>LEN(TRIM(C106))=0</formula>
    </cfRule>
  </conditionalFormatting>
  <conditionalFormatting sqref="C114 C116">
    <cfRule type="aboveAverage" dxfId="3447" priority="53"/>
  </conditionalFormatting>
  <conditionalFormatting sqref="C114 C116">
    <cfRule type="containsBlanks" dxfId="3446" priority="52">
      <formula>LEN(TRIM(C114))=0</formula>
    </cfRule>
  </conditionalFormatting>
  <conditionalFormatting sqref="E103">
    <cfRule type="aboveAverage" dxfId="3445" priority="51"/>
  </conditionalFormatting>
  <conditionalFormatting sqref="E107">
    <cfRule type="aboveAverage" dxfId="3444" priority="50"/>
  </conditionalFormatting>
  <conditionalFormatting sqref="G105">
    <cfRule type="aboveAverage" dxfId="3443" priority="49"/>
  </conditionalFormatting>
  <conditionalFormatting sqref="G105">
    <cfRule type="aboveAverage" dxfId="3442" priority="48"/>
  </conditionalFormatting>
  <conditionalFormatting sqref="G113">
    <cfRule type="aboveAverage" dxfId="3441" priority="47"/>
  </conditionalFormatting>
  <conditionalFormatting sqref="G113">
    <cfRule type="aboveAverage" dxfId="3440" priority="46"/>
  </conditionalFormatting>
  <conditionalFormatting sqref="G117 G119">
    <cfRule type="aboveAverage" dxfId="3439" priority="45"/>
  </conditionalFormatting>
  <conditionalFormatting sqref="G117 G119">
    <cfRule type="containsBlanks" dxfId="3438" priority="44">
      <formula>LEN(TRIM(G117))=0</formula>
    </cfRule>
  </conditionalFormatting>
  <conditionalFormatting sqref="E107">
    <cfRule type="aboveAverage" dxfId="3437" priority="43"/>
  </conditionalFormatting>
  <conditionalFormatting sqref="E111 E115">
    <cfRule type="aboveAverage" dxfId="3436" priority="42"/>
  </conditionalFormatting>
  <conditionalFormatting sqref="E111 E115">
    <cfRule type="containsBlanks" dxfId="3435" priority="41">
      <formula>LEN(TRIM(E111))=0</formula>
    </cfRule>
  </conditionalFormatting>
  <conditionalFormatting sqref="E111">
    <cfRule type="aboveAverage" dxfId="3434" priority="40"/>
  </conditionalFormatting>
  <conditionalFormatting sqref="E115">
    <cfRule type="aboveAverage" dxfId="3433" priority="39"/>
  </conditionalFormatting>
  <conditionalFormatting sqref="E115">
    <cfRule type="aboveAverage" dxfId="3432" priority="38"/>
  </conditionalFormatting>
  <conditionalFormatting sqref="G113">
    <cfRule type="aboveAverage" dxfId="3431" priority="37"/>
  </conditionalFormatting>
  <conditionalFormatting sqref="G113">
    <cfRule type="aboveAverage" dxfId="3430" priority="36"/>
  </conditionalFormatting>
  <conditionalFormatting sqref="E161 E163">
    <cfRule type="aboveAverage" dxfId="3429" priority="35"/>
  </conditionalFormatting>
  <conditionalFormatting sqref="E165 E167">
    <cfRule type="aboveAverage" dxfId="3428" priority="34"/>
  </conditionalFormatting>
  <conditionalFormatting sqref="G162 G166">
    <cfRule type="aboveAverage" dxfId="3427" priority="33"/>
  </conditionalFormatting>
  <conditionalFormatting sqref="G169 G171">
    <cfRule type="aboveAverage" dxfId="3426" priority="32"/>
  </conditionalFormatting>
  <conditionalFormatting sqref="E161 E163 E165 E167 G162 G166 G169 G171">
    <cfRule type="containsBlanks" dxfId="3425" priority="31">
      <formula>LEN(TRIM(E161))=0</formula>
    </cfRule>
  </conditionalFormatting>
  <conditionalFormatting sqref="C140 C142">
    <cfRule type="aboveAverage" dxfId="3424" priority="30"/>
  </conditionalFormatting>
  <conditionalFormatting sqref="E141 E145">
    <cfRule type="aboveAverage" dxfId="3423" priority="29"/>
  </conditionalFormatting>
  <conditionalFormatting sqref="C148 C150">
    <cfRule type="aboveAverage" dxfId="3422" priority="28"/>
  </conditionalFormatting>
  <conditionalFormatting sqref="G143 G151">
    <cfRule type="aboveAverage" dxfId="3421" priority="27"/>
  </conditionalFormatting>
  <conditionalFormatting sqref="C140 C142 C148 C150 E141 G143 E145 G151">
    <cfRule type="containsBlanks" dxfId="3420" priority="26">
      <formula>LEN(TRIM(C140))=0</formula>
    </cfRule>
  </conditionalFormatting>
  <conditionalFormatting sqref="C144 C146">
    <cfRule type="aboveAverage" dxfId="3419" priority="25"/>
  </conditionalFormatting>
  <conditionalFormatting sqref="C144 C146">
    <cfRule type="containsBlanks" dxfId="3418" priority="24">
      <formula>LEN(TRIM(C144))=0</formula>
    </cfRule>
  </conditionalFormatting>
  <conditionalFormatting sqref="C152 C154">
    <cfRule type="aboveAverage" dxfId="3417" priority="23"/>
  </conditionalFormatting>
  <conditionalFormatting sqref="C152 C154">
    <cfRule type="containsBlanks" dxfId="3416" priority="22">
      <formula>LEN(TRIM(C152))=0</formula>
    </cfRule>
  </conditionalFormatting>
  <conditionalFormatting sqref="E141">
    <cfRule type="aboveAverage" dxfId="3415" priority="21"/>
  </conditionalFormatting>
  <conditionalFormatting sqref="E145">
    <cfRule type="aboveAverage" dxfId="3414" priority="20"/>
  </conditionalFormatting>
  <conditionalFormatting sqref="G143">
    <cfRule type="aboveAverage" dxfId="3413" priority="19"/>
  </conditionalFormatting>
  <conditionalFormatting sqref="G143">
    <cfRule type="aboveAverage" dxfId="3412" priority="18"/>
  </conditionalFormatting>
  <conditionalFormatting sqref="G151">
    <cfRule type="aboveAverage" dxfId="3411" priority="17"/>
  </conditionalFormatting>
  <conditionalFormatting sqref="G151">
    <cfRule type="aboveAverage" dxfId="3410" priority="16"/>
  </conditionalFormatting>
  <conditionalFormatting sqref="G155 G157">
    <cfRule type="aboveAverage" dxfId="3409" priority="15"/>
  </conditionalFormatting>
  <conditionalFormatting sqref="G155 G157">
    <cfRule type="containsBlanks" dxfId="3408" priority="14">
      <formula>LEN(TRIM(G155))=0</formula>
    </cfRule>
  </conditionalFormatting>
  <conditionalFormatting sqref="E145">
    <cfRule type="aboveAverage" dxfId="3407" priority="13"/>
  </conditionalFormatting>
  <conditionalFormatting sqref="E149 E153">
    <cfRule type="aboveAverage" dxfId="3406" priority="12"/>
  </conditionalFormatting>
  <conditionalFormatting sqref="E149 E153">
    <cfRule type="containsBlanks" dxfId="3405" priority="11">
      <formula>LEN(TRIM(E149))=0</formula>
    </cfRule>
  </conditionalFormatting>
  <conditionalFormatting sqref="E149">
    <cfRule type="aboveAverage" dxfId="3404" priority="10"/>
  </conditionalFormatting>
  <conditionalFormatting sqref="E153">
    <cfRule type="aboveAverage" dxfId="3403" priority="9"/>
  </conditionalFormatting>
  <conditionalFormatting sqref="E153">
    <cfRule type="aboveAverage" dxfId="3402" priority="8"/>
  </conditionalFormatting>
  <conditionalFormatting sqref="G151">
    <cfRule type="aboveAverage" dxfId="3401" priority="7"/>
  </conditionalFormatting>
  <conditionalFormatting sqref="G151">
    <cfRule type="aboveAverage" dxfId="3400" priority="6"/>
  </conditionalFormatting>
  <conditionalFormatting sqref="B301:B316">
    <cfRule type="containsBlanks" dxfId="3399" priority="257">
      <formula>LEN(TRIM(B301))=0</formula>
    </cfRule>
    <cfRule type="duplicateValues" dxfId="3398" priority="258"/>
  </conditionalFormatting>
  <conditionalFormatting sqref="B300:B316">
    <cfRule type="expression" dxfId="3397" priority="1">
      <formula>A300=3</formula>
    </cfRule>
    <cfRule type="expression" dxfId="3396" priority="2">
      <formula>A300=2</formula>
    </cfRule>
    <cfRule type="expression" dxfId="3395" priority="3">
      <formula>A300=1</formula>
    </cfRule>
    <cfRule type="containsBlanks" dxfId="3394" priority="4">
      <formula>LEN(TRIM(B300))=0</formula>
    </cfRule>
    <cfRule type="duplicateValues" dxfId="3393" priority="5"/>
  </conditionalFormatting>
  <conditionalFormatting sqref="T7:T60 X7:X60 Z7:Z60">
    <cfRule type="expression" dxfId="3392" priority="267">
      <formula>AND(S7="",COUNTIF(T7,"*,*")=0)</formula>
    </cfRule>
  </conditionalFormatting>
  <conditionalFormatting sqref="V7:V60">
    <cfRule type="expression" dxfId="3391" priority="268">
      <formula>AND(U7="",FIND(",",V7))</formula>
    </cfRule>
    <cfRule type="expression" dxfId="3390" priority="269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3" manualBreakCount="3">
    <brk id="98" max="16383" man="1"/>
    <brk id="136" max="16383" man="1"/>
    <brk id="297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A313"/>
  <sheetViews>
    <sheetView showGridLines="0" showRowColHeaders="0" zoomScaleNormal="100" workbookViewId="0">
      <pane ySplit="2" topLeftCell="A3" activePane="bottomLeft" state="frozen"/>
      <selection pane="bottomLeft" activeCell="I1" sqref="I1"/>
    </sheetView>
  </sheetViews>
  <sheetFormatPr defaultRowHeight="12.75" x14ac:dyDescent="0.2"/>
  <cols>
    <col min="1" max="1" width="3.28515625" style="1" customWidth="1"/>
    <col min="2" max="2" width="33.28515625" style="1" customWidth="1"/>
    <col min="3" max="9" width="6.7109375" style="1" customWidth="1"/>
    <col min="10" max="10" width="4.7109375" style="1" hidden="1" customWidth="1"/>
    <col min="11" max="12" width="4.7109375" style="1" customWidth="1"/>
    <col min="13" max="13" width="7" style="1" hidden="1" customWidth="1"/>
    <col min="14" max="17" width="9.140625" style="1"/>
    <col min="18" max="18" width="7.7109375" style="1" hidden="1" customWidth="1"/>
    <col min="19" max="19" width="6" style="1" hidden="1" customWidth="1"/>
    <col min="20" max="20" width="14.5703125" style="1" hidden="1" customWidth="1"/>
    <col min="21" max="21" width="6" style="1" hidden="1" customWidth="1"/>
    <col min="22" max="22" width="18.7109375" style="1" hidden="1" customWidth="1"/>
    <col min="23" max="23" width="9.140625" style="1" hidden="1" customWidth="1"/>
    <col min="24" max="24" width="17.28515625" style="1" hidden="1" customWidth="1"/>
    <col min="25" max="25" width="9.140625" style="1" hidden="1" customWidth="1"/>
    <col min="26" max="26" width="13.85546875" style="1" hidden="1" customWidth="1"/>
    <col min="27" max="16384" width="9.140625" style="1"/>
  </cols>
  <sheetData>
    <row r="1" spans="1:27" x14ac:dyDescent="0.2">
      <c r="A1" s="753" t="str">
        <f>UPPER((Kalend!E8)&amp;" - "&amp;(Kalend!C8)&amp;" - "&amp;(Kalend!D8))</f>
        <v>V3 - VOKA 2. SISE-KV 3. ETAPP - DUO</v>
      </c>
      <c r="B1" s="754"/>
      <c r="C1" s="755"/>
      <c r="D1" s="755"/>
      <c r="E1" s="756" t="str">
        <f>HYPERLINK("#'Kalend'!I1","Kalender")</f>
        <v>Kalender</v>
      </c>
      <c r="F1" s="757"/>
      <c r="G1" s="756" t="str">
        <f>HYPERLINK("#'V'!AE1","Reiting")</f>
        <v>Reiting</v>
      </c>
      <c r="H1" s="755"/>
      <c r="I1" s="755"/>
      <c r="J1" s="622" t="s">
        <v>233</v>
      </c>
      <c r="K1" s="755"/>
      <c r="L1" s="755"/>
      <c r="M1" s="758"/>
      <c r="N1" s="755"/>
      <c r="O1" s="755"/>
      <c r="P1" s="755"/>
      <c r="Q1" s="755"/>
      <c r="R1" s="758"/>
      <c r="S1" s="758"/>
      <c r="T1" s="758"/>
      <c r="U1" s="758"/>
      <c r="V1" s="758"/>
      <c r="W1" s="758"/>
      <c r="X1" s="758"/>
      <c r="Y1" s="758"/>
      <c r="Z1" s="758"/>
      <c r="AA1" s="755"/>
    </row>
    <row r="2" spans="1:27" x14ac:dyDescent="0.2">
      <c r="A2" s="757" t="str">
        <f>"Toimumisaeg: "&amp;(Kalend!A8)&amp;" kell "&amp;(Kalend!B8)</f>
        <v>Toimumisaeg: P, 04.11.2018 kell 10:00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</row>
    <row r="3" spans="1:27" x14ac:dyDescent="0.2">
      <c r="A3" s="757" t="str">
        <f>"Toimumiskoht: "&amp;(Kalend!F8)</f>
        <v>Toimumiskoht: Voka petangihall</v>
      </c>
      <c r="B3" s="757"/>
      <c r="C3" s="757"/>
      <c r="D3" s="757"/>
      <c r="E3" s="757"/>
      <c r="F3" s="757"/>
      <c r="G3" s="757"/>
      <c r="H3" s="757"/>
      <c r="I3" s="759" t="s">
        <v>357</v>
      </c>
      <c r="J3" s="757"/>
      <c r="K3" s="757"/>
      <c r="L3" s="757"/>
      <c r="M3" s="757"/>
      <c r="N3" s="757"/>
      <c r="O3" s="757"/>
      <c r="P3" s="757"/>
      <c r="Q3" s="757"/>
      <c r="R3" s="889" t="s">
        <v>444</v>
      </c>
      <c r="S3" s="757"/>
      <c r="T3" s="757"/>
      <c r="U3" s="757"/>
      <c r="V3" s="757"/>
      <c r="W3" s="757"/>
      <c r="X3" s="757"/>
      <c r="Y3" s="757"/>
      <c r="Z3" s="757"/>
      <c r="AA3" s="757"/>
    </row>
    <row r="4" spans="1:27" x14ac:dyDescent="0.2">
      <c r="A4" s="757" t="str">
        <f>"Korraldaja: "&amp;(Kalend!G8)</f>
        <v>Korraldaja: Johannes Neiland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61" t="s">
        <v>49</v>
      </c>
      <c r="S4" s="757"/>
      <c r="T4" s="916"/>
      <c r="U4" s="757"/>
      <c r="V4" s="916"/>
      <c r="W4" s="757"/>
      <c r="X4" s="916"/>
      <c r="Y4" s="757"/>
      <c r="Z4" s="916"/>
      <c r="AA4" s="757"/>
    </row>
    <row r="5" spans="1:27" x14ac:dyDescent="0.2">
      <c r="A5" s="755"/>
      <c r="B5" s="755"/>
      <c r="C5" s="755"/>
      <c r="D5" s="755"/>
      <c r="E5" s="755"/>
      <c r="F5" s="755"/>
      <c r="G5" s="755"/>
      <c r="H5" s="755"/>
      <c r="I5" s="760"/>
      <c r="J5" s="760"/>
      <c r="K5" s="760"/>
      <c r="L5" s="760"/>
      <c r="M5" s="760"/>
      <c r="N5" s="760"/>
      <c r="O5" s="760"/>
      <c r="P5" s="760"/>
      <c r="Q5" s="760"/>
      <c r="R5" s="761" t="s">
        <v>358</v>
      </c>
      <c r="S5" s="913"/>
      <c r="T5" s="762" t="s">
        <v>359</v>
      </c>
      <c r="U5" s="913"/>
      <c r="V5" s="763" t="s">
        <v>360</v>
      </c>
      <c r="W5" s="913"/>
      <c r="X5" s="762" t="s">
        <v>361</v>
      </c>
      <c r="Y5" s="915"/>
      <c r="Z5" s="762" t="s">
        <v>362</v>
      </c>
      <c r="AA5" s="760"/>
    </row>
    <row r="6" spans="1:27" x14ac:dyDescent="0.2">
      <c r="A6" s="765" t="s">
        <v>0</v>
      </c>
      <c r="B6" s="766"/>
      <c r="C6" s="767">
        <v>1</v>
      </c>
      <c r="D6" s="767">
        <v>2</v>
      </c>
      <c r="E6" s="767">
        <v>3</v>
      </c>
      <c r="F6" s="767"/>
      <c r="G6" s="767"/>
      <c r="H6" s="767" t="s">
        <v>363</v>
      </c>
      <c r="I6" s="766" t="s">
        <v>364</v>
      </c>
      <c r="J6" s="819" t="s">
        <v>21</v>
      </c>
      <c r="K6" s="768" t="s">
        <v>21</v>
      </c>
      <c r="L6" s="769" t="s">
        <v>365</v>
      </c>
      <c r="M6" s="212" t="b">
        <f>OR(AND(COUNTA(B7:B11)=3,COUNTA(C7:G11)=6),AND(COUNTA(B7:B11)=4,COUNTA(C7:G11)=12),AND(COUNTA(B7:B11)=5,COUNTA(C7:G11)=20))</f>
        <v>1</v>
      </c>
      <c r="O6" s="212"/>
      <c r="P6" s="212"/>
      <c r="Q6" s="212"/>
      <c r="R6" s="761" t="s">
        <v>366</v>
      </c>
      <c r="S6" s="880"/>
      <c r="T6" s="772"/>
      <c r="U6" s="880"/>
      <c r="V6" s="772"/>
      <c r="W6" s="211"/>
      <c r="X6" s="774"/>
      <c r="Y6" s="211"/>
      <c r="Z6" s="774"/>
      <c r="AA6" s="212"/>
    </row>
    <row r="7" spans="1:27" x14ac:dyDescent="0.2">
      <c r="A7" s="765">
        <v>1</v>
      </c>
      <c r="B7" s="820" t="s">
        <v>398</v>
      </c>
      <c r="C7" s="776"/>
      <c r="D7" s="778">
        <v>13</v>
      </c>
      <c r="E7" s="778">
        <v>13</v>
      </c>
      <c r="F7" s="778"/>
      <c r="G7" s="778"/>
      <c r="H7" s="796" t="str">
        <f>(IF(D7-C8&gt;0,1)+IF(E7-C9&gt;0,1)+IF(F7-C10&gt;0,1)+IF(G7-C11&gt;0,1))&amp;"-"&amp;(IF(D7-C8&lt;0,1)+IF(E7-C9&lt;0,1)+IF(F7-C10&lt;0,1)+IF(G7-C11&lt;0,1))</f>
        <v>2-0</v>
      </c>
      <c r="I7" s="778" t="str">
        <f>IF(AND(B7&lt;&gt;"",M$6=TRUE),A$6&amp;RANK(M7,M$7:M$11,0),"")</f>
        <v>A1</v>
      </c>
      <c r="J7" s="821">
        <f>VALUE(LEFT(H7,1))</f>
        <v>2</v>
      </c>
      <c r="K7" s="822">
        <f>IF(AND(J7=1,J8=1,D7&gt;C8),1)+IF(AND(J7=1,J9=1,E7&gt;C9),1)+IF(AND(J7=1,J10=1,F7&gt;C10),1)+IF(AND(J7=1,J11=1,G7&gt;C11),1)+IF(AND(J7=2,J8=2,D7&gt;C8),1)+IF(AND(J7=2,J9=2,E7&gt;C9),1)+IF(AND(J7=2,J10=2,F7&gt;C10),1)+IF(AND(J7=2,J11=2,G7&gt;C11),1)+IF(AND(J7=3,J8=3,D7&gt;C8),1)+IF(AND(J7=3,J9=3,E7&gt;C9),1)+IF(AND(J7=3,J10=3,F7&gt;C10),1)+IF(AND(J7=3,J11=3,G7&gt;C11),1)</f>
        <v>0</v>
      </c>
      <c r="L7" s="823">
        <f>IF(AND(J7=1,J8=1),D7-C8)+IF(AND(J7=1,J9=1),E7-C9)+IF(AND(J7=1,J10=1),F7-C10)+IF(AND(J7=1,J11=1),G7-C11)+IF(AND(J7=2,J8=2),D7-C8)+IF(AND(J7=2,J9=2),E7-C9)+IF(AND(J7=2,J10=2),F7-C10)+IF(AND(J7=2,J11=2),G7-C11)+IF(AND(J7=3,J8=3),D7-C8)+IF(AND(J7=3,J9=3),E7-C9)+IF(AND(J7=3,J10=3),F7-C10)+IF(AND(J7=3,J11=3),G7-C11)</f>
        <v>0</v>
      </c>
      <c r="M7" s="824">
        <f>10000*J7+K7*100+L7</f>
        <v>20000</v>
      </c>
      <c r="N7" s="212"/>
      <c r="O7" s="212"/>
      <c r="P7" s="212"/>
      <c r="Q7" s="212"/>
      <c r="R7" s="764">
        <f t="shared" ref="R7:R38" si="0">SUM(S7:AB7)</f>
        <v>173.5</v>
      </c>
      <c r="S7" s="914">
        <f>IFERROR(INDEX(V!$R:$R,MATCH(T7,V!$L:$L,0)),"")</f>
        <v>125</v>
      </c>
      <c r="T7" s="783" t="str">
        <f t="shared" ref="T7:T60" si="1">IFERROR(LEFT($B7,(FIND(",",$B7,1)-1)),"")</f>
        <v>Meelis Luud</v>
      </c>
      <c r="U7" s="914">
        <f>IFERROR(INDEX(V!$R:$R,MATCH(V7,V!$L:$L,0)),"")</f>
        <v>48.5</v>
      </c>
      <c r="V7" s="783" t="str">
        <f t="shared" ref="V7:V60" si="2">IFERROR(MID($B7,FIND(", ",$B7)+2,256),"")</f>
        <v>Urmas Jõeäär</v>
      </c>
      <c r="W7" s="914" t="str">
        <f>IFERROR(INDEX(V!$R:$R,MATCH(X7,V!$L:$L,0)),"")</f>
        <v/>
      </c>
      <c r="X7" s="785" t="str">
        <f t="shared" ref="X7:X60" si="3">IFERROR(MID($B7,FIND("^",SUBSTITUTE($B7,", ","^",1))+2,FIND("^",SUBSTITUTE($B7,", ","^",2))-FIND("^",SUBSTITUTE($B7,", ","^",1))-2),"")</f>
        <v/>
      </c>
      <c r="Y7" s="914" t="str">
        <f>IFERROR(INDEX(V!$R:$R,MATCH(Z7,V!$L:$L,0)),"")</f>
        <v/>
      </c>
      <c r="Z7" s="785" t="str">
        <f t="shared" ref="Z7:Z60" si="4">IFERROR(MID($B7,FIND(", ",$B7,FIND(", ",$B7,FIND(", ",$B7))+1)+2,30000),"")</f>
        <v/>
      </c>
      <c r="AA7" s="212"/>
    </row>
    <row r="8" spans="1:27" x14ac:dyDescent="0.2">
      <c r="A8" s="765">
        <v>2</v>
      </c>
      <c r="B8" s="775" t="s">
        <v>406</v>
      </c>
      <c r="C8" s="778">
        <v>8</v>
      </c>
      <c r="D8" s="776"/>
      <c r="E8" s="778">
        <v>7</v>
      </c>
      <c r="F8" s="778"/>
      <c r="G8" s="778"/>
      <c r="H8" s="796" t="str">
        <f>(IF(C8-D7&gt;0,1)+IF(E8-D9&gt;0,1)+IF(F8-D10&gt;0,1)+IF(G8-D11&gt;0,1))&amp;"-"&amp;(IF(C8-D7&lt;0,1)+IF(E8-D9&lt;0,1)+IF(F8-D10&lt;0,1)+IF(G8-D11&lt;0,1))</f>
        <v>0-2</v>
      </c>
      <c r="I8" s="778" t="str">
        <f>IF(AND(B8&lt;&gt;"",M$6=TRUE),A$6&amp;RANK(M8,M$7:M$11,0),"")</f>
        <v>A3</v>
      </c>
      <c r="J8" s="821">
        <f t="shared" ref="J8:J11" si="5">VALUE(LEFT(H8,1))</f>
        <v>0</v>
      </c>
      <c r="K8" s="825">
        <f>IF(AND(J8=1,J7=1,C8&gt;D7),1)+IF(AND(J8=1,J9=1,E8&gt;D9),1)+IF(AND(J8=1,J10=1,F8&gt;D10),1)+IF(AND(J8=1,J11=1,G8&gt;D11),1)+IF(AND(J8=2,J7=2,C8&gt;D7),1)+IF(AND(J8=2,J9=2,E8&gt;D9),1)+IF(AND(J8=2,J10=2,F8&gt;D10),1)+IF(AND(J8=2,J11=2,G8&gt;D11),1)+IF(AND(J8=3,J7=3,C8&gt;D7),1)+IF(AND(J8=3,J9=3,E8&gt;D9),1)+IF(AND(J8=3,J10=3,F8&gt;D10),1)+IF(AND(J8=3,J11=3,G8&gt;D11),1)</f>
        <v>0</v>
      </c>
      <c r="L8" s="823">
        <f>IF(AND(J8=1,J7=1),C8-D7)+IF(AND(J8=1,J9=1),E8-D9)+IF(AND(J8=1,J10=1),F8-D10)+IF(AND(J8=1,J11=1),G8-D11)+IF(AND(J8=2,J7=2),C8-D7)+IF(AND(J8=2,J9=2),E8-D9)+IF(AND(J8=2,J10=2),F8-D10)+IF(AND(J8=2,J11=2),G8-D11)+IF(AND(J8=3,J7=3),C8-D7)+IF(AND(J8=3,J9=3),E8-D9)+IF(AND(J8=3,J10=3),F8-D10)+IF(AND(J8=3,J11=3),G8-D11)</f>
        <v>0</v>
      </c>
      <c r="M8" s="824">
        <f t="shared" ref="M8:M11" si="6">10000*J8+K8*100+L8</f>
        <v>0</v>
      </c>
      <c r="N8" s="212"/>
      <c r="O8" s="212"/>
      <c r="P8" s="212"/>
      <c r="Q8" s="212"/>
      <c r="R8" s="764">
        <f t="shared" si="0"/>
        <v>204</v>
      </c>
      <c r="S8" s="914">
        <f>IFERROR(INDEX(V!$R:$R,MATCH(T8,V!$L:$L,0)),"")</f>
        <v>97.5</v>
      </c>
      <c r="T8" s="783" t="str">
        <f t="shared" si="1"/>
        <v>Klavdia Piik</v>
      </c>
      <c r="U8" s="914">
        <f>IFERROR(INDEX(V!$R:$R,MATCH(V8,V!$L:$L,0)),"")</f>
        <v>106.5</v>
      </c>
      <c r="V8" s="783" t="str">
        <f t="shared" si="2"/>
        <v>Ülo Piik</v>
      </c>
      <c r="W8" s="914" t="str">
        <f>IFERROR(INDEX(V!$R:$R,MATCH(X8,V!$L:$L,0)),"")</f>
        <v/>
      </c>
      <c r="X8" s="785" t="str">
        <f t="shared" si="3"/>
        <v/>
      </c>
      <c r="Y8" s="914" t="str">
        <f>IFERROR(INDEX(V!$R:$R,MATCH(Z8,V!$L:$L,0)),"")</f>
        <v/>
      </c>
      <c r="Z8" s="785" t="str">
        <f t="shared" si="4"/>
        <v/>
      </c>
      <c r="AA8" s="212"/>
    </row>
    <row r="9" spans="1:27" x14ac:dyDescent="0.2">
      <c r="A9" s="765">
        <v>3</v>
      </c>
      <c r="B9" s="775" t="s">
        <v>399</v>
      </c>
      <c r="C9" s="778">
        <v>10</v>
      </c>
      <c r="D9" s="787">
        <v>13</v>
      </c>
      <c r="E9" s="776"/>
      <c r="F9" s="778"/>
      <c r="G9" s="778"/>
      <c r="H9" s="796" t="str">
        <f>(IF(C9-E7&gt;0,1)+IF(D9-E8&gt;0,1)+IF(F9-E10&gt;0,1)+IF(G9-E11&gt;0,1))&amp;"-"&amp;(IF(C9-E7&lt;0,1)+IF(D9-E8&lt;0,1)+IF(F9-E10&lt;0,1)+IF(G9-E11&lt;0,1))</f>
        <v>1-1</v>
      </c>
      <c r="I9" s="778" t="str">
        <f>IF(AND(B9&lt;&gt;"",M$6=TRUE),A$6&amp;RANK(M9,M$7:M$11,0),"")</f>
        <v>A2</v>
      </c>
      <c r="J9" s="821">
        <f t="shared" si="5"/>
        <v>1</v>
      </c>
      <c r="K9" s="825">
        <f>IF(AND(J9=1,J7=1,C9&gt;E7),1)+IF(AND(J9=1,J8=1,D9&gt;E8),1)+IF(AND(J9=1,J10=1,F9&gt;E10),1)+IF(AND(J9=1,J11=1,G9&gt;E11),1)+IF(AND(J9=2,J7=2,C9&gt;E7),1)+IF(AND(J9=2,J8=2,D9&gt;E8),1)+IF(AND(J9=2,J10=2,F9&gt;E10),1)+IF(AND(J9=2,J11=2,G9&gt;E11),1)+IF(AND(J9=3,J7=3,C9&gt;E7),1)+IF(AND(J9=3,J8=3,D9&gt;E8),1)+IF(AND(J9=3,J10=3,F9&gt;E10),1)+IF(AND(J9=3,J11=3,G9&gt;E11),1)</f>
        <v>0</v>
      </c>
      <c r="L9" s="823">
        <f>IF(AND(J9=1,J7=1),C9-E7)+IF(AND(J9=1,J8=1),D9-E8)+IF(AND(J9=1,J10=1),F9-E10)+IF(AND(J9=1,J11=1),G9-E11)+IF(AND(J9=2,J7=2),C9-E7)+IF(AND(J9=2,J8=2),D9-E8)+IF(AND(J9=2,J10=2),F9-E10)+IF(AND(J9=2,J11=2),G9-E11)+IF(AND(J9=3,J7=3),C9-E7)+IF(AND(J9=3,J8=3),D9-E8)+IF(AND(J9=3,J10=3),F9-E10)+IF(AND(J9=3,J11=3),G9-E11)</f>
        <v>0</v>
      </c>
      <c r="M9" s="824">
        <f t="shared" si="6"/>
        <v>10000</v>
      </c>
      <c r="N9" s="212"/>
      <c r="O9" s="212"/>
      <c r="P9" s="212"/>
      <c r="Q9" s="212"/>
      <c r="R9" s="764">
        <f t="shared" si="0"/>
        <v>200</v>
      </c>
      <c r="S9" s="914">
        <f>IFERROR(INDEX(V!$R:$R,MATCH(T9,V!$L:$L,0)),"")</f>
        <v>123.5</v>
      </c>
      <c r="T9" s="783" t="str">
        <f t="shared" si="1"/>
        <v>Karla Purgats</v>
      </c>
      <c r="U9" s="914">
        <f>IFERROR(INDEX(V!$R:$R,MATCH(V9,V!$L:$L,0)),"")</f>
        <v>76.5</v>
      </c>
      <c r="V9" s="783" t="str">
        <f t="shared" si="2"/>
        <v>Lemmit Toomra</v>
      </c>
      <c r="W9" s="914" t="str">
        <f>IFERROR(INDEX(V!$R:$R,MATCH(X9,V!$L:$L,0)),"")</f>
        <v/>
      </c>
      <c r="X9" s="785" t="str">
        <f t="shared" si="3"/>
        <v/>
      </c>
      <c r="Y9" s="914" t="str">
        <f>IFERROR(INDEX(V!$R:$R,MATCH(Z9,V!$L:$L,0)),"")</f>
        <v/>
      </c>
      <c r="Z9" s="785" t="str">
        <f t="shared" si="4"/>
        <v/>
      </c>
      <c r="AA9" s="212"/>
    </row>
    <row r="10" spans="1:27" hidden="1" x14ac:dyDescent="0.2">
      <c r="A10" s="765">
        <v>4</v>
      </c>
      <c r="B10" s="792"/>
      <c r="C10" s="778"/>
      <c r="D10" s="787"/>
      <c r="E10" s="778"/>
      <c r="F10" s="776"/>
      <c r="G10" s="779"/>
      <c r="H10" s="796" t="str">
        <f>(IF(C10-F7&gt;0,1)+IF(D10-F8&gt;0,1)+IF(E10-F9&gt;0,1)+IF(G10-F11&gt;0,1))&amp;"-"&amp;(IF(C10-F7&lt;0,1)+IF(D10-F8&lt;0,1)+IF(E10-F9&lt;0,1)+IF(G10-F11&lt;0,1))</f>
        <v>0-0</v>
      </c>
      <c r="I10" s="778" t="str">
        <f>IF(AND(B10&lt;&gt;"",M$6=TRUE),A$6&amp;RANK(M10,M$7:M$11,0),"")</f>
        <v/>
      </c>
      <c r="J10" s="821">
        <f t="shared" si="5"/>
        <v>0</v>
      </c>
      <c r="K10" s="825">
        <f>IF(AND(J10=1,J7=1,C10&gt;F7),1)+IF(AND(J10=1,J8=1,D10&gt;F8),1)+IF(AND(J10=1,J9=1,E10&gt;F9),1)+IF(AND(J10=1,J11=1,G10&gt;F11),1)+IF(AND(J10=2,J7=2,C10&gt;F7),1)+IF(AND(J10=2,J8=2,D10&gt;F8),1)+IF(AND(J10=2,J9=2,E10&gt;F9),1)+IF(AND(J10=2,J11=2,G10&gt;F11),1)+IF(AND(J10=3,J7=3,C10&gt;F7),1)+IF(AND(J10=3,J8=3,D10&gt;F8),1)+IF(AND(J10=3,J9=3,E10&gt;F9),1)+IF(AND(J10=3,J11=3,G10&gt;F11),1)</f>
        <v>0</v>
      </c>
      <c r="L10" s="823">
        <f>IF(AND(J10=1,J7=1),C10-F7)+IF(AND(J10=1,J8=1),D10-F8)+IF(AND(J10=1,J9=1),E10-F9)+IF(AND(J10=1,J11=1),G10-F11)+IF(AND(J10=2,J7=2),C10-F7)+IF(AND(J10=2,J8=2),D10-F8)+IF(AND(J10=2,J9=2),E10-F9)+IF(AND(J10=2,J11=2),G10-F11)+IF(AND(J10=3,J7=3),C10-F7)+IF(AND(J10=3,J8=3),D10-F8)+IF(AND(J10=3,J9=3),E10-F9)+IF(AND(J10=3,J11=3),G10-F11)</f>
        <v>0</v>
      </c>
      <c r="M10" s="824">
        <f t="shared" si="6"/>
        <v>0</v>
      </c>
      <c r="N10" s="212"/>
      <c r="O10" s="212"/>
      <c r="P10" s="212"/>
      <c r="Q10" s="212"/>
      <c r="R10" s="764">
        <f t="shared" si="0"/>
        <v>0</v>
      </c>
      <c r="S10" s="914" t="str">
        <f>IFERROR(INDEX(V!$R:$R,MATCH(T10,V!$L:$L,0)),"")</f>
        <v/>
      </c>
      <c r="T10" s="783" t="str">
        <f t="shared" si="1"/>
        <v/>
      </c>
      <c r="U10" s="914" t="str">
        <f>IFERROR(INDEX(V!$R:$R,MATCH(V10,V!$L:$L,0)),"")</f>
        <v/>
      </c>
      <c r="V10" s="783" t="str">
        <f t="shared" si="2"/>
        <v/>
      </c>
      <c r="W10" s="914" t="str">
        <f>IFERROR(INDEX(V!$R:$R,MATCH(X10,V!$L:$L,0)),"")</f>
        <v/>
      </c>
      <c r="X10" s="785" t="str">
        <f t="shared" si="3"/>
        <v/>
      </c>
      <c r="Y10" s="914" t="str">
        <f>IFERROR(INDEX(V!$R:$R,MATCH(Z10,V!$L:$L,0)),"")</f>
        <v/>
      </c>
      <c r="Z10" s="785" t="str">
        <f t="shared" si="4"/>
        <v/>
      </c>
      <c r="AA10" s="212"/>
    </row>
    <row r="11" spans="1:27" hidden="1" x14ac:dyDescent="0.2">
      <c r="A11" s="765">
        <v>5</v>
      </c>
      <c r="B11" s="792"/>
      <c r="C11" s="778"/>
      <c r="D11" s="778"/>
      <c r="E11" s="778"/>
      <c r="F11" s="778"/>
      <c r="G11" s="776"/>
      <c r="H11" s="796" t="str">
        <f>(IF(C11-G7&gt;0,1)+IF(D11-G8&gt;0,1)+IF(E11-G9&gt;0,1)+IF(F11-G10&gt;0,1))&amp;"-"&amp;(IF(C11-G7&lt;0,1)+IF(D11-G8&lt;0,1)+IF(E11-G9&lt;0,1)+IF(F11-G10&lt;0,1))</f>
        <v>0-0</v>
      </c>
      <c r="I11" s="778" t="str">
        <f>IF(AND(B11&lt;&gt;"",M$6=TRUE),A$6&amp;RANK(M11,M$7:M$11,0),"")</f>
        <v/>
      </c>
      <c r="J11" s="821">
        <f t="shared" si="5"/>
        <v>0</v>
      </c>
      <c r="K11" s="825">
        <f>IF(AND(J11=1,J7=1,C11&gt;G7),1)+IF(AND(J11=1,J8=1,D11&gt;G8),1)+IF(AND(J11=1,J9=1,E11&gt;G9),1)+IF(AND(J11=1,J10=1,F11&gt;G10),1)+IF(AND(J11=2,J7=2,C11&gt;G7),1)+IF(AND(J11=2,J8=2,D11&gt;G8),1)+IF(AND(J11=2,J9=2,E11&gt;G9),1)+IF(AND(J11=2,J10=2,F11&gt;G10),1)+IF(AND(J11=3,J7=3,C11&gt;G7),1)+IF(AND(J11=3,J8=3,D11&gt;G8),1)+IF(AND(J11=3,J9=3,E11&gt;G9),1)+IF(AND(J11=3,J10=3,F11&gt;G10),1)</f>
        <v>0</v>
      </c>
      <c r="L11" s="823">
        <f>IF(AND(J11=1,J7=1),C11-G7)+IF(AND(J11=1,J8=1),D11-G8)+IF(AND(J11=1,J9=1),E11-G9)+IF(AND(J11=1,J10=1),F11-G10)+IF(AND(J11=2,J7=2),C11-G7)+IF(AND(J11=2,J8=2),D11-G8)+IF(AND(J11=2,J9=2),E11-G9)+IF(AND(J11=2,J10=2),F11-G10)+IF(AND(J11=3,J7=3),C11-G7)+IF(AND(J11=3,J8=3),D11-G8)+IF(AND(J11=3,J9=3),E11-G9)+IF(AND(J11=3,J10=3),F11-G10)</f>
        <v>0</v>
      </c>
      <c r="M11" s="824">
        <f t="shared" si="6"/>
        <v>0</v>
      </c>
      <c r="O11" s="212"/>
      <c r="P11" s="212"/>
      <c r="Q11" s="212"/>
      <c r="R11" s="764">
        <f t="shared" si="0"/>
        <v>0</v>
      </c>
      <c r="S11" s="914" t="str">
        <f>IFERROR(INDEX(V!$R:$R,MATCH(T11,V!$L:$L,0)),"")</f>
        <v/>
      </c>
      <c r="T11" s="783" t="str">
        <f t="shared" si="1"/>
        <v/>
      </c>
      <c r="U11" s="914" t="str">
        <f>IFERROR(INDEX(V!$R:$R,MATCH(V11,V!$L:$L,0)),"")</f>
        <v/>
      </c>
      <c r="V11" s="783" t="str">
        <f t="shared" si="2"/>
        <v/>
      </c>
      <c r="W11" s="914" t="str">
        <f>IFERROR(INDEX(V!$R:$R,MATCH(X11,V!$L:$L,0)),"")</f>
        <v/>
      </c>
      <c r="X11" s="785" t="str">
        <f t="shared" si="3"/>
        <v/>
      </c>
      <c r="Y11" s="914" t="str">
        <f>IFERROR(INDEX(V!$R:$R,MATCH(Z11,V!$L:$L,0)),"")</f>
        <v/>
      </c>
      <c r="Z11" s="785" t="str">
        <f t="shared" si="4"/>
        <v/>
      </c>
      <c r="AA11" s="212"/>
    </row>
    <row r="12" spans="1:27" x14ac:dyDescent="0.2">
      <c r="A12" s="827"/>
      <c r="B12" s="828"/>
      <c r="C12" s="808"/>
      <c r="D12" s="829"/>
      <c r="E12" s="808"/>
      <c r="F12" s="805"/>
      <c r="G12" s="212"/>
      <c r="H12" s="830"/>
      <c r="I12" s="831"/>
      <c r="J12" s="817"/>
      <c r="K12" s="832"/>
      <c r="L12" s="833"/>
      <c r="M12" s="817"/>
      <c r="O12" s="212"/>
      <c r="P12" s="212"/>
      <c r="Q12" s="212"/>
      <c r="R12" s="764">
        <f t="shared" si="0"/>
        <v>0</v>
      </c>
      <c r="S12" s="914" t="str">
        <f>IFERROR(INDEX(V!$R:$R,MATCH(T12,V!$L:$L,0)),"")</f>
        <v/>
      </c>
      <c r="T12" s="783" t="str">
        <f t="shared" si="1"/>
        <v/>
      </c>
      <c r="U12" s="914" t="str">
        <f>IFERROR(INDEX(V!$R:$R,MATCH(V12,V!$L:$L,0)),"")</f>
        <v/>
      </c>
      <c r="V12" s="783" t="str">
        <f t="shared" si="2"/>
        <v/>
      </c>
      <c r="W12" s="914" t="str">
        <f>IFERROR(INDEX(V!$R:$R,MATCH(X12,V!$L:$L,0)),"")</f>
        <v/>
      </c>
      <c r="X12" s="785" t="str">
        <f t="shared" si="3"/>
        <v/>
      </c>
      <c r="Y12" s="914" t="str">
        <f>IFERROR(INDEX(V!$R:$R,MATCH(Z12,V!$L:$L,0)),"")</f>
        <v/>
      </c>
      <c r="Z12" s="785" t="str">
        <f t="shared" si="4"/>
        <v/>
      </c>
      <c r="AA12" s="755"/>
    </row>
    <row r="13" spans="1:27" x14ac:dyDescent="0.2">
      <c r="A13" s="765" t="s">
        <v>1</v>
      </c>
      <c r="B13" s="766"/>
      <c r="C13" s="767">
        <v>1</v>
      </c>
      <c r="D13" s="767">
        <v>2</v>
      </c>
      <c r="E13" s="767">
        <v>3</v>
      </c>
      <c r="F13" s="767"/>
      <c r="G13" s="767"/>
      <c r="H13" s="766" t="s">
        <v>363</v>
      </c>
      <c r="I13" s="766" t="s">
        <v>364</v>
      </c>
      <c r="J13" s="834" t="s">
        <v>21</v>
      </c>
      <c r="K13" s="768" t="s">
        <v>21</v>
      </c>
      <c r="L13" s="835" t="s">
        <v>365</v>
      </c>
      <c r="M13" s="836" t="b">
        <f>OR(AND(COUNTA(B14:B18)=3,COUNTA(C14:G18)=6),AND(COUNTA(B14:B18)=4,COUNTA(C14:G18)=12),AND(COUNTA(B14:B18)=5,COUNTA(C14:G18)=20))</f>
        <v>1</v>
      </c>
      <c r="O13" s="770"/>
      <c r="P13" s="770"/>
      <c r="Q13" s="770"/>
      <c r="R13" s="764">
        <f t="shared" si="0"/>
        <v>0</v>
      </c>
      <c r="S13" s="914" t="str">
        <f>IFERROR(INDEX(V!$R:$R,MATCH(T13,V!$L:$L,0)),"")</f>
        <v/>
      </c>
      <c r="T13" s="783" t="str">
        <f t="shared" si="1"/>
        <v/>
      </c>
      <c r="U13" s="914" t="str">
        <f>IFERROR(INDEX(V!$R:$R,MATCH(V13,V!$L:$L,0)),"")</f>
        <v/>
      </c>
      <c r="V13" s="783" t="str">
        <f t="shared" si="2"/>
        <v/>
      </c>
      <c r="W13" s="914" t="str">
        <f>IFERROR(INDEX(V!$R:$R,MATCH(X13,V!$L:$L,0)),"")</f>
        <v/>
      </c>
      <c r="X13" s="785" t="str">
        <f t="shared" si="3"/>
        <v/>
      </c>
      <c r="Y13" s="914" t="str">
        <f>IFERROR(INDEX(V!$R:$R,MATCH(Z13,V!$L:$L,0)),"")</f>
        <v/>
      </c>
      <c r="Z13" s="785" t="str">
        <f t="shared" si="4"/>
        <v/>
      </c>
      <c r="AA13" s="755"/>
    </row>
    <row r="14" spans="1:27" x14ac:dyDescent="0.2">
      <c r="A14" s="765">
        <v>1</v>
      </c>
      <c r="B14" s="820" t="s">
        <v>402</v>
      </c>
      <c r="C14" s="776"/>
      <c r="D14" s="778">
        <v>12</v>
      </c>
      <c r="E14" s="778">
        <v>11</v>
      </c>
      <c r="F14" s="778"/>
      <c r="G14" s="778"/>
      <c r="H14" s="796" t="str">
        <f>(IF(D14-C15&gt;0,1)+IF(E14-C16&gt;0,1)+IF(F14-C17&gt;0,1)+IF(G14-C18&gt;0,1))&amp;"-"&amp;(IF(D14-C15&lt;0,1)+IF(E14-C16&lt;0,1)+IF(F14-C17&lt;0,1)+IF(G14-C18&lt;0,1))</f>
        <v>0-2</v>
      </c>
      <c r="I14" s="778" t="str">
        <f>IF(AND(B14&lt;&gt;"",M$13=TRUE),A$13&amp;RANK(M14,M$14:M$18,0),"")</f>
        <v>B3</v>
      </c>
      <c r="J14" s="821">
        <f>VALUE(LEFT(H14,1))</f>
        <v>0</v>
      </c>
      <c r="K14" s="822">
        <f>IF(AND(J14=1,J15=1,D14&gt;C15),1)+IF(AND(J14=1,J16=1,E14&gt;C16),1)+IF(AND(J14=1,J17=1,F14&gt;C17),1)+IF(AND(J14=1,J18=1,G14&gt;C18),1)+IF(AND(J14=2,J15=2,D14&gt;C15),1)+IF(AND(J14=2,J16=2,E14&gt;C16),1)+IF(AND(J14=2,J17=2,F14&gt;C17),1)+IF(AND(J14=2,J18=2,G14&gt;C18),1)+IF(AND(J14=3,J15=3,D14&gt;C15),1)+IF(AND(J14=3,J16=3,E14&gt;C16),1)+IF(AND(J14=3,J17=3,F14&gt;C17),1)+IF(AND(J14=3,J18=3,G14&gt;C18),1)</f>
        <v>0</v>
      </c>
      <c r="L14" s="837">
        <f>IF(AND(J14=1,J15=1),D14-C15)+IF(AND(J14=1,J16=1),E14-C16)+IF(AND(J14=1,J17=1),F14-C17)+IF(AND(J14=1,J18=1),G14-C18)+IF(AND(J14=2,J15=2),D14-C15)+IF(AND(J14=2,J16=2),E14-C16)+IF(AND(J14=2,J17=2),F14-C17)+IF(AND(J14=2,J18=2),G14-C18)+IF(AND(J14=3,J15=3),D14-C15)+IF(AND(J14=3,J16=3),E14-C16)+IF(AND(J14=3,J17=3),F14-C17)+IF(AND(J14=3,J18=3),G14-C18)</f>
        <v>0</v>
      </c>
      <c r="M14" s="824">
        <f>10000*J14+K14*100+L14</f>
        <v>0</v>
      </c>
      <c r="O14" s="770"/>
      <c r="P14" s="770"/>
      <c r="Q14" s="770"/>
      <c r="R14" s="764">
        <f t="shared" si="0"/>
        <v>93</v>
      </c>
      <c r="S14" s="914">
        <f>IFERROR(INDEX(V!$R:$R,MATCH(T14,V!$L:$L,0)),"")</f>
        <v>48</v>
      </c>
      <c r="T14" s="783" t="str">
        <f t="shared" si="1"/>
        <v>Andres Veski</v>
      </c>
      <c r="U14" s="914">
        <f>IFERROR(INDEX(V!$R:$R,MATCH(V14,V!$L:$L,0)),"")</f>
        <v>45</v>
      </c>
      <c r="V14" s="783" t="str">
        <f t="shared" si="2"/>
        <v>Svetlana Veski</v>
      </c>
      <c r="W14" s="914" t="str">
        <f>IFERROR(INDEX(V!$R:$R,MATCH(X14,V!$L:$L,0)),"")</f>
        <v/>
      </c>
      <c r="X14" s="785" t="str">
        <f t="shared" si="3"/>
        <v/>
      </c>
      <c r="Y14" s="914" t="str">
        <f>IFERROR(INDEX(V!$R:$R,MATCH(Z14,V!$L:$L,0)),"")</f>
        <v/>
      </c>
      <c r="Z14" s="785" t="str">
        <f t="shared" si="4"/>
        <v/>
      </c>
      <c r="AA14" s="757"/>
    </row>
    <row r="15" spans="1:27" x14ac:dyDescent="0.2">
      <c r="A15" s="765">
        <v>2</v>
      </c>
      <c r="B15" s="775" t="s">
        <v>434</v>
      </c>
      <c r="C15" s="778">
        <v>13</v>
      </c>
      <c r="D15" s="776"/>
      <c r="E15" s="778">
        <v>7</v>
      </c>
      <c r="F15" s="778"/>
      <c r="G15" s="778"/>
      <c r="H15" s="796" t="str">
        <f>(IF(C15-D14&gt;0,1)+IF(E15-D16&gt;0,1)+IF(F15-D17&gt;0,1)+IF(G15-D18&gt;0,1))&amp;"-"&amp;(IF(C15-D14&lt;0,1)+IF(E15-D16&lt;0,1)+IF(F15-D17&lt;0,1)+IF(G15-D18&lt;0,1))</f>
        <v>1-1</v>
      </c>
      <c r="I15" s="778" t="str">
        <f>IF(AND(B15&lt;&gt;"",M$13=TRUE),A$13&amp;RANK(M15,M$14:M$18,0),"")</f>
        <v>B2</v>
      </c>
      <c r="J15" s="821">
        <f t="shared" ref="J15:J18" si="7">VALUE(LEFT(H15,1))</f>
        <v>1</v>
      </c>
      <c r="K15" s="825">
        <f>IF(AND(J15=1,J14=1,C15&gt;D14),1)+IF(AND(J15=1,J16=1,E15&gt;D16),1)+IF(AND(J15=1,J17=1,F15&gt;D17),1)+IF(AND(J15=1,J18=1,G15&gt;D18),1)+IF(AND(J15=2,J14=2,C15&gt;D14),1)+IF(AND(J15=2,J16=2,E15&gt;D16),1)+IF(AND(J15=2,J17=2,F15&gt;D17),1)+IF(AND(J15=2,J18=2,G15&gt;D18),1)+IF(AND(J15=3,J14=3,C15&gt;D14),1)+IF(AND(J15=3,J16=3,E15&gt;D16),1)+IF(AND(J15=3,J17=3,F15&gt;D17),1)+IF(AND(J15=3,J18=3,G15&gt;D18),1)</f>
        <v>0</v>
      </c>
      <c r="L15" s="837">
        <f>IF(AND(J15=1,J14=1),C15-D14)+IF(AND(J15=1,J16=1),E15-D16)+IF(AND(J15=1,J17=1),F15-D17)+IF(AND(J15=1,J18=1),G15-D18)+IF(AND(J15=2,J14=2),C15-D14)+IF(AND(J15=2,J16=2),E15-D16)+IF(AND(J15=2,J17=2),F15-D17)+IF(AND(J15=2,J18=2),G15-D18)+IF(AND(J15=3,J14=3),C15-D14)+IF(AND(J15=3,J16=3),E15-D16)+IF(AND(J15=3,J17=3),F15-D17)+IF(AND(J15=3,J18=3),G15-D18)</f>
        <v>0</v>
      </c>
      <c r="M15" s="824">
        <f t="shared" ref="M15:M18" si="8">10000*J15+K15*100+L15</f>
        <v>10000</v>
      </c>
      <c r="O15" s="770"/>
      <c r="P15" s="770"/>
      <c r="Q15" s="770"/>
      <c r="R15" s="764">
        <f t="shared" si="0"/>
        <v>213</v>
      </c>
      <c r="S15" s="914">
        <f>IFERROR(INDEX(V!$R:$R,MATCH(T15,V!$L:$L,0)),"")</f>
        <v>105.5</v>
      </c>
      <c r="T15" s="783" t="str">
        <f t="shared" si="1"/>
        <v>Mait Metsla</v>
      </c>
      <c r="U15" s="914">
        <f>IFERROR(INDEX(V!$R:$R,MATCH(V15,V!$L:$L,0)),"")</f>
        <v>107.5</v>
      </c>
      <c r="V15" s="783" t="str">
        <f t="shared" si="2"/>
        <v>Vladimir Ogneštšikov</v>
      </c>
      <c r="W15" s="914" t="str">
        <f>IFERROR(INDEX(V!$R:$R,MATCH(X15,V!$L:$L,0)),"")</f>
        <v/>
      </c>
      <c r="X15" s="785" t="str">
        <f t="shared" si="3"/>
        <v/>
      </c>
      <c r="Y15" s="914" t="str">
        <f>IFERROR(INDEX(V!$R:$R,MATCH(Z15,V!$L:$L,0)),"")</f>
        <v/>
      </c>
      <c r="Z15" s="785" t="str">
        <f t="shared" si="4"/>
        <v/>
      </c>
      <c r="AA15" s="757"/>
    </row>
    <row r="16" spans="1:27" x14ac:dyDescent="0.2">
      <c r="A16" s="765">
        <v>3</v>
      </c>
      <c r="B16" s="775" t="s">
        <v>435</v>
      </c>
      <c r="C16" s="778">
        <v>13</v>
      </c>
      <c r="D16" s="787">
        <v>13</v>
      </c>
      <c r="E16" s="776"/>
      <c r="F16" s="778"/>
      <c r="G16" s="778"/>
      <c r="H16" s="796" t="str">
        <f>(IF(C16-E14&gt;0,1)+IF(D16-E15&gt;0,1)+IF(F16-E17&gt;0,1)+IF(G16-E18&gt;0,1))&amp;"-"&amp;(IF(C16-E14&lt;0,1)+IF(D16-E15&lt;0,1)+IF(F16-E17&lt;0,1)+IF(G16-E18&lt;0,1))</f>
        <v>2-0</v>
      </c>
      <c r="I16" s="778" t="str">
        <f>IF(AND(B16&lt;&gt;"",M$13=TRUE),A$13&amp;RANK(M16,M$14:M$18,0),"")</f>
        <v>B1</v>
      </c>
      <c r="J16" s="821">
        <f t="shared" si="7"/>
        <v>2</v>
      </c>
      <c r="K16" s="825">
        <f>IF(AND(J16=1,J14=1,C16&gt;E14),1)+IF(AND(J16=1,J15=1,D16&gt;E15),1)+IF(AND(J16=1,J17=1,F16&gt;E17),1)+IF(AND(J16=1,J18=1,G16&gt;E18),1)+IF(AND(J16=2,J14=2,C16&gt;E14),1)+IF(AND(J16=2,J15=2,D16&gt;E15),1)+IF(AND(J16=2,J17=2,F16&gt;E17),1)+IF(AND(J16=2,J18=2,G16&gt;E18),1)+IF(AND(J16=3,J14=3,C16&gt;E14),1)+IF(AND(J16=3,J15=3,D16&gt;E15),1)+IF(AND(J16=3,J17=3,F16&gt;E17),1)+IF(AND(J16=3,J18=3,G16&gt;E18),1)</f>
        <v>0</v>
      </c>
      <c r="L16" s="823">
        <f>IF(AND(J16=1,J14=1),C16-E14)+IF(AND(J16=1,J15=1),D16-E15)+IF(AND(J16=1,J17=1),F16-E17)+IF(AND(J16=1,J18=1),G16-E18)+IF(AND(J16=2,J14=2),C16-E14)+IF(AND(J16=2,J15=2),D16-E15)+IF(AND(J16=2,J17=2),F16-E17)+IF(AND(J16=2,J18=2),G16-E18)+IF(AND(J16=3,J14=3),C16-E14)+IF(AND(J16=3,J15=3),D16-E15)+IF(AND(J16=3,J17=3),F16-E17)+IF(AND(J16=3,J18=3),G16-E18)</f>
        <v>0</v>
      </c>
      <c r="M16" s="824">
        <f t="shared" si="8"/>
        <v>20000</v>
      </c>
      <c r="O16" s="770"/>
      <c r="P16" s="770"/>
      <c r="Q16" s="770"/>
      <c r="R16" s="764">
        <f t="shared" si="0"/>
        <v>145</v>
      </c>
      <c r="S16" s="914">
        <f>IFERROR(INDEX(V!$R:$R,MATCH(T16,V!$L:$L,0)),"")</f>
        <v>51</v>
      </c>
      <c r="T16" s="783" t="str">
        <f t="shared" si="1"/>
        <v>Janek Tarto</v>
      </c>
      <c r="U16" s="914">
        <f>IFERROR(INDEX(V!$R:$R,MATCH(V16,V!$L:$L,0)),"")</f>
        <v>94</v>
      </c>
      <c r="V16" s="783" t="str">
        <f t="shared" si="2"/>
        <v>Johannes Neiland</v>
      </c>
      <c r="W16" s="914" t="str">
        <f>IFERROR(INDEX(V!$R:$R,MATCH(X16,V!$L:$L,0)),"")</f>
        <v/>
      </c>
      <c r="X16" s="785" t="str">
        <f t="shared" si="3"/>
        <v/>
      </c>
      <c r="Y16" s="914" t="str">
        <f>IFERROR(INDEX(V!$R:$R,MATCH(Z16,V!$L:$L,0)),"")</f>
        <v/>
      </c>
      <c r="Z16" s="785" t="str">
        <f t="shared" si="4"/>
        <v/>
      </c>
      <c r="AA16" s="757"/>
    </row>
    <row r="17" spans="1:27" hidden="1" x14ac:dyDescent="0.2">
      <c r="A17" s="765">
        <v>4</v>
      </c>
      <c r="B17" s="792"/>
      <c r="C17" s="778"/>
      <c r="D17" s="787"/>
      <c r="E17" s="778"/>
      <c r="F17" s="776"/>
      <c r="G17" s="779"/>
      <c r="H17" s="796" t="str">
        <f>(IF(C17-F14&gt;0,1)+IF(D17-F15&gt;0,1)+IF(E17-F16&gt;0,1)+IF(G17-F18&gt;0,1))&amp;"-"&amp;(IF(C17-F14&lt;0,1)+IF(D17-F15&lt;0,1)+IF(E17-F16&lt;0,1)+IF(G17-F18&lt;0,1))</f>
        <v>0-0</v>
      </c>
      <c r="I17" s="778" t="str">
        <f>IF(AND(B17&lt;&gt;"",M$13=TRUE),A$13&amp;RANK(M17,M$14:M$18,0),"")</f>
        <v/>
      </c>
      <c r="J17" s="821">
        <f t="shared" si="7"/>
        <v>0</v>
      </c>
      <c r="K17" s="825">
        <f>IF(AND(J17=1,J14=1,C17&gt;F14),1)+IF(AND(J17=1,J15=1,D17&gt;F15),1)+IF(AND(J17=1,J16=1,E17&gt;F16),1)+IF(AND(J17=1,J18=1,G17&gt;F18),1)+IF(AND(J17=2,J14=2,C17&gt;F14),1)+IF(AND(J17=2,J15=2,D17&gt;F15),1)+IF(AND(J17=2,J16=2,E17&gt;F16),1)+IF(AND(J17=2,J18=2,G17&gt;F18),1)+IF(AND(J17=3,J14=3,C17&gt;F14),1)+IF(AND(J17=3,J15=3,D17&gt;F15),1)+IF(AND(J17=3,J16=3,E17&gt;F16),1)+IF(AND(J17=3,J18=3,G17&gt;F18),1)</f>
        <v>0</v>
      </c>
      <c r="L17" s="837">
        <f>IF(AND(J17=1,J14=1),C17-F14)+IF(AND(J17=1,J15=1),D17-F15)+IF(AND(J17=1,J16=1),E17-F16)+IF(AND(J17=1,J18=1),G17-F18)+IF(AND(J17=2,J14=2),C17-F14)+IF(AND(J17=2,J15=2),D17-F15)+IF(AND(J17=2,J16=2),E17-F16)+IF(AND(J17=2,J18=2),G17-F18)+IF(AND(J17=3,J14=3),C17-F14)+IF(AND(J17=3,J15=3),D17-F15)+IF(AND(J17=3,J16=3),E17-F16)+IF(AND(J17=3,J18=3),G17-F18)</f>
        <v>0</v>
      </c>
      <c r="M17" s="824">
        <f t="shared" si="8"/>
        <v>0</v>
      </c>
      <c r="O17" s="770"/>
      <c r="P17" s="770"/>
      <c r="Q17" s="770"/>
      <c r="R17" s="764">
        <f t="shared" si="0"/>
        <v>0</v>
      </c>
      <c r="S17" s="914" t="str">
        <f>IFERROR(INDEX(V!$R:$R,MATCH(T17,V!$L:$L,0)),"")</f>
        <v/>
      </c>
      <c r="T17" s="783" t="str">
        <f t="shared" si="1"/>
        <v/>
      </c>
      <c r="U17" s="914" t="str">
        <f>IFERROR(INDEX(V!$R:$R,MATCH(V17,V!$L:$L,0)),"")</f>
        <v/>
      </c>
      <c r="V17" s="783" t="str">
        <f t="shared" si="2"/>
        <v/>
      </c>
      <c r="W17" s="914" t="str">
        <f>IFERROR(INDEX(V!$R:$R,MATCH(X17,V!$L:$L,0)),"")</f>
        <v/>
      </c>
      <c r="X17" s="785" t="str">
        <f t="shared" si="3"/>
        <v/>
      </c>
      <c r="Y17" s="914" t="str">
        <f>IFERROR(INDEX(V!$R:$R,MATCH(Z17,V!$L:$L,0)),"")</f>
        <v/>
      </c>
      <c r="Z17" s="785" t="str">
        <f t="shared" si="4"/>
        <v/>
      </c>
      <c r="AA17" s="757"/>
    </row>
    <row r="18" spans="1:27" hidden="1" x14ac:dyDescent="0.2">
      <c r="A18" s="765">
        <v>5</v>
      </c>
      <c r="B18" s="792"/>
      <c r="C18" s="778"/>
      <c r="D18" s="778"/>
      <c r="E18" s="778"/>
      <c r="F18" s="778"/>
      <c r="G18" s="776"/>
      <c r="H18" s="796" t="str">
        <f>(IF(C18-G14&gt;0,1)+IF(D18-G15&gt;0,1)+IF(E18-G16&gt;0,1)+IF(F18-G17&gt;0,1))&amp;"-"&amp;(IF(C18-G14&lt;0,1)+IF(D18-G15&lt;0,1)+IF(E18-G16&lt;0,1)+IF(F18-G17&lt;0,1))</f>
        <v>0-0</v>
      </c>
      <c r="I18" s="778" t="str">
        <f>IF(AND(B18&lt;&gt;"",M$13=TRUE),A$13&amp;RANK(M18,M$14:M$18,0),"")</f>
        <v/>
      </c>
      <c r="J18" s="821">
        <f t="shared" si="7"/>
        <v>0</v>
      </c>
      <c r="K18" s="825">
        <f>IF(AND(J18=1,J14=1,C18&gt;G14),1)+IF(AND(J18=1,J15=1,D18&gt;G15),1)+IF(AND(J18=1,J16=1,E18&gt;G16),1)+IF(AND(J18=1,J17=1,F18&gt;G17),1)+IF(AND(J18=2,J14=2,C18&gt;G14),1)+IF(AND(J18=2,J15=2,D18&gt;G15),1)+IF(AND(J18=2,J16=2,E18&gt;G16),1)+IF(AND(J18=2,J17=2,F18&gt;G17),1)+IF(AND(J18=3,J14=3,C18&gt;G14),1)+IF(AND(J18=3,J15=3,D18&gt;G15),1)+IF(AND(J18=3,J16=3,E18&gt;G16),1)+IF(AND(J18=3,J17=3,F18&gt;G17),1)</f>
        <v>0</v>
      </c>
      <c r="L18" s="823">
        <f>IF(AND(J18=1,J14=1),C18-G14)+IF(AND(J18=1,J15=1),D18-G15)+IF(AND(J18=1,J16=1),E18-G16)+IF(AND(J18=1,J17=1),F18-G17)+IF(AND(J18=2,J14=2),C18-G14)+IF(AND(J18=2,J15=2),D18-G15)+IF(AND(J18=2,J16=2),E18-G16)+IF(AND(J18=2,J17=2),F18-G17)+IF(AND(J18=3,J14=3),C18-G14)+IF(AND(J18=3,J15=3),D18-G15)+IF(AND(J18=3,J16=3),E18-G16)+IF(AND(J18=3,J17=3),F18-G17)</f>
        <v>0</v>
      </c>
      <c r="M18" s="824">
        <f t="shared" si="8"/>
        <v>0</v>
      </c>
      <c r="O18" s="770"/>
      <c r="P18" s="770"/>
      <c r="Q18" s="770"/>
      <c r="R18" s="764">
        <f t="shared" si="0"/>
        <v>0</v>
      </c>
      <c r="S18" s="914" t="str">
        <f>IFERROR(INDEX(V!$R:$R,MATCH(T18,V!$L:$L,0)),"")</f>
        <v/>
      </c>
      <c r="T18" s="783" t="str">
        <f t="shared" si="1"/>
        <v/>
      </c>
      <c r="U18" s="914" t="str">
        <f>IFERROR(INDEX(V!$R:$R,MATCH(V18,V!$L:$L,0)),"")</f>
        <v/>
      </c>
      <c r="V18" s="783" t="str">
        <f t="shared" si="2"/>
        <v/>
      </c>
      <c r="W18" s="914" t="str">
        <f>IFERROR(INDEX(V!$R:$R,MATCH(X18,V!$L:$L,0)),"")</f>
        <v/>
      </c>
      <c r="X18" s="785" t="str">
        <f t="shared" si="3"/>
        <v/>
      </c>
      <c r="Y18" s="914" t="str">
        <f>IFERROR(INDEX(V!$R:$R,MATCH(Z18,V!$L:$L,0)),"")</f>
        <v/>
      </c>
      <c r="Z18" s="785" t="str">
        <f t="shared" si="4"/>
        <v/>
      </c>
      <c r="AA18" s="757"/>
    </row>
    <row r="19" spans="1:27" x14ac:dyDescent="0.2">
      <c r="A19" s="827"/>
      <c r="B19" s="828"/>
      <c r="C19" s="808"/>
      <c r="D19" s="829"/>
      <c r="E19" s="808"/>
      <c r="F19" s="805"/>
      <c r="G19" s="212"/>
      <c r="H19" s="830"/>
      <c r="I19" s="831"/>
      <c r="J19" s="817"/>
      <c r="K19" s="838"/>
      <c r="L19" s="833"/>
      <c r="M19" s="817"/>
      <c r="O19" s="212"/>
      <c r="P19" s="212"/>
      <c r="Q19" s="212"/>
      <c r="R19" s="764">
        <f t="shared" si="0"/>
        <v>0</v>
      </c>
      <c r="S19" s="914" t="str">
        <f>IFERROR(INDEX(V!$R:$R,MATCH(T19,V!$L:$L,0)),"")</f>
        <v/>
      </c>
      <c r="T19" s="783" t="str">
        <f t="shared" si="1"/>
        <v/>
      </c>
      <c r="U19" s="914" t="str">
        <f>IFERROR(INDEX(V!$R:$R,MATCH(V19,V!$L:$L,0)),"")</f>
        <v/>
      </c>
      <c r="V19" s="783" t="str">
        <f t="shared" si="2"/>
        <v/>
      </c>
      <c r="W19" s="914" t="str">
        <f>IFERROR(INDEX(V!$R:$R,MATCH(X19,V!$L:$L,0)),"")</f>
        <v/>
      </c>
      <c r="X19" s="785" t="str">
        <f t="shared" si="3"/>
        <v/>
      </c>
      <c r="Y19" s="914" t="str">
        <f>IFERROR(INDEX(V!$R:$R,MATCH(Z19,V!$L:$L,0)),"")</f>
        <v/>
      </c>
      <c r="Z19" s="785" t="str">
        <f t="shared" si="4"/>
        <v/>
      </c>
      <c r="AA19" s="755"/>
    </row>
    <row r="20" spans="1:27" x14ac:dyDescent="0.2">
      <c r="A20" s="765" t="s">
        <v>2</v>
      </c>
      <c r="B20" s="766"/>
      <c r="C20" s="767">
        <v>1</v>
      </c>
      <c r="D20" s="767">
        <v>2</v>
      </c>
      <c r="E20" s="767">
        <v>3</v>
      </c>
      <c r="F20" s="767"/>
      <c r="G20" s="767"/>
      <c r="H20" s="766" t="s">
        <v>363</v>
      </c>
      <c r="I20" s="766" t="s">
        <v>364</v>
      </c>
      <c r="J20" s="834" t="s">
        <v>21</v>
      </c>
      <c r="K20" s="768" t="s">
        <v>21</v>
      </c>
      <c r="L20" s="835" t="s">
        <v>365</v>
      </c>
      <c r="M20" s="836" t="b">
        <f>OR(AND(COUNTA(B21:B25)=3,COUNTA(C21:G25)=6),AND(COUNTA(B21:B25)=4,COUNTA(C21:G25)=12),AND(COUNTA(B21:B25)=5,COUNTA(C21:G25)=20))</f>
        <v>1</v>
      </c>
      <c r="O20" s="770"/>
      <c r="P20" s="770"/>
      <c r="Q20" s="770"/>
      <c r="R20" s="764">
        <f t="shared" si="0"/>
        <v>0</v>
      </c>
      <c r="S20" s="914" t="str">
        <f>IFERROR(INDEX(V!$R:$R,MATCH(T20,V!$L:$L,0)),"")</f>
        <v/>
      </c>
      <c r="T20" s="783" t="str">
        <f t="shared" si="1"/>
        <v/>
      </c>
      <c r="U20" s="914" t="str">
        <f>IFERROR(INDEX(V!$R:$R,MATCH(V20,V!$L:$L,0)),"")</f>
        <v/>
      </c>
      <c r="V20" s="783" t="str">
        <f t="shared" si="2"/>
        <v/>
      </c>
      <c r="W20" s="914" t="str">
        <f>IFERROR(INDEX(V!$R:$R,MATCH(X20,V!$L:$L,0)),"")</f>
        <v/>
      </c>
      <c r="X20" s="785" t="str">
        <f t="shared" si="3"/>
        <v/>
      </c>
      <c r="Y20" s="914" t="str">
        <f>IFERROR(INDEX(V!$R:$R,MATCH(Z20,V!$L:$L,0)),"")</f>
        <v/>
      </c>
      <c r="Z20" s="785" t="str">
        <f t="shared" si="4"/>
        <v/>
      </c>
      <c r="AA20" s="755"/>
    </row>
    <row r="21" spans="1:27" x14ac:dyDescent="0.2">
      <c r="A21" s="765">
        <v>1</v>
      </c>
      <c r="B21" s="820" t="s">
        <v>370</v>
      </c>
      <c r="C21" s="776"/>
      <c r="D21" s="778">
        <v>13</v>
      </c>
      <c r="E21" s="778">
        <v>13</v>
      </c>
      <c r="F21" s="778"/>
      <c r="G21" s="778"/>
      <c r="H21" s="796" t="str">
        <f>(IF(D21-C22&gt;0,1)+IF(E21-C23&gt;0,1)+IF(F21-C24&gt;0,1)+IF(G21-C25&gt;0,1))&amp;"-"&amp;(IF(D21-C22&lt;0,1)+IF(E21-C23&lt;0,1)+IF(F21-C24&lt;0,1)+IF(G21-C25&lt;0,1))</f>
        <v>2-0</v>
      </c>
      <c r="I21" s="778" t="str">
        <f>IF(AND(B21&lt;&gt;"",M$20=TRUE),A$20&amp;RANK(M21,M$21:M$25,0),"")</f>
        <v>C1</v>
      </c>
      <c r="J21" s="821">
        <f>VALUE(LEFT(H21,1))</f>
        <v>2</v>
      </c>
      <c r="K21" s="822">
        <f>IF(AND(J21=1,J22=1,D21&gt;C22),1)+IF(AND(J21=1,J23=1,E21&gt;C23),1)+IF(AND(J21=1,J24=1,F21&gt;C24),1)+IF(AND(J21=1,J25=1,G21&gt;C25),1)+IF(AND(J21=2,J22=2,D21&gt;C22),1)+IF(AND(J21=2,J23=2,E21&gt;C23),1)+IF(AND(J21=2,J24=2,F21&gt;C24),1)+IF(AND(J21=2,J25=2,G21&gt;C25),1)+IF(AND(J21=3,J22=3,D21&gt;C22),1)+IF(AND(J21=3,J23=3,E21&gt;C23),1)+IF(AND(J21=3,J24=3,F21&gt;C24),1)+IF(AND(J21=3,J25=3,G21&gt;C25),1)</f>
        <v>0</v>
      </c>
      <c r="L21" s="823">
        <f>IF(AND(J21=1,J22=1),D21-C22)+IF(AND(J21=1,J23=1),E21-C23)+IF(AND(J21=1,J24=1),F21-C24)+IF(AND(J21=1,J25=1),G21-C25)+IF(AND(J21=2,J22=2),D21-C22)+IF(AND(J21=2,J23=2),E21-C23)+IF(AND(J21=2,J24=2),F21-C24)+IF(AND(J21=2,J25=2),G21-C25)+IF(AND(J21=3,J22=3),D21-C22)+IF(AND(J21=3,J23=3),E21-C23)+IF(AND(J21=3,J24=3),F21-C24)+IF(AND(J21=3,J25=3),G21-C25)</f>
        <v>0</v>
      </c>
      <c r="M21" s="824">
        <f>10000*J21+K21*100+L21</f>
        <v>20000</v>
      </c>
      <c r="O21" s="770"/>
      <c r="P21" s="770"/>
      <c r="Q21" s="770"/>
      <c r="R21" s="764">
        <f t="shared" si="0"/>
        <v>240</v>
      </c>
      <c r="S21" s="914">
        <f>IFERROR(INDEX(V!$R:$R,MATCH(T21,V!$L:$L,0)),"")</f>
        <v>117</v>
      </c>
      <c r="T21" s="783" t="str">
        <f t="shared" si="1"/>
        <v>Elmo Lageda</v>
      </c>
      <c r="U21" s="914">
        <f>IFERROR(INDEX(V!$R:$R,MATCH(V21,V!$L:$L,0)),"")</f>
        <v>123</v>
      </c>
      <c r="V21" s="783" t="str">
        <f t="shared" si="2"/>
        <v>Tõnu Piik</v>
      </c>
      <c r="W21" s="914" t="str">
        <f>IFERROR(INDEX(V!$R:$R,MATCH(X21,V!$L:$L,0)),"")</f>
        <v/>
      </c>
      <c r="X21" s="785" t="str">
        <f t="shared" si="3"/>
        <v/>
      </c>
      <c r="Y21" s="914" t="str">
        <f>IFERROR(INDEX(V!$R:$R,MATCH(Z21,V!$L:$L,0)),"")</f>
        <v/>
      </c>
      <c r="Z21" s="785" t="str">
        <f t="shared" si="4"/>
        <v/>
      </c>
      <c r="AA21" s="757"/>
    </row>
    <row r="22" spans="1:27" x14ac:dyDescent="0.2">
      <c r="A22" s="765">
        <v>2</v>
      </c>
      <c r="B22" s="775" t="s">
        <v>369</v>
      </c>
      <c r="C22" s="778">
        <v>2</v>
      </c>
      <c r="D22" s="776"/>
      <c r="E22" s="778">
        <v>11</v>
      </c>
      <c r="F22" s="778"/>
      <c r="G22" s="778"/>
      <c r="H22" s="796" t="str">
        <f>(IF(C22-D21&gt;0,1)+IF(E22-D23&gt;0,1)+IF(F22-D24&gt;0,1)+IF(G22-D25&gt;0,1))&amp;"-"&amp;(IF(C22-D21&lt;0,1)+IF(E22-D23&lt;0,1)+IF(F22-D24&lt;0,1)+IF(G22-D25&lt;0,1))</f>
        <v>0-2</v>
      </c>
      <c r="I22" s="778" t="str">
        <f>IF(AND(B22&lt;&gt;"",M$20=TRUE),A$20&amp;RANK(M22,M$21:M$25,0),"")</f>
        <v>C3</v>
      </c>
      <c r="J22" s="821">
        <f t="shared" ref="J22:J25" si="9">VALUE(LEFT(H22,1))</f>
        <v>0</v>
      </c>
      <c r="K22" s="825">
        <f>IF(AND(J22=1,J21=1,C22&gt;D21),1)+IF(AND(J22=1,J23=1,E22&gt;D23),1)+IF(AND(J22=1,J24=1,F22&gt;D24),1)+IF(AND(J22=1,J25=1,G22&gt;D25),1)+IF(AND(J22=2,J21=2,C22&gt;D21),1)+IF(AND(J22=2,J23=2,E22&gt;D23),1)+IF(AND(J22=2,J24=2,F22&gt;D24),1)+IF(AND(J22=2,J25=2,G22&gt;D25),1)+IF(AND(J22=3,J21=3,C22&gt;D21),1)+IF(AND(J22=3,J23=3,E22&gt;D23),1)+IF(AND(J22=3,J24=3,F22&gt;D24),1)+IF(AND(J22=3,J25=3,G22&gt;D25),1)</f>
        <v>0</v>
      </c>
      <c r="L22" s="823">
        <f>IF(AND(J22=1,J21=1),C22-D21)+IF(AND(J22=1,J23=1),E22-D23)+IF(AND(J22=1,J24=1),F22-D24)+IF(AND(J22=1,J25=1),G22-D25)+IF(AND(J22=2,J21=2),C22-D21)+IF(AND(J22=2,J23=2),E22-D23)+IF(AND(J22=2,J24=2),F22-D24)+IF(AND(J22=2,J25=2),G22-D25)+IF(AND(J22=3,J21=3),C22-D21)+IF(AND(J22=3,J23=3),E22-D23)+IF(AND(J22=3,J24=3),F22-D24)+IF(AND(J22=3,J25=3),G22-D25)</f>
        <v>0</v>
      </c>
      <c r="M22" s="824">
        <f t="shared" ref="M22:M25" si="10">10000*J22+K22*100+L22</f>
        <v>0</v>
      </c>
      <c r="O22" s="770"/>
      <c r="P22" s="770"/>
      <c r="Q22" s="770"/>
      <c r="R22" s="764">
        <f t="shared" si="0"/>
        <v>164</v>
      </c>
      <c r="S22" s="914">
        <f>IFERROR(INDEX(V!$R:$R,MATCH(T22,V!$L:$L,0)),"")</f>
        <v>88</v>
      </c>
      <c r="T22" s="783" t="str">
        <f t="shared" si="1"/>
        <v>Enn Tokman</v>
      </c>
      <c r="U22" s="914">
        <f>IFERROR(INDEX(V!$R:$R,MATCH(V22,V!$L:$L,0)),"")</f>
        <v>76</v>
      </c>
      <c r="V22" s="783" t="str">
        <f t="shared" si="2"/>
        <v>Tarmo Bombe</v>
      </c>
      <c r="W22" s="914" t="str">
        <f>IFERROR(INDEX(V!$R:$R,MATCH(X22,V!$L:$L,0)),"")</f>
        <v/>
      </c>
      <c r="X22" s="785" t="str">
        <f t="shared" si="3"/>
        <v/>
      </c>
      <c r="Y22" s="914" t="str">
        <f>IFERROR(INDEX(V!$R:$R,MATCH(Z22,V!$L:$L,0)),"")</f>
        <v/>
      </c>
      <c r="Z22" s="785" t="str">
        <f t="shared" si="4"/>
        <v/>
      </c>
      <c r="AA22" s="757"/>
    </row>
    <row r="23" spans="1:27" x14ac:dyDescent="0.2">
      <c r="A23" s="765">
        <v>3</v>
      </c>
      <c r="B23" s="775" t="s">
        <v>436</v>
      </c>
      <c r="C23" s="778">
        <v>12</v>
      </c>
      <c r="D23" s="787">
        <v>13</v>
      </c>
      <c r="E23" s="776"/>
      <c r="F23" s="778"/>
      <c r="G23" s="778"/>
      <c r="H23" s="796" t="str">
        <f>(IF(C23-E21&gt;0,1)+IF(D23-E22&gt;0,1)+IF(F23-E24&gt;0,1)+IF(G23-E25&gt;0,1))&amp;"-"&amp;(IF(C23-E21&lt;0,1)+IF(D23-E22&lt;0,1)+IF(F23-E24&lt;0,1)+IF(G23-E25&lt;0,1))</f>
        <v>1-1</v>
      </c>
      <c r="I23" s="778" t="str">
        <f>IF(AND(B23&lt;&gt;"",M$20=TRUE),A$20&amp;RANK(M23,M$21:M$25,0),"")</f>
        <v>C2</v>
      </c>
      <c r="J23" s="821">
        <f t="shared" si="9"/>
        <v>1</v>
      </c>
      <c r="K23" s="825">
        <f>IF(AND(J23=1,J21=1,C23&gt;E21),1)+IF(AND(J23=1,J22=1,D23&gt;E22),1)+IF(AND(J23=1,J24=1,F23&gt;E24),1)+IF(AND(J23=1,J25=1,G23&gt;E25),1)+IF(AND(J23=2,J21=2,C23&gt;E21),1)+IF(AND(J23=2,J22=2,D23&gt;E22),1)+IF(AND(J23=2,J24=2,F23&gt;E24),1)+IF(AND(J23=2,J25=2,G23&gt;E25),1)+IF(AND(J23=3,J21=3,C23&gt;E21),1)+IF(AND(J23=3,J22=3,D23&gt;E22),1)+IF(AND(J23=3,J24=3,F23&gt;E24),1)+IF(AND(J23=3,J25=3,G23&gt;E25),1)</f>
        <v>0</v>
      </c>
      <c r="L23" s="823">
        <f>IF(AND(J23=1,J21=1),C23-E21)+IF(AND(J23=1,J22=1),D23-E22)+IF(AND(J23=1,J24=1),F23-E24)+IF(AND(J23=1,J25=1),G23-E25)+IF(AND(J23=2,J21=2),C23-E21)+IF(AND(J23=2,J22=2),D23-E22)+IF(AND(J23=2,J24=2),F23-E24)+IF(AND(J23=2,J25=2),G23-E25)+IF(AND(J23=3,J21=3),C23-E21)+IF(AND(J23=3,J22=3),D23-E22)+IF(AND(J23=3,J24=3),F23-E24)+IF(AND(J23=3,J25=3),G23-E25)</f>
        <v>0</v>
      </c>
      <c r="M23" s="824">
        <f t="shared" si="10"/>
        <v>10000</v>
      </c>
      <c r="O23" s="770"/>
      <c r="P23" s="770"/>
      <c r="Q23" s="770"/>
      <c r="R23" s="764">
        <f t="shared" si="0"/>
        <v>86.5</v>
      </c>
      <c r="S23" s="914">
        <f>IFERROR(INDEX(V!$R:$R,MATCH(T23,V!$L:$L,0)),"")</f>
        <v>66.5</v>
      </c>
      <c r="T23" s="783" t="str">
        <f t="shared" si="1"/>
        <v>Oleg Rõndenkov</v>
      </c>
      <c r="U23" s="914">
        <f>IFERROR(INDEX(V!$R:$R,MATCH(V23,V!$L:$L,0)),"")</f>
        <v>20</v>
      </c>
      <c r="V23" s="783" t="str">
        <f t="shared" si="2"/>
        <v>Toomas Tedrekull</v>
      </c>
      <c r="W23" s="914" t="str">
        <f>IFERROR(INDEX(V!$R:$R,MATCH(X23,V!$L:$L,0)),"")</f>
        <v/>
      </c>
      <c r="X23" s="785" t="str">
        <f t="shared" si="3"/>
        <v/>
      </c>
      <c r="Y23" s="914" t="str">
        <f>IFERROR(INDEX(V!$R:$R,MATCH(Z23,V!$L:$L,0)),"")</f>
        <v/>
      </c>
      <c r="Z23" s="785" t="str">
        <f t="shared" si="4"/>
        <v/>
      </c>
      <c r="AA23" s="757"/>
    </row>
    <row r="24" spans="1:27" hidden="1" x14ac:dyDescent="0.2">
      <c r="A24" s="765">
        <v>4</v>
      </c>
      <c r="B24" s="775"/>
      <c r="C24" s="778"/>
      <c r="D24" s="787"/>
      <c r="E24" s="778"/>
      <c r="F24" s="776"/>
      <c r="G24" s="779"/>
      <c r="H24" s="796" t="str">
        <f>(IF(C24-F21&gt;0,1)+IF(D24-F22&gt;0,1)+IF(E24-F23&gt;0,1)+IF(G24-F25&gt;0,1))&amp;"-"&amp;(IF(C24-F21&lt;0,1)+IF(D24-F22&lt;0,1)+IF(E24-F23&lt;0,1)+IF(G24-F25&lt;0,1))</f>
        <v>0-0</v>
      </c>
      <c r="I24" s="778" t="str">
        <f>IF(AND(B24&lt;&gt;"",M$20=TRUE),A$20&amp;RANK(M24,M$21:M$25,0),"")</f>
        <v/>
      </c>
      <c r="J24" s="821">
        <f t="shared" si="9"/>
        <v>0</v>
      </c>
      <c r="K24" s="825">
        <f>IF(AND(J24=1,J21=1,C24&gt;F21),1)+IF(AND(J24=1,J22=1,D24&gt;F22),1)+IF(AND(J24=1,J23=1,E24&gt;F23),1)+IF(AND(J24=1,J25=1,G24&gt;F25),1)+IF(AND(J24=2,J21=2,C24&gt;F21),1)+IF(AND(J24=2,J22=2,D24&gt;F22),1)+IF(AND(J24=2,J23=2,E24&gt;F23),1)+IF(AND(J24=2,J25=2,G24&gt;F25),1)+IF(AND(J24=3,J21=3,C24&gt;F21),1)+IF(AND(J24=3,J22=3,D24&gt;F22),1)+IF(AND(J24=3,J23=3,E24&gt;F23),1)+IF(AND(J24=3,J25=3,G24&gt;F25),1)</f>
        <v>0</v>
      </c>
      <c r="L24" s="823">
        <f>IF(AND(J24=1,J21=1),C24-F21)+IF(AND(J24=1,J22=1),D24-F22)+IF(AND(J24=1,J23=1),E24-F23)+IF(AND(J24=1,J25=1),G24-F25)+IF(AND(J24=2,J21=2),C24-F21)+IF(AND(J24=2,J22=2),D24-F22)+IF(AND(J24=2,J23=2),E24-F23)+IF(AND(J24=2,J25=2),G24-F25)+IF(AND(J24=3,J21=3),C24-F21)+IF(AND(J24=3,J22=3),D24-F22)+IF(AND(J24=3,J23=3),E24-F23)+IF(AND(J24=3,J25=3),G24-F25)</f>
        <v>0</v>
      </c>
      <c r="M24" s="824">
        <f t="shared" si="10"/>
        <v>0</v>
      </c>
      <c r="O24" s="770"/>
      <c r="P24" s="770"/>
      <c r="Q24" s="770"/>
      <c r="R24" s="764">
        <f t="shared" si="0"/>
        <v>0</v>
      </c>
      <c r="S24" s="914" t="str">
        <f>IFERROR(INDEX(V!$R:$R,MATCH(T24,V!$L:$L,0)),"")</f>
        <v/>
      </c>
      <c r="T24" s="783" t="str">
        <f t="shared" si="1"/>
        <v/>
      </c>
      <c r="U24" s="914" t="str">
        <f>IFERROR(INDEX(V!$R:$R,MATCH(V24,V!$L:$L,0)),"")</f>
        <v/>
      </c>
      <c r="V24" s="783" t="str">
        <f t="shared" si="2"/>
        <v/>
      </c>
      <c r="W24" s="914" t="str">
        <f>IFERROR(INDEX(V!$R:$R,MATCH(X24,V!$L:$L,0)),"")</f>
        <v/>
      </c>
      <c r="X24" s="785" t="str">
        <f t="shared" si="3"/>
        <v/>
      </c>
      <c r="Y24" s="914" t="str">
        <f>IFERROR(INDEX(V!$R:$R,MATCH(Z24,V!$L:$L,0)),"")</f>
        <v/>
      </c>
      <c r="Z24" s="785" t="str">
        <f t="shared" si="4"/>
        <v/>
      </c>
      <c r="AA24" s="757"/>
    </row>
    <row r="25" spans="1:27" hidden="1" x14ac:dyDescent="0.2">
      <c r="A25" s="765">
        <v>5</v>
      </c>
      <c r="B25" s="792"/>
      <c r="C25" s="778"/>
      <c r="D25" s="778"/>
      <c r="E25" s="778"/>
      <c r="F25" s="778"/>
      <c r="G25" s="776"/>
      <c r="H25" s="796" t="str">
        <f>(IF(C25-G21&gt;0,1)+IF(D25-G22&gt;0,1)+IF(E25-G23&gt;0,1)+IF(F25-G24&gt;0,1))&amp;"-"&amp;(IF(C25-G21&lt;0,1)+IF(D25-G22&lt;0,1)+IF(E25-G23&lt;0,1)+IF(F25-G24&lt;0,1))</f>
        <v>0-0</v>
      </c>
      <c r="I25" s="778" t="str">
        <f>IF(AND(B25&lt;&gt;"",M$20=TRUE),A$20&amp;RANK(M25,M$21:M$25,0),"")</f>
        <v/>
      </c>
      <c r="J25" s="821">
        <f t="shared" si="9"/>
        <v>0</v>
      </c>
      <c r="K25" s="825">
        <f>IF(AND(J25=1,J21=1,C25&gt;G21),1)+IF(AND(J25=1,J22=1,D25&gt;G22),1)+IF(AND(J25=1,J23=1,E25&gt;G23),1)+IF(AND(J25=1,J24=1,F25&gt;G24),1)+IF(AND(J25=2,J21=2,C25&gt;G21),1)+IF(AND(J25=2,J22=2,D25&gt;G22),1)+IF(AND(J25=2,J23=2,E25&gt;G23),1)+IF(AND(J25=2,J24=2,F25&gt;G24),1)+IF(AND(J25=3,J21=3,C25&gt;G21),1)+IF(AND(J25=3,J22=3,D25&gt;G22),1)+IF(AND(J25=3,J23=3,E25&gt;G23),1)+IF(AND(J25=3,J24=3,F25&gt;G24),1)</f>
        <v>0</v>
      </c>
      <c r="L25" s="839">
        <f>IF(AND(J25=1,J21=1),C25-G21)+IF(AND(J25=1,J22=1),D25-G22)+IF(AND(J25=1,J23=1),E25-G23)+IF(AND(J25=1,J24=1),F25-G24)+IF(AND(J25=2,J21=2),C25-G21)+IF(AND(J25=2,J22=2),D25-G22)+IF(AND(J25=2,J23=2),E25-G23)+IF(AND(J25=2,J24=2),F25-G24)+IF(AND(J25=3,J21=3),C25-G21)+IF(AND(J25=3,J22=3),D25-G22)+IF(AND(J25=3,J23=3),E25-G23)+IF(AND(J25=3,J24=3),F25-G24)</f>
        <v>0</v>
      </c>
      <c r="M25" s="824">
        <f t="shared" si="10"/>
        <v>0</v>
      </c>
      <c r="O25" s="770"/>
      <c r="P25" s="770"/>
      <c r="Q25" s="770"/>
      <c r="R25" s="764">
        <f t="shared" si="0"/>
        <v>0</v>
      </c>
      <c r="S25" s="914" t="str">
        <f>IFERROR(INDEX(V!$R:$R,MATCH(T25,V!$L:$L,0)),"")</f>
        <v/>
      </c>
      <c r="T25" s="783" t="str">
        <f t="shared" si="1"/>
        <v/>
      </c>
      <c r="U25" s="914" t="str">
        <f>IFERROR(INDEX(V!$R:$R,MATCH(V25,V!$L:$L,0)),"")</f>
        <v/>
      </c>
      <c r="V25" s="783" t="str">
        <f t="shared" si="2"/>
        <v/>
      </c>
      <c r="W25" s="914" t="str">
        <f>IFERROR(INDEX(V!$R:$R,MATCH(X25,V!$L:$L,0)),"")</f>
        <v/>
      </c>
      <c r="X25" s="785" t="str">
        <f t="shared" si="3"/>
        <v/>
      </c>
      <c r="Y25" s="914" t="str">
        <f>IFERROR(INDEX(V!$R:$R,MATCH(Z25,V!$L:$L,0)),"")</f>
        <v/>
      </c>
      <c r="Z25" s="785" t="str">
        <f t="shared" si="4"/>
        <v/>
      </c>
      <c r="AA25" s="757"/>
    </row>
    <row r="26" spans="1:27" x14ac:dyDescent="0.2">
      <c r="A26" s="754"/>
      <c r="B26" s="818"/>
      <c r="C26" s="840"/>
      <c r="D26" s="840"/>
      <c r="E26" s="840"/>
      <c r="F26" s="841"/>
      <c r="G26" s="841"/>
      <c r="H26" s="842"/>
      <c r="I26" s="843"/>
      <c r="J26" s="844"/>
      <c r="K26" s="832"/>
      <c r="L26" s="845"/>
      <c r="M26" s="844"/>
      <c r="O26" s="770"/>
      <c r="P26" s="770"/>
      <c r="Q26" s="770"/>
      <c r="R26" s="764">
        <f t="shared" si="0"/>
        <v>0</v>
      </c>
      <c r="S26" s="914" t="str">
        <f>IFERROR(INDEX(V!$R:$R,MATCH(T26,V!$L:$L,0)),"")</f>
        <v/>
      </c>
      <c r="T26" s="783" t="str">
        <f t="shared" si="1"/>
        <v/>
      </c>
      <c r="U26" s="914" t="str">
        <f>IFERROR(INDEX(V!$R:$R,MATCH(V26,V!$L:$L,0)),"")</f>
        <v/>
      </c>
      <c r="V26" s="783" t="str">
        <f t="shared" si="2"/>
        <v/>
      </c>
      <c r="W26" s="914" t="str">
        <f>IFERROR(INDEX(V!$R:$R,MATCH(X26,V!$L:$L,0)),"")</f>
        <v/>
      </c>
      <c r="X26" s="785" t="str">
        <f t="shared" si="3"/>
        <v/>
      </c>
      <c r="Y26" s="914" t="str">
        <f>IFERROR(INDEX(V!$R:$R,MATCH(Z26,V!$L:$L,0)),"")</f>
        <v/>
      </c>
      <c r="Z26" s="785" t="str">
        <f t="shared" si="4"/>
        <v/>
      </c>
      <c r="AA26" s="755"/>
    </row>
    <row r="27" spans="1:27" x14ac:dyDescent="0.2">
      <c r="A27" s="765" t="s">
        <v>3</v>
      </c>
      <c r="B27" s="766"/>
      <c r="C27" s="767">
        <v>1</v>
      </c>
      <c r="D27" s="767">
        <v>2</v>
      </c>
      <c r="E27" s="767">
        <v>3</v>
      </c>
      <c r="F27" s="767">
        <v>4</v>
      </c>
      <c r="G27" s="767"/>
      <c r="H27" s="766" t="s">
        <v>363</v>
      </c>
      <c r="I27" s="766" t="s">
        <v>364</v>
      </c>
      <c r="J27" s="834" t="s">
        <v>21</v>
      </c>
      <c r="K27" s="768" t="s">
        <v>21</v>
      </c>
      <c r="L27" s="835" t="s">
        <v>365</v>
      </c>
      <c r="M27" s="836" t="b">
        <f>OR(AND(COUNTA(B28:B32)=3,COUNTA(C28:G32)=6),AND(COUNTA(B28:B32)=4,COUNTA(C28:G32)=12),AND(COUNTA(B28:B32)=5,COUNTA(C28:G32)=20))</f>
        <v>1</v>
      </c>
      <c r="O27" s="212"/>
      <c r="P27" s="212"/>
      <c r="Q27" s="212"/>
      <c r="R27" s="764">
        <f t="shared" si="0"/>
        <v>0</v>
      </c>
      <c r="S27" s="914" t="str">
        <f>IFERROR(INDEX(V!$R:$R,MATCH(T27,V!$L:$L,0)),"")</f>
        <v/>
      </c>
      <c r="T27" s="783" t="str">
        <f t="shared" si="1"/>
        <v/>
      </c>
      <c r="U27" s="914" t="str">
        <f>IFERROR(INDEX(V!$R:$R,MATCH(V27,V!$L:$L,0)),"")</f>
        <v/>
      </c>
      <c r="V27" s="783" t="str">
        <f t="shared" si="2"/>
        <v/>
      </c>
      <c r="W27" s="914" t="str">
        <f>IFERROR(INDEX(V!$R:$R,MATCH(X27,V!$L:$L,0)),"")</f>
        <v/>
      </c>
      <c r="X27" s="785" t="str">
        <f t="shared" si="3"/>
        <v/>
      </c>
      <c r="Y27" s="914" t="str">
        <f>IFERROR(INDEX(V!$R:$R,MATCH(Z27,V!$L:$L,0)),"")</f>
        <v/>
      </c>
      <c r="Z27" s="785" t="str">
        <f t="shared" si="4"/>
        <v/>
      </c>
      <c r="AA27" s="760"/>
    </row>
    <row r="28" spans="1:27" x14ac:dyDescent="0.2">
      <c r="A28" s="765">
        <v>1</v>
      </c>
      <c r="B28" s="820" t="s">
        <v>368</v>
      </c>
      <c r="C28" s="776"/>
      <c r="D28" s="778">
        <v>10</v>
      </c>
      <c r="E28" s="778">
        <v>13</v>
      </c>
      <c r="F28" s="778">
        <v>13</v>
      </c>
      <c r="G28" s="778"/>
      <c r="H28" s="796" t="str">
        <f>(IF(D28-C29&gt;0,1)+IF(E28-C30&gt;0,1)+IF(F28-C31&gt;0,1)+IF(G28-C32&gt;0,1))&amp;"-"&amp;(IF(D28-C29&lt;0,1)+IF(E28-C30&lt;0,1)+IF(F28-C31&lt;0,1)+IF(G28-C32&lt;0,1))</f>
        <v>2-1</v>
      </c>
      <c r="I28" s="778" t="str">
        <f>IF(AND(B28&lt;&gt;"",M$27=TRUE),A$27&amp;RANK(M28,M$28:M$32,0),"")</f>
        <v>D2</v>
      </c>
      <c r="J28" s="821">
        <f>VALUE(LEFT(H28,1))</f>
        <v>2</v>
      </c>
      <c r="K28" s="822">
        <f>IF(AND(J28=1,J29=1,D28&gt;C29),1)+IF(AND(J28=1,J30=1,E28&gt;C30),1)+IF(AND(J28=1,J31=1,F28&gt;C31),1)+IF(AND(J28=1,J32=1,G28&gt;C32),1)+IF(AND(J28=2,J29=2,D28&gt;C29),1)+IF(AND(J28=2,J30=2,E28&gt;C30),1)+IF(AND(J28=2,J31=2,F28&gt;C31),1)+IF(AND(J28=2,J32=2,G28&gt;C32),1)+IF(AND(J28=3,J29=3,D28&gt;C29),1)+IF(AND(J28=3,J30=3,E28&gt;C30),1)+IF(AND(J28=3,J31=3,F28&gt;C31),1)+IF(AND(J28=3,J32=3,G28&gt;C32),1)</f>
        <v>0</v>
      </c>
      <c r="L28" s="823">
        <f>IF(AND(J28=1,J29=1),D28-C29)+IF(AND(J28=1,J30=1),E28-C30)+IF(AND(J28=1,J31=1),F28-C31)+IF(AND(J28=1,J32=1),G28-C32)+IF(AND(J28=2,J29=2),D28-C29)+IF(AND(J28=2,J30=2),E28-C30)+IF(AND(J28=2,J31=2),F28-C31)+IF(AND(J28=2,J32=2),G28-C32)+IF(AND(J28=3,J29=3),D28-C29)+IF(AND(J28=3,J30=3),E28-C30)+IF(AND(J28=3,J31=3),F28-C31)+IF(AND(J28=3,J32=3),G28-C32)</f>
        <v>0</v>
      </c>
      <c r="M28" s="824">
        <f>10000*J28+K28*100+L28</f>
        <v>20000</v>
      </c>
      <c r="O28" s="212"/>
      <c r="P28" s="212"/>
      <c r="Q28" s="212"/>
      <c r="R28" s="764">
        <f t="shared" si="0"/>
        <v>317</v>
      </c>
      <c r="S28" s="914">
        <f>IFERROR(INDEX(V!$R:$R,MATCH(T28,V!$L:$L,0)),"")</f>
        <v>159</v>
      </c>
      <c r="T28" s="783" t="str">
        <f t="shared" si="1"/>
        <v>Jaan Sepp</v>
      </c>
      <c r="U28" s="914">
        <f>IFERROR(INDEX(V!$R:$R,MATCH(V28,V!$L:$L,0)),"")</f>
        <v>158</v>
      </c>
      <c r="V28" s="783" t="str">
        <f t="shared" si="2"/>
        <v>Oskar Sepp</v>
      </c>
      <c r="W28" s="914" t="str">
        <f>IFERROR(INDEX(V!$R:$R,MATCH(X28,V!$L:$L,0)),"")</f>
        <v/>
      </c>
      <c r="X28" s="785" t="str">
        <f t="shared" si="3"/>
        <v/>
      </c>
      <c r="Y28" s="914" t="str">
        <f>IFERROR(INDEX(V!$R:$R,MATCH(Z28,V!$L:$L,0)),"")</f>
        <v/>
      </c>
      <c r="Z28" s="785" t="str">
        <f t="shared" si="4"/>
        <v/>
      </c>
      <c r="AA28" s="760"/>
    </row>
    <row r="29" spans="1:27" x14ac:dyDescent="0.2">
      <c r="A29" s="765">
        <v>2</v>
      </c>
      <c r="B29" s="775" t="s">
        <v>407</v>
      </c>
      <c r="C29" s="778">
        <v>13</v>
      </c>
      <c r="D29" s="776"/>
      <c r="E29" s="778">
        <v>13</v>
      </c>
      <c r="F29" s="778">
        <v>13</v>
      </c>
      <c r="G29" s="778"/>
      <c r="H29" s="796" t="str">
        <f>(IF(C29-D28&gt;0,1)+IF(E29-D30&gt;0,1)+IF(F29-D31&gt;0,1)+IF(G29-D32&gt;0,1))&amp;"-"&amp;(IF(C29-D28&lt;0,1)+IF(E29-D30&lt;0,1)+IF(F29-D31&lt;0,1)+IF(G29-D32&lt;0,1))</f>
        <v>3-0</v>
      </c>
      <c r="I29" s="778" t="str">
        <f>IF(AND(B29&lt;&gt;"",M$27=TRUE),A$27&amp;RANK(M29,M$28:M$32,0),"")</f>
        <v>D1</v>
      </c>
      <c r="J29" s="821">
        <f t="shared" ref="J29:J32" si="11">VALUE(LEFT(H29,1))</f>
        <v>3</v>
      </c>
      <c r="K29" s="825">
        <f>IF(AND(J29=1,J28=1,C29&gt;D28),1)+IF(AND(J29=1,J30=1,E29&gt;D30),1)+IF(AND(J29=1,J31=1,F29&gt;D31),1)+IF(AND(J29=1,J32=1,G29&gt;D32),1)+IF(AND(J29=2,J28=2,C29&gt;D28),1)+IF(AND(J29=2,J30=2,E29&gt;D30),1)+IF(AND(J29=2,J31=2,F29&gt;D31),1)+IF(AND(J29=2,J32=2,G29&gt;D32),1)+IF(AND(J29=3,J28=3,C29&gt;D28),1)+IF(AND(J29=3,J30=3,E29&gt;D30),1)+IF(AND(J29=3,J31=3,F29&gt;D31),1)+IF(AND(J29=3,J32=3,G29&gt;D32),1)</f>
        <v>0</v>
      </c>
      <c r="L29" s="823">
        <f>IF(AND(J29=1,J28=1),C29-D28)+IF(AND(J29=1,J30=1),E29-D30)+IF(AND(J29=1,J31=1),F29-D31)+IF(AND(J29=1,J32=1),G29-D32)+IF(AND(J29=2,J28=2),C29-D28)+IF(AND(J29=2,J30=2),E29-D30)+IF(AND(J29=2,J31=2),F29-D31)+IF(AND(J29=2,J32=2),G29-D32)+IF(AND(J29=3,J28=3),C29-D28)+IF(AND(J29=3,J30=3),E29-D30)+IF(AND(J29=3,J31=3),F29-D31)+IF(AND(J29=3,J32=3),G29-D32)</f>
        <v>0</v>
      </c>
      <c r="M29" s="824">
        <f t="shared" ref="M29:M32" si="12">10000*J29+K29*100+L29</f>
        <v>30000</v>
      </c>
      <c r="O29" s="212"/>
      <c r="P29" s="212"/>
      <c r="Q29" s="212"/>
      <c r="R29" s="764">
        <f t="shared" si="0"/>
        <v>186</v>
      </c>
      <c r="S29" s="914">
        <f>IFERROR(INDEX(V!$R:$R,MATCH(T29,V!$L:$L,0)),"")</f>
        <v>120</v>
      </c>
      <c r="T29" s="783" t="str">
        <f t="shared" si="1"/>
        <v>Ivar Viljaste</v>
      </c>
      <c r="U29" s="914">
        <f>IFERROR(INDEX(V!$R:$R,MATCH(V29,V!$L:$L,0)),"")</f>
        <v>66</v>
      </c>
      <c r="V29" s="783" t="str">
        <f t="shared" si="2"/>
        <v>Sirje Viljaste</v>
      </c>
      <c r="W29" s="914" t="str">
        <f>IFERROR(INDEX(V!$R:$R,MATCH(X29,V!$L:$L,0)),"")</f>
        <v/>
      </c>
      <c r="X29" s="785" t="str">
        <f t="shared" si="3"/>
        <v/>
      </c>
      <c r="Y29" s="914" t="str">
        <f>IFERROR(INDEX(V!$R:$R,MATCH(Z29,V!$L:$L,0)),"")</f>
        <v/>
      </c>
      <c r="Z29" s="785" t="str">
        <f t="shared" si="4"/>
        <v/>
      </c>
      <c r="AA29" s="760"/>
    </row>
    <row r="30" spans="1:27" x14ac:dyDescent="0.2">
      <c r="A30" s="765">
        <v>3</v>
      </c>
      <c r="B30" s="775" t="s">
        <v>437</v>
      </c>
      <c r="C30" s="778">
        <v>3</v>
      </c>
      <c r="D30" s="787">
        <v>9</v>
      </c>
      <c r="E30" s="776"/>
      <c r="F30" s="778">
        <v>13</v>
      </c>
      <c r="G30" s="778"/>
      <c r="H30" s="796" t="str">
        <f>(IF(C30-E28&gt;0,1)+IF(D30-E29&gt;0,1)+IF(F30-E31&gt;0,1)+IF(G30-E32&gt;0,1))&amp;"-"&amp;(IF(C30-E28&lt;0,1)+IF(D30-E29&lt;0,1)+IF(F30-E31&lt;0,1)+IF(G30-E32&lt;0,1))</f>
        <v>1-2</v>
      </c>
      <c r="I30" s="778" t="str">
        <f>IF(AND(B30&lt;&gt;"",M$27=TRUE),A$27&amp;RANK(M30,M$28:M$32,0),"")</f>
        <v>D3</v>
      </c>
      <c r="J30" s="821">
        <f t="shared" si="11"/>
        <v>1</v>
      </c>
      <c r="K30" s="825">
        <f>IF(AND(J30=1,J28=1,C30&gt;E28),1)+IF(AND(J30=1,J29=1,D30&gt;E29),1)+IF(AND(J30=1,J31=1,F30&gt;E31),1)+IF(AND(J30=1,J32=1,G30&gt;E32),1)+IF(AND(J30=2,J28=2,C30&gt;E28),1)+IF(AND(J30=2,J29=2,D30&gt;E29),1)+IF(AND(J30=2,J31=2,F30&gt;E31),1)+IF(AND(J30=2,J32=2,G30&gt;E32),1)+IF(AND(J30=3,J28=3,C30&gt;E28),1)+IF(AND(J30=3,J29=3,D30&gt;E29),1)+IF(AND(J30=3,J31=3,F30&gt;E31),1)+IF(AND(J30=3,J32=3,G30&gt;E32),1)</f>
        <v>0</v>
      </c>
      <c r="L30" s="823">
        <f>IF(AND(J30=1,J28=1),C30-E28)+IF(AND(J30=1,J29=1),D30-E29)+IF(AND(J30=1,J31=1),F30-E31)+IF(AND(J30=1,J32=1),G30-E32)+IF(AND(J30=2,J28=2),C30-E28)+IF(AND(J30=2,J29=2),D30-E29)+IF(AND(J30=2,J31=2),F30-E31)+IF(AND(J30=2,J32=2),G30-E32)+IF(AND(J30=3,J28=3),C30-E28)+IF(AND(J30=3,J29=3),D30-E29)+IF(AND(J30=3,J31=3),F30-E31)+IF(AND(J30=3,J32=3),G30-E32)</f>
        <v>0</v>
      </c>
      <c r="M30" s="824">
        <f t="shared" si="12"/>
        <v>10000</v>
      </c>
      <c r="O30" s="212"/>
      <c r="P30" s="212"/>
      <c r="Q30" s="212"/>
      <c r="R30" s="764">
        <f t="shared" si="0"/>
        <v>24</v>
      </c>
      <c r="S30" s="914">
        <f>IFERROR(INDEX(V!$R:$R,MATCH(T30,V!$L:$L,0)),"")</f>
        <v>7</v>
      </c>
      <c r="T30" s="783" t="str">
        <f t="shared" si="1"/>
        <v>Rutt Voldek</v>
      </c>
      <c r="U30" s="914">
        <f>IFERROR(INDEX(V!$R:$R,MATCH(V30,V!$L:$L,0)),"")</f>
        <v>17</v>
      </c>
      <c r="V30" s="783" t="str">
        <f t="shared" si="2"/>
        <v>Urmas Randlaine</v>
      </c>
      <c r="W30" s="914" t="str">
        <f>IFERROR(INDEX(V!$R:$R,MATCH(X30,V!$L:$L,0)),"")</f>
        <v/>
      </c>
      <c r="X30" s="785" t="str">
        <f t="shared" si="3"/>
        <v/>
      </c>
      <c r="Y30" s="914" t="str">
        <f>IFERROR(INDEX(V!$R:$R,MATCH(Z30,V!$L:$L,0)),"")</f>
        <v/>
      </c>
      <c r="Z30" s="785" t="str">
        <f t="shared" si="4"/>
        <v/>
      </c>
      <c r="AA30" s="760"/>
    </row>
    <row r="31" spans="1:27" x14ac:dyDescent="0.2">
      <c r="A31" s="765">
        <v>4</v>
      </c>
      <c r="B31" s="792" t="s">
        <v>438</v>
      </c>
      <c r="C31" s="778">
        <v>11</v>
      </c>
      <c r="D31" s="787">
        <v>10</v>
      </c>
      <c r="E31" s="778">
        <v>8</v>
      </c>
      <c r="F31" s="776"/>
      <c r="G31" s="779"/>
      <c r="H31" s="796" t="str">
        <f>(IF(C31-F28&gt;0,1)+IF(D31-F29&gt;0,1)+IF(E31-F30&gt;0,1)+IF(G31-F32&gt;0,1))&amp;"-"&amp;(IF(C31-F28&lt;0,1)+IF(D31-F29&lt;0,1)+IF(E31-F30&lt;0,1)+IF(G31-F32&lt;0,1))</f>
        <v>0-3</v>
      </c>
      <c r="I31" s="778" t="str">
        <f>IF(AND(B31&lt;&gt;"",M$27=TRUE),A$27&amp;RANK(M31,M$28:M$32,0),"")</f>
        <v>D4</v>
      </c>
      <c r="J31" s="821">
        <f t="shared" si="11"/>
        <v>0</v>
      </c>
      <c r="K31" s="825">
        <f>IF(AND(J31=1,J28=1,C31&gt;F28),1)+IF(AND(J31=1,J29=1,D31&gt;F29),1)+IF(AND(J31=1,J30=1,E31&gt;F30),1)+IF(AND(J31=1,J32=1,G31&gt;F32),1)+IF(AND(J31=2,J28=2,C31&gt;F28),1)+IF(AND(J31=2,J29=2,D31&gt;F29),1)+IF(AND(J31=2,J30=2,E31&gt;F30),1)+IF(AND(J31=2,J32=2,G31&gt;F32),1)+IF(AND(J31=3,J28=3,C31&gt;F28),1)+IF(AND(J31=3,J29=3,D31&gt;F29),1)+IF(AND(J31=3,J30=3,E31&gt;F30),1)+IF(AND(J31=3,J32=3,G31&gt;F32),1)</f>
        <v>0</v>
      </c>
      <c r="L31" s="823">
        <f>IF(AND(J31=1,J28=1),C31-F28)+IF(AND(J31=1,J29=1),D31-F29)+IF(AND(J31=1,J30=1),E31-F30)+IF(AND(J31=1,J32=1),G31-F32)+IF(AND(J31=2,J28=2),C31-F28)+IF(AND(J31=2,J29=2),D31-F29)+IF(AND(J31=2,J30=2),E31-F30)+IF(AND(J31=2,J32=2),G31-F32)+IF(AND(J31=3,J28=3),C31-F28)+IF(AND(J31=3,J29=3),D31-F29)+IF(AND(J31=3,J30=3),E31-F30)+IF(AND(J31=3,J32=3),G31-F32)</f>
        <v>0</v>
      </c>
      <c r="M31" s="824">
        <f t="shared" si="12"/>
        <v>0</v>
      </c>
      <c r="O31" s="212"/>
      <c r="P31" s="212"/>
      <c r="Q31" s="212"/>
      <c r="R31" s="764">
        <f t="shared" si="0"/>
        <v>18</v>
      </c>
      <c r="S31" s="914">
        <f>IFERROR(INDEX(V!$R:$R,MATCH(T31,V!$L:$L,0)),"")</f>
        <v>9</v>
      </c>
      <c r="T31" s="783" t="str">
        <f t="shared" si="1"/>
        <v>Heili Vasser</v>
      </c>
      <c r="U31" s="914">
        <f>IFERROR(INDEX(V!$R:$R,MATCH(V31,V!$L:$L,0)),"")</f>
        <v>9</v>
      </c>
      <c r="V31" s="783" t="str">
        <f t="shared" si="2"/>
        <v>Vello Vasser</v>
      </c>
      <c r="W31" s="914" t="str">
        <f>IFERROR(INDEX(V!$R:$R,MATCH(X31,V!$L:$L,0)),"")</f>
        <v/>
      </c>
      <c r="X31" s="785" t="str">
        <f t="shared" si="3"/>
        <v/>
      </c>
      <c r="Y31" s="914" t="str">
        <f>IFERROR(INDEX(V!$R:$R,MATCH(Z31,V!$L:$L,0)),"")</f>
        <v/>
      </c>
      <c r="Z31" s="785" t="str">
        <f t="shared" si="4"/>
        <v/>
      </c>
      <c r="AA31" s="760"/>
    </row>
    <row r="32" spans="1:27" hidden="1" x14ac:dyDescent="0.2">
      <c r="A32" s="765">
        <v>5</v>
      </c>
      <c r="B32" s="792"/>
      <c r="C32" s="778"/>
      <c r="D32" s="778"/>
      <c r="E32" s="778"/>
      <c r="F32" s="778"/>
      <c r="G32" s="776"/>
      <c r="H32" s="796" t="str">
        <f>(IF(C32-G28&gt;0,1)+IF(D32-G29&gt;0,1)+IF(E32-G30&gt;0,1)+IF(F32-G31&gt;0,1))&amp;"-"&amp;(IF(C32-G28&lt;0,1)+IF(D32-G29&lt;0,1)+IF(E32-G30&lt;0,1)+IF(F32-G31&lt;0,1))</f>
        <v>0-0</v>
      </c>
      <c r="I32" s="778" t="str">
        <f>IF(AND(B32&lt;&gt;"",M$27=TRUE),A$27&amp;RANK(M32,M$28:M$32,0),"")</f>
        <v/>
      </c>
      <c r="J32" s="821">
        <f t="shared" si="11"/>
        <v>0</v>
      </c>
      <c r="K32" s="825">
        <f>IF(AND(J32=1,J28=1,C32&gt;G28),1)+IF(AND(J32=1,J29=1,D32&gt;G29),1)+IF(AND(J32=1,J30=1,E32&gt;G30),1)+IF(AND(J32=1,J31=1,F32&gt;G31),1)+IF(AND(J32=2,J28=2,C32&gt;G28),1)+IF(AND(J32=2,J29=2,D32&gt;G29),1)+IF(AND(J32=2,J30=2,E32&gt;G30),1)+IF(AND(J32=2,J31=2,F32&gt;G31),1)+IF(AND(J32=3,J28=3,C32&gt;G28),1)+IF(AND(J32=3,J29=3,D32&gt;G29),1)+IF(AND(J32=3,J30=3,E32&gt;G30),1)+IF(AND(J32=3,J31=3,F32&gt;G31),1)</f>
        <v>0</v>
      </c>
      <c r="L32" s="823">
        <f>IF(AND(J32=1,J28=1),C32-G28)+IF(AND(J32=1,J29=1),D32-G29)+IF(AND(J32=1,J30=1),E32-G30)+IF(AND(J32=1,J31=1),F32-G31)+IF(AND(J32=2,J28=2),C32-G28)+IF(AND(J32=2,J29=2),D32-G29)+IF(AND(J32=2,J30=2),E32-G30)+IF(AND(J32=2,J31=2),F32-G31)+IF(AND(J32=3,J28=3),C32-G28)+IF(AND(J32=3,J29=3),D32-G29)+IF(AND(J32=3,J30=3),E32-G30)+IF(AND(J32=3,J31=3),F32-G31)</f>
        <v>0</v>
      </c>
      <c r="M32" s="824">
        <f t="shared" si="12"/>
        <v>0</v>
      </c>
      <c r="O32" s="212"/>
      <c r="P32" s="212"/>
      <c r="Q32" s="212"/>
      <c r="R32" s="764">
        <f t="shared" si="0"/>
        <v>0</v>
      </c>
      <c r="S32" s="784" t="str">
        <f>IFERROR(INDEX(V!$R:$R,MATCH(T32,V!$L:$L,0)),"")</f>
        <v/>
      </c>
      <c r="T32" s="783" t="str">
        <f t="shared" si="1"/>
        <v/>
      </c>
      <c r="U32" s="784" t="str">
        <f>IFERROR(INDEX(V!$R:$R,MATCH(V32,V!$L:$L,0)),"")</f>
        <v/>
      </c>
      <c r="V32" s="783" t="str">
        <f t="shared" si="2"/>
        <v/>
      </c>
      <c r="W32" s="784" t="str">
        <f>IFERROR(INDEX(V!$R:$R,MATCH(X32,V!$L:$L,0)),"")</f>
        <v/>
      </c>
      <c r="X32" s="785" t="str">
        <f t="shared" si="3"/>
        <v/>
      </c>
      <c r="Y32" s="784" t="str">
        <f>IFERROR(INDEX(V!$R:$R,MATCH(Z32,V!$L:$L,0)),"")</f>
        <v/>
      </c>
      <c r="Z32" s="785" t="str">
        <f t="shared" si="4"/>
        <v/>
      </c>
      <c r="AA32" s="760"/>
    </row>
    <row r="33" spans="1:27" hidden="1" x14ac:dyDescent="0.2">
      <c r="A33" s="827"/>
      <c r="B33" s="212"/>
      <c r="C33" s="212"/>
      <c r="D33" s="212"/>
      <c r="E33" s="212"/>
      <c r="F33" s="211"/>
      <c r="G33" s="212"/>
      <c r="H33" s="846"/>
      <c r="I33" s="847"/>
      <c r="J33" s="836"/>
      <c r="K33" s="843"/>
      <c r="L33" s="848"/>
      <c r="M33" s="836"/>
      <c r="O33" s="212"/>
      <c r="P33" s="212"/>
      <c r="Q33" s="212"/>
      <c r="R33" s="764">
        <f t="shared" si="0"/>
        <v>0</v>
      </c>
      <c r="S33" s="784" t="str">
        <f>IFERROR(INDEX(V!$R:$R,MATCH(T33,V!$L:$L,0)),"")</f>
        <v/>
      </c>
      <c r="T33" s="783" t="str">
        <f t="shared" si="1"/>
        <v/>
      </c>
      <c r="U33" s="784" t="str">
        <f>IFERROR(INDEX(V!$R:$R,MATCH(V33,V!$L:$L,0)),"")</f>
        <v/>
      </c>
      <c r="V33" s="783" t="str">
        <f t="shared" si="2"/>
        <v/>
      </c>
      <c r="W33" s="784" t="str">
        <f>IFERROR(INDEX(V!$R:$R,MATCH(X33,V!$L:$L,0)),"")</f>
        <v/>
      </c>
      <c r="X33" s="785" t="str">
        <f t="shared" si="3"/>
        <v/>
      </c>
      <c r="Y33" s="784" t="str">
        <f>IFERROR(INDEX(V!$R:$R,MATCH(Z33,V!$L:$L,0)),"")</f>
        <v/>
      </c>
      <c r="Z33" s="785" t="str">
        <f t="shared" si="4"/>
        <v/>
      </c>
      <c r="AA33" s="760"/>
    </row>
    <row r="34" spans="1:27" hidden="1" x14ac:dyDescent="0.2">
      <c r="A34" s="765" t="s">
        <v>4</v>
      </c>
      <c r="B34" s="766"/>
      <c r="C34" s="767">
        <v>1</v>
      </c>
      <c r="D34" s="767">
        <v>2</v>
      </c>
      <c r="E34" s="767">
        <v>3</v>
      </c>
      <c r="F34" s="767">
        <v>4</v>
      </c>
      <c r="G34" s="767">
        <v>5</v>
      </c>
      <c r="H34" s="767" t="s">
        <v>363</v>
      </c>
      <c r="I34" s="766" t="s">
        <v>364</v>
      </c>
      <c r="J34" s="819" t="s">
        <v>21</v>
      </c>
      <c r="K34" s="768" t="s">
        <v>21</v>
      </c>
      <c r="L34" s="769" t="s">
        <v>365</v>
      </c>
      <c r="M34" s="212" t="b">
        <f>OR(AND(COUNTA(B35:B39)=3,COUNTA(C35:G39)=6),AND(COUNTA(B35:B39)=4,COUNTA(C35:G39)=12),AND(COUNTA(B35:B39)=5,COUNTA(C35:G39)=20))</f>
        <v>0</v>
      </c>
      <c r="O34" s="212"/>
      <c r="P34" s="212"/>
      <c r="Q34" s="212"/>
      <c r="R34" s="764">
        <f t="shared" si="0"/>
        <v>0</v>
      </c>
      <c r="S34" s="784" t="str">
        <f>IFERROR(INDEX(V!$R:$R,MATCH(T34,V!$L:$L,0)),"")</f>
        <v/>
      </c>
      <c r="T34" s="783" t="str">
        <f t="shared" si="1"/>
        <v/>
      </c>
      <c r="U34" s="784" t="str">
        <f>IFERROR(INDEX(V!$R:$R,MATCH(V34,V!$L:$L,0)),"")</f>
        <v/>
      </c>
      <c r="V34" s="783" t="str">
        <f t="shared" si="2"/>
        <v/>
      </c>
      <c r="W34" s="784" t="str">
        <f>IFERROR(INDEX(V!$R:$R,MATCH(X34,V!$L:$L,0)),"")</f>
        <v/>
      </c>
      <c r="X34" s="785" t="str">
        <f t="shared" si="3"/>
        <v/>
      </c>
      <c r="Y34" s="784" t="str">
        <f>IFERROR(INDEX(V!$R:$R,MATCH(Z34,V!$L:$L,0)),"")</f>
        <v/>
      </c>
      <c r="Z34" s="785" t="str">
        <f t="shared" si="4"/>
        <v/>
      </c>
      <c r="AA34" s="760"/>
    </row>
    <row r="35" spans="1:27" hidden="1" x14ac:dyDescent="0.2">
      <c r="A35" s="765">
        <v>1</v>
      </c>
      <c r="B35" s="820"/>
      <c r="C35" s="776"/>
      <c r="D35" s="778"/>
      <c r="E35" s="778"/>
      <c r="F35" s="778"/>
      <c r="G35" s="778"/>
      <c r="H35" s="796" t="str">
        <f>(IF(D35-C36&gt;0,1)+IF(E35-C37&gt;0,1)+IF(F35-C38&gt;0,1)+IF(G35-C39&gt;0,1))&amp;"-"&amp;(IF(D35-C36&lt;0,1)+IF(E35-C37&lt;0,1)+IF(F35-C38&lt;0,1)+IF(G35-C39&lt;0,1))</f>
        <v>0-0</v>
      </c>
      <c r="I35" s="778" t="str">
        <f>IF(AND(B35&lt;&gt;"",M$35=TRUE),A$35&amp;RANK(M35,M$36:M$40,0),"")</f>
        <v/>
      </c>
      <c r="J35" s="821">
        <f>VALUE(LEFT(H35,1))</f>
        <v>0</v>
      </c>
      <c r="K35" s="822">
        <f>IF(AND(J35=1,J36=1,D35&gt;C36),1)+IF(AND(J35=1,J37=1,E35&gt;C37),1)+IF(AND(J35=1,J38=1,F35&gt;C38),1)+IF(AND(J35=1,J39=1,G35&gt;C39),1)+IF(AND(J35=2,J36=2,D35&gt;C36),1)+IF(AND(J35=2,J37=2,E35&gt;C37),1)+IF(AND(J35=2,J38=2,F35&gt;C38),1)+IF(AND(J35=2,J39=2,G35&gt;C39),1)+IF(AND(J35=3,J36=3,D35&gt;C36),1)+IF(AND(J35=3,J37=3,E35&gt;C37),1)+IF(AND(J35=3,J38=3,F35&gt;C38),1)+IF(AND(J35=3,J39=3,G35&gt;C39),1)</f>
        <v>0</v>
      </c>
      <c r="L35" s="823">
        <f>IF(AND(J35=1,J36=1),D35-C36)+IF(AND(J35=1,J37=1),E35-C37)+IF(AND(J35=1,J38=1),F35-C38)+IF(AND(J35=1,J39=1),G35-C39)+IF(AND(J35=2,J36=2),D35-C36)+IF(AND(J35=2,J37=2),E35-C37)+IF(AND(J35=2,J38=2),F35-C38)+IF(AND(J35=2,J39=2),G35-C39)+IF(AND(J35=3,J36=3),D35-C36)+IF(AND(J35=3,J37=3),E35-C37)+IF(AND(J35=3,J38=3),F35-C38)+IF(AND(J35=3,J39=3),G35-C39)</f>
        <v>0</v>
      </c>
      <c r="M35" s="824">
        <f>10000*J35+K35*100+L35</f>
        <v>0</v>
      </c>
      <c r="O35" s="212"/>
      <c r="P35" s="212"/>
      <c r="Q35" s="212"/>
      <c r="R35" s="764">
        <f t="shared" si="0"/>
        <v>0</v>
      </c>
      <c r="S35" s="784" t="str">
        <f>IFERROR(INDEX(V!$R:$R,MATCH(T35,V!$L:$L,0)),"")</f>
        <v/>
      </c>
      <c r="T35" s="783" t="str">
        <f t="shared" si="1"/>
        <v/>
      </c>
      <c r="U35" s="784" t="str">
        <f>IFERROR(INDEX(V!$R:$R,MATCH(V35,V!$L:$L,0)),"")</f>
        <v/>
      </c>
      <c r="V35" s="783" t="str">
        <f t="shared" si="2"/>
        <v/>
      </c>
      <c r="W35" s="784" t="str">
        <f>IFERROR(INDEX(V!$R:$R,MATCH(X35,V!$L:$L,0)),"")</f>
        <v/>
      </c>
      <c r="X35" s="785" t="str">
        <f t="shared" si="3"/>
        <v/>
      </c>
      <c r="Y35" s="784" t="str">
        <f>IFERROR(INDEX(V!$R:$R,MATCH(Z35,V!$L:$L,0)),"")</f>
        <v/>
      </c>
      <c r="Z35" s="785" t="str">
        <f t="shared" si="4"/>
        <v/>
      </c>
      <c r="AA35" s="760"/>
    </row>
    <row r="36" spans="1:27" hidden="1" x14ac:dyDescent="0.2">
      <c r="A36" s="765">
        <v>2</v>
      </c>
      <c r="B36" s="775"/>
      <c r="C36" s="778"/>
      <c r="D36" s="776"/>
      <c r="E36" s="778"/>
      <c r="F36" s="778"/>
      <c r="G36" s="778"/>
      <c r="H36" s="796" t="str">
        <f>(IF(C36-D35&gt;0,1)+IF(E36-D37&gt;0,1)+IF(F36-D38&gt;0,1)+IF(G36-D39&gt;0,1))&amp;"-"&amp;(IF(C36-D35&lt;0,1)+IF(E36-D37&lt;0,1)+IF(F36-D38&lt;0,1)+IF(G36-D39&lt;0,1))</f>
        <v>0-0</v>
      </c>
      <c r="I36" s="778" t="str">
        <f>IF(AND(B36&lt;&gt;"",M$35=TRUE),A$35&amp;RANK(M36,M$36:M$40,0),"")</f>
        <v/>
      </c>
      <c r="J36" s="821">
        <f t="shared" ref="J36:J39" si="13">VALUE(LEFT(H36,1))</f>
        <v>0</v>
      </c>
      <c r="K36" s="825">
        <f>IF(AND(J36=1,J35=1,C36&gt;D35),1)+IF(AND(J36=1,J37=1,E36&gt;D37),1)+IF(AND(J36=1,J38=1,F36&gt;D38),1)+IF(AND(J36=1,J39=1,G36&gt;D39),1)+IF(AND(J36=2,J35=2,C36&gt;D35),1)+IF(AND(J36=2,J37=2,E36&gt;D37),1)+IF(AND(J36=2,J38=2,F36&gt;D38),1)+IF(AND(J36=2,J39=2,G36&gt;D39),1)+IF(AND(J36=3,J35=3,C36&gt;D35),1)+IF(AND(J36=3,J37=3,E36&gt;D37),1)+IF(AND(J36=3,J38=3,F36&gt;D38),1)+IF(AND(J36=3,J39=3,G36&gt;D39),1)</f>
        <v>0</v>
      </c>
      <c r="L36" s="823">
        <f>IF(AND(J36=1,J35=1),C36-D35)+IF(AND(J36=1,J37=1),E36-D37)+IF(AND(J36=1,J38=1),F36-D38)+IF(AND(J36=1,J39=1),G36-D39)+IF(AND(J36=2,J35=2),C36-D35)+IF(AND(J36=2,J37=2),E36-D37)+IF(AND(J36=2,J38=2),F36-D38)+IF(AND(J36=2,J39=2),G36-D39)+IF(AND(J36=3,J35=3),C36-D35)+IF(AND(J36=3,J37=3),E36-D37)+IF(AND(J36=3,J38=3),F36-D38)+IF(AND(J36=3,J39=3),G36-D39)</f>
        <v>0</v>
      </c>
      <c r="M36" s="824">
        <f t="shared" ref="M36:M39" si="14">10000*J36+K36*100+L36</f>
        <v>0</v>
      </c>
      <c r="O36" s="212"/>
      <c r="P36" s="212"/>
      <c r="Q36" s="212"/>
      <c r="R36" s="764">
        <f t="shared" si="0"/>
        <v>0</v>
      </c>
      <c r="S36" s="784" t="str">
        <f>IFERROR(INDEX(V!$R:$R,MATCH(T36,V!$L:$L,0)),"")</f>
        <v/>
      </c>
      <c r="T36" s="783" t="str">
        <f t="shared" si="1"/>
        <v/>
      </c>
      <c r="U36" s="784" t="str">
        <f>IFERROR(INDEX(V!$R:$R,MATCH(V36,V!$L:$L,0)),"")</f>
        <v/>
      </c>
      <c r="V36" s="783" t="str">
        <f t="shared" si="2"/>
        <v/>
      </c>
      <c r="W36" s="784" t="str">
        <f>IFERROR(INDEX(V!$R:$R,MATCH(X36,V!$L:$L,0)),"")</f>
        <v/>
      </c>
      <c r="X36" s="785" t="str">
        <f t="shared" si="3"/>
        <v/>
      </c>
      <c r="Y36" s="784" t="str">
        <f>IFERROR(INDEX(V!$R:$R,MATCH(Z36,V!$L:$L,0)),"")</f>
        <v/>
      </c>
      <c r="Z36" s="785" t="str">
        <f t="shared" si="4"/>
        <v/>
      </c>
      <c r="AA36" s="760"/>
    </row>
    <row r="37" spans="1:27" hidden="1" x14ac:dyDescent="0.2">
      <c r="A37" s="765">
        <v>3</v>
      </c>
      <c r="B37" s="775"/>
      <c r="C37" s="778"/>
      <c r="D37" s="787"/>
      <c r="E37" s="776"/>
      <c r="F37" s="778"/>
      <c r="G37" s="778"/>
      <c r="H37" s="796" t="str">
        <f>(IF(C37-E35&gt;0,1)+IF(D37-E36&gt;0,1)+IF(F37-E38&gt;0,1)+IF(G37-E39&gt;0,1))&amp;"-"&amp;(IF(C37-E35&lt;0,1)+IF(D37-E36&lt;0,1)+IF(F37-E38&lt;0,1)+IF(G37-E39&lt;0,1))</f>
        <v>0-0</v>
      </c>
      <c r="I37" s="778" t="str">
        <f>IF(AND(B37&lt;&gt;"",M$35=TRUE),A$35&amp;RANK(M37,M$36:M$40,0),"")</f>
        <v/>
      </c>
      <c r="J37" s="821">
        <f t="shared" si="13"/>
        <v>0</v>
      </c>
      <c r="K37" s="825">
        <f>IF(AND(J37=1,J35=1,C37&gt;E35),1)+IF(AND(J37=1,J36=1,D37&gt;E36),1)+IF(AND(J37=1,J38=1,F37&gt;E38),1)+IF(AND(J37=1,J39=1,G37&gt;E39),1)+IF(AND(J37=2,J35=2,C37&gt;E35),1)+IF(AND(J37=2,J36=2,D37&gt;E36),1)+IF(AND(J37=2,J38=2,F37&gt;E38),1)+IF(AND(J37=2,J39=2,G37&gt;E39),1)+IF(AND(J37=3,J35=3,C37&gt;E35),1)+IF(AND(J37=3,J36=3,D37&gt;E36),1)+IF(AND(J37=3,J38=3,F37&gt;E38),1)+IF(AND(J37=3,J39=3,G37&gt;E39),1)</f>
        <v>0</v>
      </c>
      <c r="L37" s="823">
        <f>IF(AND(J37=1,J35=1),C37-E35)+IF(AND(J37=1,J36=1),D37-E36)+IF(AND(J37=1,J38=1),F37-E38)+IF(AND(J37=1,J39=1),G37-E39)+IF(AND(J37=2,J35=2),C37-E35)+IF(AND(J37=2,J36=2),D37-E36)+IF(AND(J37=2,J38=2),F37-E38)+IF(AND(J37=2,J39=2),G37-E39)+IF(AND(J37=3,J35=3),C37-E35)+IF(AND(J37=3,J36=3),D37-E36)+IF(AND(J37=3,J38=3),F37-E38)+IF(AND(J37=3,J39=3),G37-E39)</f>
        <v>0</v>
      </c>
      <c r="M37" s="824">
        <f t="shared" si="14"/>
        <v>0</v>
      </c>
      <c r="O37" s="212"/>
      <c r="P37" s="212"/>
      <c r="Q37" s="212"/>
      <c r="R37" s="764">
        <f t="shared" si="0"/>
        <v>0</v>
      </c>
      <c r="S37" s="784" t="str">
        <f>IFERROR(INDEX(V!$R:$R,MATCH(T37,V!$L:$L,0)),"")</f>
        <v/>
      </c>
      <c r="T37" s="783" t="str">
        <f t="shared" si="1"/>
        <v/>
      </c>
      <c r="U37" s="784" t="str">
        <f>IFERROR(INDEX(V!$R:$R,MATCH(V37,V!$L:$L,0)),"")</f>
        <v/>
      </c>
      <c r="V37" s="783" t="str">
        <f t="shared" si="2"/>
        <v/>
      </c>
      <c r="W37" s="784" t="str">
        <f>IFERROR(INDEX(V!$R:$R,MATCH(X37,V!$L:$L,0)),"")</f>
        <v/>
      </c>
      <c r="X37" s="785" t="str">
        <f t="shared" si="3"/>
        <v/>
      </c>
      <c r="Y37" s="784" t="str">
        <f>IFERROR(INDEX(V!$R:$R,MATCH(Z37,V!$L:$L,0)),"")</f>
        <v/>
      </c>
      <c r="Z37" s="785" t="str">
        <f t="shared" si="4"/>
        <v/>
      </c>
      <c r="AA37" s="760"/>
    </row>
    <row r="38" spans="1:27" hidden="1" x14ac:dyDescent="0.2">
      <c r="A38" s="765">
        <v>4</v>
      </c>
      <c r="B38" s="792"/>
      <c r="C38" s="778"/>
      <c r="D38" s="787"/>
      <c r="E38" s="778"/>
      <c r="F38" s="776"/>
      <c r="G38" s="779"/>
      <c r="H38" s="796" t="str">
        <f>(IF(C38-F35&gt;0,1)+IF(D38-F36&gt;0,1)+IF(E38-F37&gt;0,1)+IF(G38-F39&gt;0,1))&amp;"-"&amp;(IF(C38-F35&lt;0,1)+IF(D38-F36&lt;0,1)+IF(E38-F37&lt;0,1)+IF(G38-F39&lt;0,1))</f>
        <v>0-0</v>
      </c>
      <c r="I38" s="778" t="str">
        <f>IF(AND(B38&lt;&gt;"",M$35=TRUE),A$35&amp;RANK(M38,M$36:M$40,0),"")</f>
        <v/>
      </c>
      <c r="J38" s="821">
        <f t="shared" si="13"/>
        <v>0</v>
      </c>
      <c r="K38" s="825">
        <f>IF(AND(J38=1,J35=1,C38&gt;F35),1)+IF(AND(J38=1,J36=1,D38&gt;F36),1)+IF(AND(J38=1,J37=1,E38&gt;F37),1)+IF(AND(J38=1,J39=1,G38&gt;F39),1)+IF(AND(J38=2,J35=2,C38&gt;F35),1)+IF(AND(J38=2,J36=2,D38&gt;F36),1)+IF(AND(J38=2,J37=2,E38&gt;F37),1)+IF(AND(J38=2,J39=2,G38&gt;F39),1)+IF(AND(J38=3,J35=3,C38&gt;F35),1)+IF(AND(J38=3,J36=3,D38&gt;F36),1)+IF(AND(J38=3,J37=3,E38&gt;F37),1)+IF(AND(J38=3,J39=3,G38&gt;F39),1)</f>
        <v>0</v>
      </c>
      <c r="L38" s="823">
        <f>IF(AND(J38=1,J35=1),C38-F35)+IF(AND(J38=1,J36=1),D38-F36)+IF(AND(J38=1,J37=1),E38-F37)+IF(AND(J38=1,J39=1),G38-F39)+IF(AND(J38=2,J35=2),C38-F35)+IF(AND(J38=2,J36=2),D38-F36)+IF(AND(J38=2,J37=2),E38-F37)+IF(AND(J38=2,J39=2),G38-F39)+IF(AND(J38=3,J35=3),C38-F35)+IF(AND(J38=3,J36=3),D38-F36)+IF(AND(J38=3,J37=3),E38-F37)+IF(AND(J38=3,J39=3),G38-F39)</f>
        <v>0</v>
      </c>
      <c r="M38" s="824">
        <f t="shared" si="14"/>
        <v>0</v>
      </c>
      <c r="O38" s="212"/>
      <c r="P38" s="212"/>
      <c r="Q38" s="212"/>
      <c r="R38" s="764">
        <f t="shared" si="0"/>
        <v>0</v>
      </c>
      <c r="S38" s="784" t="str">
        <f>IFERROR(INDEX(V!$R:$R,MATCH(T38,V!$L:$L,0)),"")</f>
        <v/>
      </c>
      <c r="T38" s="783" t="str">
        <f t="shared" si="1"/>
        <v/>
      </c>
      <c r="U38" s="784" t="str">
        <f>IFERROR(INDEX(V!$R:$R,MATCH(V38,V!$L:$L,0)),"")</f>
        <v/>
      </c>
      <c r="V38" s="783" t="str">
        <f t="shared" si="2"/>
        <v/>
      </c>
      <c r="W38" s="784" t="str">
        <f>IFERROR(INDEX(V!$R:$R,MATCH(X38,V!$L:$L,0)),"")</f>
        <v/>
      </c>
      <c r="X38" s="785" t="str">
        <f t="shared" si="3"/>
        <v/>
      </c>
      <c r="Y38" s="784" t="str">
        <f>IFERROR(INDEX(V!$R:$R,MATCH(Z38,V!$L:$L,0)),"")</f>
        <v/>
      </c>
      <c r="Z38" s="785" t="str">
        <f t="shared" si="4"/>
        <v/>
      </c>
      <c r="AA38" s="760"/>
    </row>
    <row r="39" spans="1:27" hidden="1" x14ac:dyDescent="0.2">
      <c r="A39" s="765">
        <v>5</v>
      </c>
      <c r="B39" s="792"/>
      <c r="C39" s="778"/>
      <c r="D39" s="778"/>
      <c r="E39" s="778"/>
      <c r="F39" s="778"/>
      <c r="G39" s="776"/>
      <c r="H39" s="796" t="str">
        <f>(IF(C39-G35&gt;0,1)+IF(D39-G36&gt;0,1)+IF(E39-G37&gt;0,1)+IF(F39-G38&gt;0,1))&amp;"-"&amp;(IF(C39-G35&lt;0,1)+IF(D39-G36&lt;0,1)+IF(E39-G37&lt;0,1)+IF(F39-G38&lt;0,1))</f>
        <v>0-0</v>
      </c>
      <c r="I39" s="778" t="str">
        <f>IF(AND(B39&lt;&gt;"",M$35=TRUE),A$35&amp;RANK(M39,M$36:M$40,0),"")</f>
        <v/>
      </c>
      <c r="J39" s="821">
        <f t="shared" si="13"/>
        <v>0</v>
      </c>
      <c r="K39" s="825">
        <f>IF(AND(J39=1,J35=1,C39&gt;G35),1)+IF(AND(J39=1,J36=1,D39&gt;G36),1)+IF(AND(J39=1,J37=1,E39&gt;G37),1)+IF(AND(J39=1,J38=1,F39&gt;G38),1)+IF(AND(J39=2,J35=2,C39&gt;G35),1)+IF(AND(J39=2,J36=2,D39&gt;G36),1)+IF(AND(J39=2,J37=2,E39&gt;G37),1)+IF(AND(J39=2,J38=2,F39&gt;G38),1)+IF(AND(J39=3,J35=3,C39&gt;G35),1)+IF(AND(J39=3,J36=3,D39&gt;G36),1)+IF(AND(J39=3,J37=3,E39&gt;G37),1)+IF(AND(J39=3,J38=3,F39&gt;G38),1)</f>
        <v>0</v>
      </c>
      <c r="L39" s="823">
        <f>IF(AND(J39=1,J35=1),C39-G35)+IF(AND(J39=1,J36=1),D39-G36)+IF(AND(J39=1,J37=1),E39-G37)+IF(AND(J39=1,J38=1),F39-G38)+IF(AND(J39=2,J35=2),C39-G35)+IF(AND(J39=2,J36=2),D39-G36)+IF(AND(J39=2,J37=2),E39-G37)+IF(AND(J39=2,J38=2),F39-G38)+IF(AND(J39=3,J35=3),C39-G35)+IF(AND(J39=3,J36=3),D39-G36)+IF(AND(J39=3,J37=3),E39-G37)+IF(AND(J39=3,J38=3),F39-G38)</f>
        <v>0</v>
      </c>
      <c r="M39" s="824">
        <f t="shared" si="14"/>
        <v>0</v>
      </c>
      <c r="O39" s="212"/>
      <c r="P39" s="212"/>
      <c r="Q39" s="212"/>
      <c r="R39" s="764">
        <f t="shared" ref="R39:R60" si="15">SUM(S39:AB39)</f>
        <v>0</v>
      </c>
      <c r="S39" s="784" t="str">
        <f>IFERROR(INDEX(V!$R:$R,MATCH(T39,V!$L:$L,0)),"")</f>
        <v/>
      </c>
      <c r="T39" s="783" t="str">
        <f t="shared" si="1"/>
        <v/>
      </c>
      <c r="U39" s="784" t="str">
        <f>IFERROR(INDEX(V!$R:$R,MATCH(V39,V!$L:$L,0)),"")</f>
        <v/>
      </c>
      <c r="V39" s="783" t="str">
        <f t="shared" si="2"/>
        <v/>
      </c>
      <c r="W39" s="784" t="str">
        <f>IFERROR(INDEX(V!$R:$R,MATCH(X39,V!$L:$L,0)),"")</f>
        <v/>
      </c>
      <c r="X39" s="785" t="str">
        <f t="shared" si="3"/>
        <v/>
      </c>
      <c r="Y39" s="784" t="str">
        <f>IFERROR(INDEX(V!$R:$R,MATCH(Z39,V!$L:$L,0)),"")</f>
        <v/>
      </c>
      <c r="Z39" s="785" t="str">
        <f t="shared" si="4"/>
        <v/>
      </c>
      <c r="AA39" s="760"/>
    </row>
    <row r="40" spans="1:27" hidden="1" x14ac:dyDescent="0.2">
      <c r="A40" s="827"/>
      <c r="B40" s="828"/>
      <c r="C40" s="808"/>
      <c r="D40" s="829"/>
      <c r="E40" s="808"/>
      <c r="F40" s="805"/>
      <c r="G40" s="212"/>
      <c r="H40" s="830"/>
      <c r="I40" s="831"/>
      <c r="J40" s="817"/>
      <c r="K40" s="832"/>
      <c r="L40" s="833"/>
      <c r="M40" s="817"/>
      <c r="O40" s="212"/>
      <c r="P40" s="212"/>
      <c r="Q40" s="212"/>
      <c r="R40" s="764">
        <f t="shared" si="15"/>
        <v>0</v>
      </c>
      <c r="S40" s="784" t="str">
        <f>IFERROR(INDEX(V!$R:$R,MATCH(T40,V!$L:$L,0)),"")</f>
        <v/>
      </c>
      <c r="T40" s="783" t="str">
        <f t="shared" si="1"/>
        <v/>
      </c>
      <c r="U40" s="784" t="str">
        <f>IFERROR(INDEX(V!$R:$R,MATCH(V40,V!$L:$L,0)),"")</f>
        <v/>
      </c>
      <c r="V40" s="783" t="str">
        <f t="shared" si="2"/>
        <v/>
      </c>
      <c r="W40" s="784" t="str">
        <f>IFERROR(INDEX(V!$R:$R,MATCH(X40,V!$L:$L,0)),"")</f>
        <v/>
      </c>
      <c r="X40" s="785" t="str">
        <f t="shared" si="3"/>
        <v/>
      </c>
      <c r="Y40" s="784" t="str">
        <f>IFERROR(INDEX(V!$R:$R,MATCH(Z40,V!$L:$L,0)),"")</f>
        <v/>
      </c>
      <c r="Z40" s="785" t="str">
        <f t="shared" si="4"/>
        <v/>
      </c>
      <c r="AA40" s="760"/>
    </row>
    <row r="41" spans="1:27" hidden="1" x14ac:dyDescent="0.2">
      <c r="A41" s="765" t="s">
        <v>5</v>
      </c>
      <c r="B41" s="766"/>
      <c r="C41" s="767">
        <v>1</v>
      </c>
      <c r="D41" s="767">
        <v>2</v>
      </c>
      <c r="E41" s="767">
        <v>3</v>
      </c>
      <c r="F41" s="767">
        <v>4</v>
      </c>
      <c r="G41" s="767"/>
      <c r="H41" s="766" t="s">
        <v>363</v>
      </c>
      <c r="I41" s="766" t="s">
        <v>364</v>
      </c>
      <c r="J41" s="834" t="s">
        <v>21</v>
      </c>
      <c r="K41" s="768" t="s">
        <v>21</v>
      </c>
      <c r="L41" s="835" t="s">
        <v>365</v>
      </c>
      <c r="M41" s="836" t="b">
        <f>OR(AND(COUNTA(B42:B46)=3,COUNTA(C42:G46)=6),AND(COUNTA(B42:B46)=4,COUNTA(C42:G46)=12),AND(COUNTA(B42:B46)=5,COUNTA(C42:G46)=20))</f>
        <v>0</v>
      </c>
      <c r="O41" s="770"/>
      <c r="P41" s="770"/>
      <c r="Q41" s="770"/>
      <c r="R41" s="764">
        <f t="shared" si="15"/>
        <v>0</v>
      </c>
      <c r="S41" s="784" t="str">
        <f>IFERROR(INDEX(V!$R:$R,MATCH(T41,V!$L:$L,0)),"")</f>
        <v/>
      </c>
      <c r="T41" s="783" t="str">
        <f t="shared" si="1"/>
        <v/>
      </c>
      <c r="U41" s="784" t="str">
        <f>IFERROR(INDEX(V!$R:$R,MATCH(V41,V!$L:$L,0)),"")</f>
        <v/>
      </c>
      <c r="V41" s="783" t="str">
        <f t="shared" si="2"/>
        <v/>
      </c>
      <c r="W41" s="784" t="str">
        <f>IFERROR(INDEX(V!$R:$R,MATCH(X41,V!$L:$L,0)),"")</f>
        <v/>
      </c>
      <c r="X41" s="785" t="str">
        <f t="shared" si="3"/>
        <v/>
      </c>
      <c r="Y41" s="784" t="str">
        <f>IFERROR(INDEX(V!$R:$R,MATCH(Z41,V!$L:$L,0)),"")</f>
        <v/>
      </c>
      <c r="Z41" s="785" t="str">
        <f t="shared" si="4"/>
        <v/>
      </c>
      <c r="AA41" s="760"/>
    </row>
    <row r="42" spans="1:27" hidden="1" x14ac:dyDescent="0.2">
      <c r="A42" s="765">
        <v>1</v>
      </c>
      <c r="B42" s="820"/>
      <c r="C42" s="776"/>
      <c r="D42" s="778"/>
      <c r="E42" s="778"/>
      <c r="F42" s="778"/>
      <c r="G42" s="778"/>
      <c r="H42" s="796" t="str">
        <f>(IF(D42-C43&gt;0,1)+IF(E42-C44&gt;0,1)+IF(F42-C45&gt;0,1)+IF(G42-C46&gt;0,1))&amp;"-"&amp;(IF(D42-C43&lt;0,1)+IF(E42-C44&lt;0,1)+IF(F42-C45&lt;0,1)+IF(G42-C46&lt;0,1))</f>
        <v>0-0</v>
      </c>
      <c r="I42" s="778" t="str">
        <f>IF(AND(B42&lt;&gt;"",M$42=TRUE),A$42&amp;RANK(M42,M$43:VM$47,0),"")</f>
        <v/>
      </c>
      <c r="J42" s="821">
        <f>VALUE(LEFT(H42,1))</f>
        <v>0</v>
      </c>
      <c r="K42" s="822">
        <f>IF(AND(J42=1,J43=1,D42&gt;C43),1)+IF(AND(J42=1,J44=1,E42&gt;C44),1)+IF(AND(J42=1,J45=1,F42&gt;C45),1)+IF(AND(J42=1,J46=1,G42&gt;C46),1)+IF(AND(J42=2,J43=2,D42&gt;C43),1)+IF(AND(J42=2,J44=2,E42&gt;C44),1)+IF(AND(J42=2,J45=2,F42&gt;C45),1)+IF(AND(J42=2,J46=2,G42&gt;C46),1)+IF(AND(J42=3,J43=3,D42&gt;C43),1)+IF(AND(J42=3,J44=3,E42&gt;C44),1)+IF(AND(J42=3,J45=3,F42&gt;C45),1)+IF(AND(J42=3,J46=3,G42&gt;C46),1)</f>
        <v>0</v>
      </c>
      <c r="L42" s="823">
        <f>IF(AND(J42=1,J43=1),D42-C43)+IF(AND(J42=1,J44=1),E42-C44)+IF(AND(J42=1,J45=1),F42-C45)+IF(AND(J42=1,J46=1),G42-C46)+IF(AND(J42=2,J43=2),D42-C43)+IF(AND(J42=2,J44=2),E42-C44)+IF(AND(J42=2,J45=2),F42-C45)+IF(AND(J42=2,J46=2),G42-C46)+IF(AND(J42=3,J43=3),D42-C43)+IF(AND(J42=3,J44=3),E42-C44)+IF(AND(J42=3,J45=3),F42-C45)+IF(AND(J42=3,J46=3),G42-C46)</f>
        <v>0</v>
      </c>
      <c r="M42" s="824">
        <f>10000*J42+K42*100+L42</f>
        <v>0</v>
      </c>
      <c r="O42" s="770"/>
      <c r="P42" s="770"/>
      <c r="Q42" s="770"/>
      <c r="R42" s="764">
        <f t="shared" si="15"/>
        <v>0</v>
      </c>
      <c r="S42" s="784" t="str">
        <f>IFERROR(INDEX(V!$R:$R,MATCH(T42,V!$L:$L,0)),"")</f>
        <v/>
      </c>
      <c r="T42" s="783" t="str">
        <f t="shared" si="1"/>
        <v/>
      </c>
      <c r="U42" s="784" t="str">
        <f>IFERROR(INDEX(V!$R:$R,MATCH(V42,V!$L:$L,0)),"")</f>
        <v/>
      </c>
      <c r="V42" s="783" t="str">
        <f t="shared" si="2"/>
        <v/>
      </c>
      <c r="W42" s="784" t="str">
        <f>IFERROR(INDEX(V!$R:$R,MATCH(X42,V!$L:$L,0)),"")</f>
        <v/>
      </c>
      <c r="X42" s="785" t="str">
        <f t="shared" si="3"/>
        <v/>
      </c>
      <c r="Y42" s="784" t="str">
        <f>IFERROR(INDEX(V!$R:$R,MATCH(Z42,V!$L:$L,0)),"")</f>
        <v/>
      </c>
      <c r="Z42" s="785" t="str">
        <f t="shared" si="4"/>
        <v/>
      </c>
      <c r="AA42" s="760"/>
    </row>
    <row r="43" spans="1:27" hidden="1" x14ac:dyDescent="0.2">
      <c r="A43" s="765">
        <v>2</v>
      </c>
      <c r="B43" s="775"/>
      <c r="C43" s="778"/>
      <c r="D43" s="776"/>
      <c r="E43" s="778"/>
      <c r="F43" s="778"/>
      <c r="G43" s="778"/>
      <c r="H43" s="796" t="str">
        <f>(IF(C43-D42&gt;0,1)+IF(E43-D44&gt;0,1)+IF(F43-D45&gt;0,1)+IF(G43-D46&gt;0,1))&amp;"-"&amp;(IF(C43-D42&lt;0,1)+IF(E43-D44&lt;0,1)+IF(F43-D45&lt;0,1)+IF(G43-D46&lt;0,1))</f>
        <v>0-0</v>
      </c>
      <c r="I43" s="778" t="str">
        <f>IF(AND(B43&lt;&gt;"",M$42=TRUE),A$42&amp;RANK(M43,M$43:VM$47,0),"")</f>
        <v/>
      </c>
      <c r="J43" s="821">
        <f t="shared" ref="J43:J46" si="16">VALUE(LEFT(H43,1))</f>
        <v>0</v>
      </c>
      <c r="K43" s="825">
        <f>IF(AND(J43=1,J42=1,C43&gt;D42),1)+IF(AND(J43=1,J44=1,E43&gt;D44),1)+IF(AND(J43=1,J45=1,F43&gt;D45),1)+IF(AND(J43=1,J46=1,G43&gt;D46),1)+IF(AND(J43=2,J42=2,C43&gt;D42),1)+IF(AND(J43=2,J44=2,E43&gt;D44),1)+IF(AND(J43=2,J45=2,F43&gt;D45),1)+IF(AND(J43=2,J46=2,G43&gt;D46),1)+IF(AND(J43=3,J42=3,C43&gt;D42),1)+IF(AND(J43=3,J44=3,E43&gt;D44),1)+IF(AND(J43=3,J45=3,F43&gt;D45),1)+IF(AND(J43=3,J46=3,G43&gt;D46),1)</f>
        <v>0</v>
      </c>
      <c r="L43" s="823">
        <f>IF(AND(J43=1,J42=1),C43-D42)+IF(AND(J43=1,J44=1),E43-D44)+IF(AND(J43=1,J45=1),F43-D45)+IF(AND(J43=1,J46=1),G43-D46)+IF(AND(J43=2,J42=2),C43-D42)+IF(AND(J43=2,J44=2),E43-D44)+IF(AND(J43=2,J45=2),F43-D45)+IF(AND(J43=2,J46=2),G43-D46)+IF(AND(J43=3,J42=3),C43-D42)+IF(AND(J43=3,J44=3),E43-D44)+IF(AND(J43=3,J45=3),F43-D45)+IF(AND(J43=3,J46=3),G43-D46)</f>
        <v>0</v>
      </c>
      <c r="M43" s="824">
        <f t="shared" ref="M43:M46" si="17">10000*J43+K43*100+L43</f>
        <v>0</v>
      </c>
      <c r="O43" s="770"/>
      <c r="P43" s="770"/>
      <c r="Q43" s="770"/>
      <c r="R43" s="764">
        <f t="shared" si="15"/>
        <v>0</v>
      </c>
      <c r="S43" s="784" t="str">
        <f>IFERROR(INDEX(V!$R:$R,MATCH(T43,V!$L:$L,0)),"")</f>
        <v/>
      </c>
      <c r="T43" s="783" t="str">
        <f t="shared" si="1"/>
        <v/>
      </c>
      <c r="U43" s="784" t="str">
        <f>IFERROR(INDEX(V!$R:$R,MATCH(V43,V!$L:$L,0)),"")</f>
        <v/>
      </c>
      <c r="V43" s="783" t="str">
        <f t="shared" si="2"/>
        <v/>
      </c>
      <c r="W43" s="784" t="str">
        <f>IFERROR(INDEX(V!$R:$R,MATCH(X43,V!$L:$L,0)),"")</f>
        <v/>
      </c>
      <c r="X43" s="785" t="str">
        <f t="shared" si="3"/>
        <v/>
      </c>
      <c r="Y43" s="784" t="str">
        <f>IFERROR(INDEX(V!$R:$R,MATCH(Z43,V!$L:$L,0)),"")</f>
        <v/>
      </c>
      <c r="Z43" s="785" t="str">
        <f t="shared" si="4"/>
        <v/>
      </c>
      <c r="AA43" s="760"/>
    </row>
    <row r="44" spans="1:27" hidden="1" x14ac:dyDescent="0.2">
      <c r="A44" s="765">
        <v>3</v>
      </c>
      <c r="B44" s="775"/>
      <c r="C44" s="778"/>
      <c r="D44" s="787"/>
      <c r="E44" s="776"/>
      <c r="F44" s="778"/>
      <c r="G44" s="778"/>
      <c r="H44" s="796" t="str">
        <f>(IF(C44-E42&gt;0,1)+IF(D44-E43&gt;0,1)+IF(F44-E45&gt;0,1)+IF(G44-E46&gt;0,1))&amp;"-"&amp;(IF(C44-E42&lt;0,1)+IF(D44-E43&lt;0,1)+IF(F44-E45&lt;0,1)+IF(G44-E46&lt;0,1))</f>
        <v>0-0</v>
      </c>
      <c r="I44" s="778" t="str">
        <f>IF(AND(B44&lt;&gt;"",M$42=TRUE),A$42&amp;RANK(M44,M$43:VM$47,0),"")</f>
        <v/>
      </c>
      <c r="J44" s="821">
        <f t="shared" si="16"/>
        <v>0</v>
      </c>
      <c r="K44" s="825">
        <f>IF(AND(J44=1,J42=1,C44&gt;E42),1)+IF(AND(J44=1,J43=1,D44&gt;E43),1)+IF(AND(J44=1,J45=1,F44&gt;E45),1)+IF(AND(J44=1,J46=1,G44&gt;E46),1)+IF(AND(J44=2,J42=2,C44&gt;E42),1)+IF(AND(J44=2,J43=2,D44&gt;E43),1)+IF(AND(J44=2,J45=2,F44&gt;E45),1)+IF(AND(J44=2,J46=2,G44&gt;E46),1)+IF(AND(J44=3,J42=3,C44&gt;E42),1)+IF(AND(J44=3,J43=3,D44&gt;E43),1)+IF(AND(J44=3,J45=3,F44&gt;E45),1)+IF(AND(J44=3,J46=3,G44&gt;E46),1)</f>
        <v>0</v>
      </c>
      <c r="L44" s="823">
        <f>IF(AND(J44=1,J42=1),C44-E42)+IF(AND(J44=1,J43=1),D44-E43)+IF(AND(J44=1,J45=1),F44-E45)+IF(AND(J44=1,J46=1),G44-E46)+IF(AND(J44=2,J42=2),C44-E42)+IF(AND(J44=2,J43=2),D44-E43)+IF(AND(J44=2,J45=2),F44-E45)+IF(AND(J44=2,J46=2),G44-E46)+IF(AND(J44=3,J42=3),C44-E42)+IF(AND(J44=3,J43=3),D44-E43)+IF(AND(J44=3,J45=3),F44-E45)+IF(AND(J44=3,J46=3),G44-E46)</f>
        <v>0</v>
      </c>
      <c r="M44" s="824">
        <f t="shared" si="17"/>
        <v>0</v>
      </c>
      <c r="O44" s="770"/>
      <c r="P44" s="770"/>
      <c r="Q44" s="770"/>
      <c r="R44" s="764">
        <f t="shared" si="15"/>
        <v>0</v>
      </c>
      <c r="S44" s="784" t="str">
        <f>IFERROR(INDEX(V!$R:$R,MATCH(T44,V!$L:$L,0)),"")</f>
        <v/>
      </c>
      <c r="T44" s="783" t="str">
        <f t="shared" si="1"/>
        <v/>
      </c>
      <c r="U44" s="784" t="str">
        <f>IFERROR(INDEX(V!$R:$R,MATCH(V44,V!$L:$L,0)),"")</f>
        <v/>
      </c>
      <c r="V44" s="783" t="str">
        <f t="shared" si="2"/>
        <v/>
      </c>
      <c r="W44" s="784" t="str">
        <f>IFERROR(INDEX(V!$R:$R,MATCH(X44,V!$L:$L,0)),"")</f>
        <v/>
      </c>
      <c r="X44" s="785" t="str">
        <f t="shared" si="3"/>
        <v/>
      </c>
      <c r="Y44" s="784" t="str">
        <f>IFERROR(INDEX(V!$R:$R,MATCH(Z44,V!$L:$L,0)),"")</f>
        <v/>
      </c>
      <c r="Z44" s="785" t="str">
        <f t="shared" si="4"/>
        <v/>
      </c>
      <c r="AA44" s="760"/>
    </row>
    <row r="45" spans="1:27" hidden="1" x14ac:dyDescent="0.2">
      <c r="A45" s="765">
        <v>4</v>
      </c>
      <c r="B45" s="792"/>
      <c r="C45" s="778"/>
      <c r="D45" s="787"/>
      <c r="E45" s="778"/>
      <c r="F45" s="776"/>
      <c r="G45" s="779"/>
      <c r="H45" s="796" t="str">
        <f>(IF(C45-F42&gt;0,1)+IF(D45-F43&gt;0,1)+IF(E45-F44&gt;0,1)+IF(G45-F46&gt;0,1))&amp;"-"&amp;(IF(C45-F42&lt;0,1)+IF(D45-F43&lt;0,1)+IF(E45-F44&lt;0,1)+IF(G45-F46&lt;0,1))</f>
        <v>0-0</v>
      </c>
      <c r="I45" s="778" t="str">
        <f>IF(AND(B45&lt;&gt;"",M$42=TRUE),A$42&amp;RANK(M45,M$43:VM$47,0),"")</f>
        <v/>
      </c>
      <c r="J45" s="821">
        <f t="shared" si="16"/>
        <v>0</v>
      </c>
      <c r="K45" s="825">
        <f>IF(AND(J45=1,J42=1,C45&gt;F42),1)+IF(AND(J45=1,J43=1,D45&gt;F43),1)+IF(AND(J45=1,J44=1,E45&gt;F44),1)+IF(AND(J45=1,J46=1,G45&gt;F46),1)+IF(AND(J45=2,J42=2,C45&gt;F42),1)+IF(AND(J45=2,J43=2,D45&gt;F43),1)+IF(AND(J45=2,J44=2,E45&gt;F44),1)+IF(AND(J45=2,J46=2,G45&gt;F46),1)+IF(AND(J45=3,J42=3,C45&gt;F42),1)+IF(AND(J45=3,J43=3,D45&gt;F43),1)+IF(AND(J45=3,J44=3,E45&gt;F44),1)+IF(AND(J45=3,J46=3,G45&gt;F46),1)</f>
        <v>0</v>
      </c>
      <c r="L45" s="823">
        <f>IF(AND(J45=1,J42=1),C45-F42)+IF(AND(J45=1,J43=1),D45-F43)+IF(AND(J45=1,J44=1),E45-F44)+IF(AND(J45=1,J46=1),G45-F46)+IF(AND(J45=2,J42=2),C45-F42)+IF(AND(J45=2,J43=2),D45-F43)+IF(AND(J45=2,J44=2),E45-F44)+IF(AND(J45=2,J46=2),G45-F46)+IF(AND(J45=3,J42=3),C45-F42)+IF(AND(J45=3,J43=3),D45-F43)+IF(AND(J45=3,J44=3),E45-F44)+IF(AND(J45=3,J46=3),G45-F46)</f>
        <v>0</v>
      </c>
      <c r="M45" s="824">
        <f t="shared" si="17"/>
        <v>0</v>
      </c>
      <c r="O45" s="770"/>
      <c r="P45" s="770"/>
      <c r="Q45" s="770"/>
      <c r="R45" s="764">
        <f t="shared" si="15"/>
        <v>0</v>
      </c>
      <c r="S45" s="784" t="str">
        <f>IFERROR(INDEX(V!$R:$R,MATCH(T45,V!$L:$L,0)),"")</f>
        <v/>
      </c>
      <c r="T45" s="783" t="str">
        <f t="shared" si="1"/>
        <v/>
      </c>
      <c r="U45" s="784" t="str">
        <f>IFERROR(INDEX(V!$R:$R,MATCH(V45,V!$L:$L,0)),"")</f>
        <v/>
      </c>
      <c r="V45" s="783" t="str">
        <f t="shared" si="2"/>
        <v/>
      </c>
      <c r="W45" s="784" t="str">
        <f>IFERROR(INDEX(V!$R:$R,MATCH(X45,V!$L:$L,0)),"")</f>
        <v/>
      </c>
      <c r="X45" s="785" t="str">
        <f t="shared" si="3"/>
        <v/>
      </c>
      <c r="Y45" s="784" t="str">
        <f>IFERROR(INDEX(V!$R:$R,MATCH(Z45,V!$L:$L,0)),"")</f>
        <v/>
      </c>
      <c r="Z45" s="785" t="str">
        <f t="shared" si="4"/>
        <v/>
      </c>
      <c r="AA45" s="760"/>
    </row>
    <row r="46" spans="1:27" hidden="1" x14ac:dyDescent="0.2">
      <c r="A46" s="765">
        <v>5</v>
      </c>
      <c r="B46" s="792"/>
      <c r="C46" s="778"/>
      <c r="D46" s="778"/>
      <c r="E46" s="778"/>
      <c r="F46" s="778"/>
      <c r="G46" s="776"/>
      <c r="H46" s="796" t="str">
        <f>(IF(C46-G42&gt;0,1)+IF(D46-G43&gt;0,1)+IF(E46-G44&gt;0,1)+IF(F46-G45&gt;0,1))&amp;"-"&amp;(IF(C46-G42&lt;0,1)+IF(D46-G43&lt;0,1)+IF(E46-G44&lt;0,1)+IF(F46-G45&lt;0,1))</f>
        <v>0-0</v>
      </c>
      <c r="I46" s="778" t="str">
        <f>IF(AND(B46&lt;&gt;"",M$42=TRUE),A$42&amp;RANK(M46,M$43:VM$47,0),"")</f>
        <v/>
      </c>
      <c r="J46" s="821">
        <f t="shared" si="16"/>
        <v>0</v>
      </c>
      <c r="K46" s="825">
        <f>IF(AND(J46=1,J42=1,C46&gt;G42),1)+IF(AND(J46=1,J43=1,D46&gt;G43),1)+IF(AND(J46=1,J44=1,E46&gt;G44),1)+IF(AND(J46=1,J45=1,F46&gt;G45),1)+IF(AND(J46=2,J42=2,C46&gt;G42),1)+IF(AND(J46=2,J43=2,D46&gt;G43),1)+IF(AND(J46=2,J44=2,E46&gt;G44),1)+IF(AND(J46=2,J45=2,F46&gt;G45),1)+IF(AND(J46=3,J42=3,C46&gt;G42),1)+IF(AND(J46=3,J43=3,D46&gt;G43),1)+IF(AND(J46=3,J44=3,E46&gt;G44),1)+IF(AND(J46=3,J45=3,F46&gt;G45),1)</f>
        <v>0</v>
      </c>
      <c r="L46" s="823">
        <f>IF(AND(J46=1,J42=1),C46-G42)+IF(AND(J46=1,J43=1),D46-G43)+IF(AND(J46=1,J44=1),E46-G44)+IF(AND(J46=1,J45=1),F46-G45)+IF(AND(J46=2,J42=2),C46-G42)+IF(AND(J46=2,J43=2),D46-G43)+IF(AND(J46=2,J44=2),E46-G44)+IF(AND(J46=2,J45=2),F46-G45)+IF(AND(J46=3,J42=3),C46-G42)+IF(AND(J46=3,J43=3),D46-G43)+IF(AND(J46=3,J44=3),E46-G44)+IF(AND(J46=3,J45=3),F46-G45)</f>
        <v>0</v>
      </c>
      <c r="M46" s="824">
        <f t="shared" si="17"/>
        <v>0</v>
      </c>
      <c r="O46" s="770"/>
      <c r="P46" s="770"/>
      <c r="Q46" s="770"/>
      <c r="R46" s="764">
        <f t="shared" si="15"/>
        <v>0</v>
      </c>
      <c r="S46" s="784" t="str">
        <f>IFERROR(INDEX(V!$R:$R,MATCH(T46,V!$L:$L,0)),"")</f>
        <v/>
      </c>
      <c r="T46" s="783" t="str">
        <f t="shared" si="1"/>
        <v/>
      </c>
      <c r="U46" s="784" t="str">
        <f>IFERROR(INDEX(V!$R:$R,MATCH(V46,V!$L:$L,0)),"")</f>
        <v/>
      </c>
      <c r="V46" s="783" t="str">
        <f t="shared" si="2"/>
        <v/>
      </c>
      <c r="W46" s="784" t="str">
        <f>IFERROR(INDEX(V!$R:$R,MATCH(X46,V!$L:$L,0)),"")</f>
        <v/>
      </c>
      <c r="X46" s="785" t="str">
        <f t="shared" si="3"/>
        <v/>
      </c>
      <c r="Y46" s="784" t="str">
        <f>IFERROR(INDEX(V!$R:$R,MATCH(Z46,V!$L:$L,0)),"")</f>
        <v/>
      </c>
      <c r="Z46" s="785" t="str">
        <f t="shared" si="4"/>
        <v/>
      </c>
      <c r="AA46" s="760"/>
    </row>
    <row r="47" spans="1:27" hidden="1" x14ac:dyDescent="0.2">
      <c r="A47" s="827"/>
      <c r="B47" s="828"/>
      <c r="C47" s="808"/>
      <c r="D47" s="829"/>
      <c r="E47" s="808"/>
      <c r="F47" s="805"/>
      <c r="G47" s="212"/>
      <c r="H47" s="830"/>
      <c r="I47" s="831"/>
      <c r="J47" s="817"/>
      <c r="K47" s="838"/>
      <c r="L47" s="833"/>
      <c r="M47" s="817"/>
      <c r="O47" s="212"/>
      <c r="P47" s="212"/>
      <c r="Q47" s="212"/>
      <c r="R47" s="764">
        <f t="shared" si="15"/>
        <v>0</v>
      </c>
      <c r="S47" s="784" t="str">
        <f>IFERROR(INDEX(V!$R:$R,MATCH(T47,V!$L:$L,0)),"")</f>
        <v/>
      </c>
      <c r="T47" s="783" t="str">
        <f t="shared" si="1"/>
        <v/>
      </c>
      <c r="U47" s="784" t="str">
        <f>IFERROR(INDEX(V!$R:$R,MATCH(V47,V!$L:$L,0)),"")</f>
        <v/>
      </c>
      <c r="V47" s="783" t="str">
        <f t="shared" si="2"/>
        <v/>
      </c>
      <c r="W47" s="784" t="str">
        <f>IFERROR(INDEX(V!$R:$R,MATCH(X47,V!$L:$L,0)),"")</f>
        <v/>
      </c>
      <c r="X47" s="785" t="str">
        <f t="shared" si="3"/>
        <v/>
      </c>
      <c r="Y47" s="784" t="str">
        <f>IFERROR(INDEX(V!$R:$R,MATCH(Z47,V!$L:$L,0)),"")</f>
        <v/>
      </c>
      <c r="Z47" s="785" t="str">
        <f t="shared" si="4"/>
        <v/>
      </c>
      <c r="AA47" s="760"/>
    </row>
    <row r="48" spans="1:27" hidden="1" x14ac:dyDescent="0.2">
      <c r="A48" s="765" t="s">
        <v>6</v>
      </c>
      <c r="B48" s="766"/>
      <c r="C48" s="767">
        <v>1</v>
      </c>
      <c r="D48" s="767">
        <v>2</v>
      </c>
      <c r="E48" s="767">
        <v>3</v>
      </c>
      <c r="F48" s="767">
        <v>4</v>
      </c>
      <c r="G48" s="767"/>
      <c r="H48" s="766" t="s">
        <v>363</v>
      </c>
      <c r="I48" s="766" t="s">
        <v>364</v>
      </c>
      <c r="J48" s="834" t="s">
        <v>21</v>
      </c>
      <c r="K48" s="768" t="s">
        <v>21</v>
      </c>
      <c r="L48" s="835" t="s">
        <v>365</v>
      </c>
      <c r="M48" s="836" t="b">
        <f>OR(AND(COUNTA(B49:B53)=3,COUNTA(C49:G53)=6),AND(COUNTA(B49:B53)=4,COUNTA(C49:G53)=12),AND(COUNTA(B49:B53)=5,COUNTA(C49:G53)=20))</f>
        <v>0</v>
      </c>
      <c r="O48" s="770"/>
      <c r="P48" s="770"/>
      <c r="Q48" s="770"/>
      <c r="R48" s="764">
        <f t="shared" si="15"/>
        <v>0</v>
      </c>
      <c r="S48" s="784" t="str">
        <f>IFERROR(INDEX(V!$R:$R,MATCH(T48,V!$L:$L,0)),"")</f>
        <v/>
      </c>
      <c r="T48" s="783" t="str">
        <f t="shared" si="1"/>
        <v/>
      </c>
      <c r="U48" s="784" t="str">
        <f>IFERROR(INDEX(V!$R:$R,MATCH(V48,V!$L:$L,0)),"")</f>
        <v/>
      </c>
      <c r="V48" s="783" t="str">
        <f t="shared" si="2"/>
        <v/>
      </c>
      <c r="W48" s="784" t="str">
        <f>IFERROR(INDEX(V!$R:$R,MATCH(X48,V!$L:$L,0)),"")</f>
        <v/>
      </c>
      <c r="X48" s="785" t="str">
        <f t="shared" si="3"/>
        <v/>
      </c>
      <c r="Y48" s="784" t="str">
        <f>IFERROR(INDEX(V!$R:$R,MATCH(Z48,V!$L:$L,0)),"")</f>
        <v/>
      </c>
      <c r="Z48" s="785" t="str">
        <f t="shared" si="4"/>
        <v/>
      </c>
      <c r="AA48" s="760"/>
    </row>
    <row r="49" spans="1:27" hidden="1" x14ac:dyDescent="0.2">
      <c r="A49" s="765">
        <v>1</v>
      </c>
      <c r="B49" s="820"/>
      <c r="C49" s="776"/>
      <c r="D49" s="778"/>
      <c r="E49" s="778"/>
      <c r="F49" s="778"/>
      <c r="G49" s="778"/>
      <c r="H49" s="796" t="str">
        <f>(IF(D49-C50&gt;0,1)+IF(E49-C51&gt;0,1)+IF(F49-C52&gt;0,1)+IF(G49-C53&gt;0,1))&amp;"-"&amp;(IF(D49-C50&lt;0,1)+IF(E49-C51&lt;0,1)+IF(F49-C52&lt;0,1)+IF(G49-C53&lt;0,1))</f>
        <v>0-0</v>
      </c>
      <c r="I49" s="778" t="str">
        <f>IF(AND(B49&lt;&gt;"",M$49=TRUE),A$49&amp;RANK(M49,M$50:M$54,0),"")</f>
        <v/>
      </c>
      <c r="J49" s="821">
        <f>VALUE(LEFT(H49,1))</f>
        <v>0</v>
      </c>
      <c r="K49" s="822">
        <f>IF(AND(J49=1,J50=1,D49&gt;C50),1)+IF(AND(J49=1,J51=1,E49&gt;C51),1)+IF(AND(J49=1,J52=1,F49&gt;C52),1)+IF(AND(J49=1,J53=1,G49&gt;C53),1)+IF(AND(J49=2,J50=2,D49&gt;C50),1)+IF(AND(J49=2,J51=2,E49&gt;C51),1)+IF(AND(J49=2,J52=2,F49&gt;C52),1)+IF(AND(J49=2,J53=2,G49&gt;C53),1)+IF(AND(J49=3,J50=3,D49&gt;C50),1)+IF(AND(J49=3,J51=3,E49&gt;C51),1)+IF(AND(J49=3,J52=3,F49&gt;C52),1)+IF(AND(J49=3,J53=3,G49&gt;C53),1)</f>
        <v>0</v>
      </c>
      <c r="L49" s="823">
        <f>IF(AND(J49=1,J50=1),D49-C50)+IF(AND(J49=1,J51=1),E49-C51)+IF(AND(J49=1,J52=1),F49-C52)+IF(AND(J49=1,J53=1),G49-C53)+IF(AND(J49=2,J50=2),D49-C50)+IF(AND(J49=2,J51=2),E49-C51)+IF(AND(J49=2,J52=2),F49-C52)+IF(AND(J49=2,J53=2),G49-C53)+IF(AND(J49=3,J50=3),D49-C50)+IF(AND(J49=3,J51=3),E49-C51)+IF(AND(J49=3,J52=3),F49-C52)+IF(AND(J49=3,J53=3),G49-C53)</f>
        <v>0</v>
      </c>
      <c r="M49" s="824">
        <f>10000*J49+K49*100+L49</f>
        <v>0</v>
      </c>
      <c r="O49" s="770"/>
      <c r="P49" s="770"/>
      <c r="Q49" s="770"/>
      <c r="R49" s="764">
        <f t="shared" si="15"/>
        <v>0</v>
      </c>
      <c r="S49" s="784" t="str">
        <f>IFERROR(INDEX(V!$R:$R,MATCH(T49,V!$L:$L,0)),"")</f>
        <v/>
      </c>
      <c r="T49" s="783" t="str">
        <f t="shared" si="1"/>
        <v/>
      </c>
      <c r="U49" s="784" t="str">
        <f>IFERROR(INDEX(V!$R:$R,MATCH(V49,V!$L:$L,0)),"")</f>
        <v/>
      </c>
      <c r="V49" s="783" t="str">
        <f t="shared" si="2"/>
        <v/>
      </c>
      <c r="W49" s="784" t="str">
        <f>IFERROR(INDEX(V!$R:$R,MATCH(X49,V!$L:$L,0)),"")</f>
        <v/>
      </c>
      <c r="X49" s="785" t="str">
        <f t="shared" si="3"/>
        <v/>
      </c>
      <c r="Y49" s="784" t="str">
        <f>IFERROR(INDEX(V!$R:$R,MATCH(Z49,V!$L:$L,0)),"")</f>
        <v/>
      </c>
      <c r="Z49" s="785" t="str">
        <f t="shared" si="4"/>
        <v/>
      </c>
      <c r="AA49" s="760"/>
    </row>
    <row r="50" spans="1:27" hidden="1" x14ac:dyDescent="0.2">
      <c r="A50" s="765">
        <v>2</v>
      </c>
      <c r="B50" s="775"/>
      <c r="C50" s="778"/>
      <c r="D50" s="776"/>
      <c r="E50" s="778"/>
      <c r="F50" s="778"/>
      <c r="G50" s="778"/>
      <c r="H50" s="796" t="str">
        <f>(IF(C50-D49&gt;0,1)+IF(E50-D51&gt;0,1)+IF(F50-D52&gt;0,1)+IF(G50-D53&gt;0,1))&amp;"-"&amp;(IF(C50-D49&lt;0,1)+IF(E50-D51&lt;0,1)+IF(F50-D52&lt;0,1)+IF(G50-D53&lt;0,1))</f>
        <v>0-0</v>
      </c>
      <c r="I50" s="778" t="str">
        <f>IF(AND(B50&lt;&gt;"",M$49=TRUE),A$49&amp;RANK(M50,M$50:M$54,0),"")</f>
        <v/>
      </c>
      <c r="J50" s="821">
        <f t="shared" ref="J50:J53" si="18">VALUE(LEFT(H50,1))</f>
        <v>0</v>
      </c>
      <c r="K50" s="825">
        <f>IF(AND(J50=1,J49=1,C50&gt;D49),1)+IF(AND(J50=1,J51=1,E50&gt;D51),1)+IF(AND(J50=1,J52=1,F50&gt;D52),1)+IF(AND(J50=1,J53=1,G50&gt;D53),1)+IF(AND(J50=2,J49=2,C50&gt;D49),1)+IF(AND(J50=2,J51=2,E50&gt;D51),1)+IF(AND(J50=2,J52=2,F50&gt;D52),1)+IF(AND(J50=2,J53=2,G50&gt;D53),1)+IF(AND(J50=3,J49=3,C50&gt;D49),1)+IF(AND(J50=3,J51=3,E50&gt;D51),1)+IF(AND(J50=3,J52=3,F50&gt;D52),1)+IF(AND(J50=3,J53=3,G50&gt;D53),1)</f>
        <v>0</v>
      </c>
      <c r="L50" s="823">
        <f>IF(AND(J50=1,J49=1),C50-D49)+IF(AND(J50=1,J51=1),E50-D51)+IF(AND(J50=1,J52=1),F50-D52)+IF(AND(J50=1,J53=1),G50-D53)+IF(AND(J50=2,J49=2),C50-D49)+IF(AND(J50=2,J51=2),E50-D51)+IF(AND(J50=2,J52=2),F50-D52)+IF(AND(J50=2,J53=2),G50-D53)+IF(AND(J50=3,J49=3),C50-D49)+IF(AND(J50=3,J51=3),E50-D51)+IF(AND(J50=3,J52=3),F50-D52)+IF(AND(J50=3,J53=3),G50-D53)</f>
        <v>0</v>
      </c>
      <c r="M50" s="824">
        <f t="shared" ref="M50:M53" si="19">10000*J50+K50*100+L50</f>
        <v>0</v>
      </c>
      <c r="O50" s="770"/>
      <c r="P50" s="770"/>
      <c r="Q50" s="770"/>
      <c r="R50" s="764">
        <f t="shared" si="15"/>
        <v>0</v>
      </c>
      <c r="S50" s="784" t="str">
        <f>IFERROR(INDEX(V!$R:$R,MATCH(T50,V!$L:$L,0)),"")</f>
        <v/>
      </c>
      <c r="T50" s="783" t="str">
        <f t="shared" si="1"/>
        <v/>
      </c>
      <c r="U50" s="784" t="str">
        <f>IFERROR(INDEX(V!$R:$R,MATCH(V50,V!$L:$L,0)),"")</f>
        <v/>
      </c>
      <c r="V50" s="783" t="str">
        <f t="shared" si="2"/>
        <v/>
      </c>
      <c r="W50" s="784" t="str">
        <f>IFERROR(INDEX(V!$R:$R,MATCH(X50,V!$L:$L,0)),"")</f>
        <v/>
      </c>
      <c r="X50" s="785" t="str">
        <f t="shared" si="3"/>
        <v/>
      </c>
      <c r="Y50" s="784" t="str">
        <f>IFERROR(INDEX(V!$R:$R,MATCH(Z50,V!$L:$L,0)),"")</f>
        <v/>
      </c>
      <c r="Z50" s="785" t="str">
        <f t="shared" si="4"/>
        <v/>
      </c>
      <c r="AA50" s="760"/>
    </row>
    <row r="51" spans="1:27" hidden="1" x14ac:dyDescent="0.2">
      <c r="A51" s="765">
        <v>3</v>
      </c>
      <c r="B51" s="775"/>
      <c r="C51" s="778"/>
      <c r="D51" s="787"/>
      <c r="E51" s="776"/>
      <c r="F51" s="778"/>
      <c r="G51" s="778"/>
      <c r="H51" s="796" t="str">
        <f>(IF(C51-E49&gt;0,1)+IF(D51-E50&gt;0,1)+IF(F51-E52&gt;0,1)+IF(G51-E53&gt;0,1))&amp;"-"&amp;(IF(C51-E49&lt;0,1)+IF(D51-E50&lt;0,1)+IF(F51-E52&lt;0,1)+IF(G51-E53&lt;0,1))</f>
        <v>0-0</v>
      </c>
      <c r="I51" s="778" t="str">
        <f>IF(AND(B51&lt;&gt;"",M$49=TRUE),A$49&amp;RANK(M51,M$50:M$54,0),"")</f>
        <v/>
      </c>
      <c r="J51" s="821">
        <f t="shared" si="18"/>
        <v>0</v>
      </c>
      <c r="K51" s="825">
        <f>IF(AND(J51=1,J49=1,C51&gt;E49),1)+IF(AND(J51=1,J50=1,D51&gt;E50),1)+IF(AND(J51=1,J52=1,F51&gt;E52),1)+IF(AND(J51=1,J53=1,G51&gt;E53),1)+IF(AND(J51=2,J49=2,C51&gt;E49),1)+IF(AND(J51=2,J50=2,D51&gt;E50),1)+IF(AND(J51=2,J52=2,F51&gt;E52),1)+IF(AND(J51=2,J53=2,G51&gt;E53),1)+IF(AND(J51=3,J49=3,C51&gt;E49),1)+IF(AND(J51=3,J50=3,D51&gt;E50),1)+IF(AND(J51=3,J52=3,F51&gt;E52),1)+IF(AND(J51=3,J53=3,G51&gt;E53),1)</f>
        <v>0</v>
      </c>
      <c r="L51" s="823">
        <f>IF(AND(J51=1,J49=1),C51-E49)+IF(AND(J51=1,J50=1),D51-E50)+IF(AND(J51=1,J52=1),F51-E52)+IF(AND(J51=1,J53=1),G51-E53)+IF(AND(J51=2,J49=2),C51-E49)+IF(AND(J51=2,J50=2),D51-E50)+IF(AND(J51=2,J52=2),F51-E52)+IF(AND(J51=2,J53=2),G51-E53)+IF(AND(J51=3,J49=3),C51-E49)+IF(AND(J51=3,J50=3),D51-E50)+IF(AND(J51=3,J52=3),F51-E52)+IF(AND(J51=3,J53=3),G51-E53)</f>
        <v>0</v>
      </c>
      <c r="M51" s="824">
        <f t="shared" si="19"/>
        <v>0</v>
      </c>
      <c r="O51" s="770"/>
      <c r="P51" s="770"/>
      <c r="Q51" s="770"/>
      <c r="R51" s="764">
        <f t="shared" si="15"/>
        <v>0</v>
      </c>
      <c r="S51" s="784" t="str">
        <f>IFERROR(INDEX(V!$R:$R,MATCH(T51,V!$L:$L,0)),"")</f>
        <v/>
      </c>
      <c r="T51" s="783" t="str">
        <f t="shared" si="1"/>
        <v/>
      </c>
      <c r="U51" s="784" t="str">
        <f>IFERROR(INDEX(V!$R:$R,MATCH(V51,V!$L:$L,0)),"")</f>
        <v/>
      </c>
      <c r="V51" s="783" t="str">
        <f t="shared" si="2"/>
        <v/>
      </c>
      <c r="W51" s="784" t="str">
        <f>IFERROR(INDEX(V!$R:$R,MATCH(X51,V!$L:$L,0)),"")</f>
        <v/>
      </c>
      <c r="X51" s="785" t="str">
        <f t="shared" si="3"/>
        <v/>
      </c>
      <c r="Y51" s="784" t="str">
        <f>IFERROR(INDEX(V!$R:$R,MATCH(Z51,V!$L:$L,0)),"")</f>
        <v/>
      </c>
      <c r="Z51" s="785" t="str">
        <f t="shared" si="4"/>
        <v/>
      </c>
      <c r="AA51" s="760"/>
    </row>
    <row r="52" spans="1:27" hidden="1" x14ac:dyDescent="0.2">
      <c r="A52" s="765">
        <v>4</v>
      </c>
      <c r="B52" s="792"/>
      <c r="C52" s="778"/>
      <c r="D52" s="787"/>
      <c r="E52" s="778"/>
      <c r="F52" s="776"/>
      <c r="G52" s="779"/>
      <c r="H52" s="796" t="str">
        <f>(IF(C52-F49&gt;0,1)+IF(D52-F50&gt;0,1)+IF(E52-F51&gt;0,1)+IF(G52-F53&gt;0,1))&amp;"-"&amp;(IF(C52-F49&lt;0,1)+IF(D52-F50&lt;0,1)+IF(E52-F51&lt;0,1)+IF(G52-F53&lt;0,1))</f>
        <v>0-0</v>
      </c>
      <c r="I52" s="778" t="str">
        <f>IF(AND(B52&lt;&gt;"",M$49=TRUE),A$49&amp;RANK(M52,M$50:M$54,0),"")</f>
        <v/>
      </c>
      <c r="J52" s="821">
        <f t="shared" si="18"/>
        <v>0</v>
      </c>
      <c r="K52" s="825">
        <f>IF(AND(J52=1,J49=1,C52&gt;F49),1)+IF(AND(J52=1,J50=1,D52&gt;F50),1)+IF(AND(J52=1,J51=1,E52&gt;F51),1)+IF(AND(J52=1,J53=1,G52&gt;F53),1)+IF(AND(J52=2,J49=2,C52&gt;F49),1)+IF(AND(J52=2,J50=2,D52&gt;F50),1)+IF(AND(J52=2,J51=2,E52&gt;F51),1)+IF(AND(J52=2,J53=2,G52&gt;F53),1)+IF(AND(J52=3,J49=3,C52&gt;F49),1)+IF(AND(J52=3,J50=3,D52&gt;F50),1)+IF(AND(J52=3,J51=3,E52&gt;F51),1)+IF(AND(J52=3,J53=3,G52&gt;F53),1)</f>
        <v>0</v>
      </c>
      <c r="L52" s="823">
        <f>IF(AND(J52=1,J49=1),C52-F49)+IF(AND(J52=1,J50=1),D52-F50)+IF(AND(J52=1,J51=1),E52-F51)+IF(AND(J52=1,J53=1),G52-F53)+IF(AND(J52=2,J49=2),C52-F49)+IF(AND(J52=2,J50=2),D52-F50)+IF(AND(J52=2,J51=2),E52-F51)+IF(AND(J52=2,J53=2),G52-F53)+IF(AND(J52=3,J49=3),C52-F49)+IF(AND(J52=3,J50=3),D52-F50)+IF(AND(J52=3,J51=3),E52-F51)+IF(AND(J52=3,J53=3),G52-F53)</f>
        <v>0</v>
      </c>
      <c r="M52" s="824">
        <f t="shared" si="19"/>
        <v>0</v>
      </c>
      <c r="O52" s="770"/>
      <c r="P52" s="770"/>
      <c r="Q52" s="770"/>
      <c r="R52" s="764">
        <f t="shared" si="15"/>
        <v>0</v>
      </c>
      <c r="S52" s="784" t="str">
        <f>IFERROR(INDEX(V!$R:$R,MATCH(T52,V!$L:$L,0)),"")</f>
        <v/>
      </c>
      <c r="T52" s="783" t="str">
        <f t="shared" si="1"/>
        <v/>
      </c>
      <c r="U52" s="784" t="str">
        <f>IFERROR(INDEX(V!$R:$R,MATCH(V52,V!$L:$L,0)),"")</f>
        <v/>
      </c>
      <c r="V52" s="783" t="str">
        <f t="shared" si="2"/>
        <v/>
      </c>
      <c r="W52" s="784" t="str">
        <f>IFERROR(INDEX(V!$R:$R,MATCH(X52,V!$L:$L,0)),"")</f>
        <v/>
      </c>
      <c r="X52" s="785" t="str">
        <f t="shared" si="3"/>
        <v/>
      </c>
      <c r="Y52" s="784" t="str">
        <f>IFERROR(INDEX(V!$R:$R,MATCH(Z52,V!$L:$L,0)),"")</f>
        <v/>
      </c>
      <c r="Z52" s="785" t="str">
        <f t="shared" si="4"/>
        <v/>
      </c>
      <c r="AA52" s="760"/>
    </row>
    <row r="53" spans="1:27" hidden="1" x14ac:dyDescent="0.2">
      <c r="A53" s="765">
        <v>5</v>
      </c>
      <c r="B53" s="792"/>
      <c r="C53" s="778"/>
      <c r="D53" s="778"/>
      <c r="E53" s="778"/>
      <c r="F53" s="778"/>
      <c r="G53" s="776"/>
      <c r="H53" s="796" t="str">
        <f>(IF(C53-G49&gt;0,1)+IF(D53-G50&gt;0,1)+IF(E53-G51&gt;0,1)+IF(F53-G52&gt;0,1))&amp;"-"&amp;(IF(C53-G49&lt;0,1)+IF(D53-G50&lt;0,1)+IF(E53-G51&lt;0,1)+IF(F53-G52&lt;0,1))</f>
        <v>0-0</v>
      </c>
      <c r="I53" s="778" t="str">
        <f>IF(AND(B53&lt;&gt;"",M$49=TRUE),A$49&amp;RANK(M53,M$50:M$54,0),"")</f>
        <v/>
      </c>
      <c r="J53" s="821">
        <f t="shared" si="18"/>
        <v>0</v>
      </c>
      <c r="K53" s="825">
        <f>IF(AND(J53=1,J49=1,C53&gt;G49),1)+IF(AND(J53=1,J50=1,D53&gt;G50),1)+IF(AND(J53=1,J51=1,E53&gt;G51),1)+IF(AND(J53=1,J52=1,F53&gt;G52),1)+IF(AND(J53=2,J49=2,C53&gt;G49),1)+IF(AND(J53=2,J50=2,D53&gt;G50),1)+IF(AND(J53=2,J51=2,E53&gt;G51),1)+IF(AND(J53=2,J52=2,F53&gt;G52),1)+IF(AND(J53=3,J49=3,C53&gt;G49),1)+IF(AND(J53=3,J50=3,D53&gt;G50),1)+IF(AND(J53=3,J51=3,E53&gt;G51),1)+IF(AND(J53=3,J52=3,F53&gt;G52),1)</f>
        <v>0</v>
      </c>
      <c r="L53" s="823">
        <f>IF(AND(J53=1,J49=1),C53-G49)+IF(AND(J53=1,J50=1),D53-G50)+IF(AND(J53=1,J51=1),E53-G51)+IF(AND(J53=1,J52=1),F53-G52)+IF(AND(J53=2,J49=2),C53-G49)+IF(AND(J53=2,J50=2),D53-G50)+IF(AND(J53=2,J51=2),E53-G51)+IF(AND(J53=2,J52=2),F53-G52)+IF(AND(J53=3,J49=3),C53-G49)+IF(AND(J53=3,J50=3),D53-G50)+IF(AND(J53=3,J51=3),E53-G51)+IF(AND(J53=3,J52=3),F53-G52)</f>
        <v>0</v>
      </c>
      <c r="M53" s="824">
        <f t="shared" si="19"/>
        <v>0</v>
      </c>
      <c r="O53" s="770"/>
      <c r="P53" s="770"/>
      <c r="Q53" s="770"/>
      <c r="R53" s="764">
        <f t="shared" si="15"/>
        <v>0</v>
      </c>
      <c r="S53" s="784" t="str">
        <f>IFERROR(INDEX(V!$R:$R,MATCH(T53,V!$L:$L,0)),"")</f>
        <v/>
      </c>
      <c r="T53" s="783" t="str">
        <f t="shared" si="1"/>
        <v/>
      </c>
      <c r="U53" s="784" t="str">
        <f>IFERROR(INDEX(V!$R:$R,MATCH(V53,V!$L:$L,0)),"")</f>
        <v/>
      </c>
      <c r="V53" s="783" t="str">
        <f t="shared" si="2"/>
        <v/>
      </c>
      <c r="W53" s="784" t="str">
        <f>IFERROR(INDEX(V!$R:$R,MATCH(X53,V!$L:$L,0)),"")</f>
        <v/>
      </c>
      <c r="X53" s="785" t="str">
        <f t="shared" si="3"/>
        <v/>
      </c>
      <c r="Y53" s="784" t="str">
        <f>IFERROR(INDEX(V!$R:$R,MATCH(Z53,V!$L:$L,0)),"")</f>
        <v/>
      </c>
      <c r="Z53" s="785" t="str">
        <f t="shared" si="4"/>
        <v/>
      </c>
      <c r="AA53" s="760"/>
    </row>
    <row r="54" spans="1:27" hidden="1" x14ac:dyDescent="0.2">
      <c r="A54" s="754"/>
      <c r="B54" s="818"/>
      <c r="C54" s="840"/>
      <c r="D54" s="840"/>
      <c r="E54" s="840"/>
      <c r="F54" s="841"/>
      <c r="G54" s="841"/>
      <c r="H54" s="842"/>
      <c r="I54" s="843"/>
      <c r="J54" s="844"/>
      <c r="K54" s="832"/>
      <c r="L54" s="845"/>
      <c r="M54" s="844"/>
      <c r="O54" s="770"/>
      <c r="P54" s="770"/>
      <c r="Q54" s="770"/>
      <c r="R54" s="764">
        <f t="shared" si="15"/>
        <v>0</v>
      </c>
      <c r="S54" s="784" t="str">
        <f>IFERROR(INDEX(V!$R:$R,MATCH(T54,V!$L:$L,0)),"")</f>
        <v/>
      </c>
      <c r="T54" s="783" t="str">
        <f t="shared" si="1"/>
        <v/>
      </c>
      <c r="U54" s="784" t="str">
        <f>IFERROR(INDEX(V!$R:$R,MATCH(V54,V!$L:$L,0)),"")</f>
        <v/>
      </c>
      <c r="V54" s="783" t="str">
        <f t="shared" si="2"/>
        <v/>
      </c>
      <c r="W54" s="784" t="str">
        <f>IFERROR(INDEX(V!$R:$R,MATCH(X54,V!$L:$L,0)),"")</f>
        <v/>
      </c>
      <c r="X54" s="785" t="str">
        <f t="shared" si="3"/>
        <v/>
      </c>
      <c r="Y54" s="784" t="str">
        <f>IFERROR(INDEX(V!$R:$R,MATCH(Z54,V!$L:$L,0)),"")</f>
        <v/>
      </c>
      <c r="Z54" s="785" t="str">
        <f t="shared" si="4"/>
        <v/>
      </c>
      <c r="AA54" s="760"/>
    </row>
    <row r="55" spans="1:27" hidden="1" x14ac:dyDescent="0.2">
      <c r="A55" s="765" t="s">
        <v>7</v>
      </c>
      <c r="B55" s="766"/>
      <c r="C55" s="767">
        <v>1</v>
      </c>
      <c r="D55" s="767">
        <v>2</v>
      </c>
      <c r="E55" s="767">
        <v>3</v>
      </c>
      <c r="F55" s="767">
        <v>4</v>
      </c>
      <c r="G55" s="767"/>
      <c r="H55" s="766" t="s">
        <v>363</v>
      </c>
      <c r="I55" s="766" t="s">
        <v>364</v>
      </c>
      <c r="J55" s="834" t="s">
        <v>21</v>
      </c>
      <c r="K55" s="768" t="s">
        <v>21</v>
      </c>
      <c r="L55" s="835" t="s">
        <v>365</v>
      </c>
      <c r="M55" s="836" t="b">
        <f>OR(AND(COUNTA(B56:B60)=3,COUNTA(C56:G60)=6),AND(COUNTA(B56:B60)=4,COUNTA(C56:G60)=12),AND(COUNTA(B56:B60)=5,COUNTA(C56:G60)=20))</f>
        <v>0</v>
      </c>
      <c r="O55" s="212"/>
      <c r="P55" s="212"/>
      <c r="Q55" s="212"/>
      <c r="R55" s="764">
        <f t="shared" si="15"/>
        <v>0</v>
      </c>
      <c r="S55" s="784" t="str">
        <f>IFERROR(INDEX(V!$R:$R,MATCH(T55,V!$L:$L,0)),"")</f>
        <v/>
      </c>
      <c r="T55" s="783" t="str">
        <f t="shared" si="1"/>
        <v/>
      </c>
      <c r="U55" s="784" t="str">
        <f>IFERROR(INDEX(V!$R:$R,MATCH(V55,V!$L:$L,0)),"")</f>
        <v/>
      </c>
      <c r="V55" s="783" t="str">
        <f t="shared" si="2"/>
        <v/>
      </c>
      <c r="W55" s="784" t="str">
        <f>IFERROR(INDEX(V!$R:$R,MATCH(X55,V!$L:$L,0)),"")</f>
        <v/>
      </c>
      <c r="X55" s="785" t="str">
        <f t="shared" si="3"/>
        <v/>
      </c>
      <c r="Y55" s="784" t="str">
        <f>IFERROR(INDEX(V!$R:$R,MATCH(Z55,V!$L:$L,0)),"")</f>
        <v/>
      </c>
      <c r="Z55" s="785" t="str">
        <f t="shared" si="4"/>
        <v/>
      </c>
      <c r="AA55" s="760"/>
    </row>
    <row r="56" spans="1:27" hidden="1" x14ac:dyDescent="0.2">
      <c r="A56" s="765">
        <v>1</v>
      </c>
      <c r="B56" s="820"/>
      <c r="C56" s="776"/>
      <c r="D56" s="778"/>
      <c r="E56" s="778"/>
      <c r="F56" s="778"/>
      <c r="G56" s="778"/>
      <c r="H56" s="796" t="str">
        <f>(IF(D56-C57&gt;0,1)+IF(E56-C58&gt;0,1)+IF(F56-C59&gt;0,1)+IF(G56-C60&gt;0,1))&amp;"-"&amp;(IF(D56-C57&lt;0,1)+IF(E56-C58&lt;0,1)+IF(F56-C59&lt;0,1)+IF(G56-C60&lt;0,1))</f>
        <v>0-0</v>
      </c>
      <c r="I56" s="778" t="str">
        <f>IF(AND(B56&lt;&gt;"",M$56=TRUE),A$56&amp;RANK(M56,M$57:M$61,0),"")</f>
        <v/>
      </c>
      <c r="J56" s="821">
        <f>VALUE(LEFT(H56,1))</f>
        <v>0</v>
      </c>
      <c r="K56" s="822">
        <f>IF(AND(J56=1,J57=1,D56&gt;C57),1)+IF(AND(J56=1,J58=1,E56&gt;C58),1)+IF(AND(J56=1,J59=1,F56&gt;C59),1)+IF(AND(J56=1,J60=1,G56&gt;C60),1)+IF(AND(J56=2,J57=2,D56&gt;C57),1)+IF(AND(J56=2,J58=2,E56&gt;C58),1)+IF(AND(J56=2,J59=2,F56&gt;C59),1)+IF(AND(J56=2,J60=2,G56&gt;C60),1)+IF(AND(J56=3,J57=3,D56&gt;C57),1)+IF(AND(J56=3,J58=3,E56&gt;C58),1)+IF(AND(J56=3,J59=3,F56&gt;C59),1)+IF(AND(J56=3,J60=3,G56&gt;C60),1)</f>
        <v>0</v>
      </c>
      <c r="L56" s="823">
        <f>IF(AND(J56=1,J57=1),D56-C57)+IF(AND(J56=1,J58=1),E56-C58)+IF(AND(J56=1,J59=1),F56-C59)+IF(AND(J56=1,J60=1),G56-C60)+IF(AND(J56=2,J57=2),D56-C57)+IF(AND(J56=2,J58=2),E56-C58)+IF(AND(J56=2,J59=2),F56-C59)+IF(AND(J56=2,J60=2),G56-C60)+IF(AND(J56=3,J57=3),D56-C57)+IF(AND(J56=3,J58=3),E56-C58)+IF(AND(J56=3,J59=3),F56-C59)+IF(AND(J56=3,J60=3),G56-C60)</f>
        <v>0</v>
      </c>
      <c r="M56" s="824">
        <f>10000*J56+K56*100+L56</f>
        <v>0</v>
      </c>
      <c r="O56" s="212"/>
      <c r="P56" s="212"/>
      <c r="Q56" s="212"/>
      <c r="R56" s="764">
        <f t="shared" si="15"/>
        <v>0</v>
      </c>
      <c r="S56" s="784" t="str">
        <f>IFERROR(INDEX(V!$R:$R,MATCH(T56,V!$L:$L,0)),"")</f>
        <v/>
      </c>
      <c r="T56" s="783" t="str">
        <f t="shared" si="1"/>
        <v/>
      </c>
      <c r="U56" s="784" t="str">
        <f>IFERROR(INDEX(V!$R:$R,MATCH(V56,V!$L:$L,0)),"")</f>
        <v/>
      </c>
      <c r="V56" s="783" t="str">
        <f t="shared" si="2"/>
        <v/>
      </c>
      <c r="W56" s="784" t="str">
        <f>IFERROR(INDEX(V!$R:$R,MATCH(X56,V!$L:$L,0)),"")</f>
        <v/>
      </c>
      <c r="X56" s="785" t="str">
        <f t="shared" si="3"/>
        <v/>
      </c>
      <c r="Y56" s="784" t="str">
        <f>IFERROR(INDEX(V!$R:$R,MATCH(Z56,V!$L:$L,0)),"")</f>
        <v/>
      </c>
      <c r="Z56" s="785" t="str">
        <f t="shared" si="4"/>
        <v/>
      </c>
      <c r="AA56" s="760"/>
    </row>
    <row r="57" spans="1:27" hidden="1" x14ac:dyDescent="0.2">
      <c r="A57" s="765">
        <v>2</v>
      </c>
      <c r="B57" s="775"/>
      <c r="C57" s="778"/>
      <c r="D57" s="776"/>
      <c r="E57" s="778"/>
      <c r="F57" s="778"/>
      <c r="G57" s="778"/>
      <c r="H57" s="796" t="str">
        <f>(IF(C57-D56&gt;0,1)+IF(E57-D58&gt;0,1)+IF(F57-D59&gt;0,1)+IF(G57-D60&gt;0,1))&amp;"-"&amp;(IF(C57-D56&lt;0,1)+IF(E57-D58&lt;0,1)+IF(F57-D59&lt;0,1)+IF(G57-D60&lt;0,1))</f>
        <v>0-0</v>
      </c>
      <c r="I57" s="778" t="str">
        <f>IF(AND(B57&lt;&gt;"",M$56=TRUE),A$56&amp;RANK(M57,M$57:M$61,0),"")</f>
        <v/>
      </c>
      <c r="J57" s="821">
        <f t="shared" ref="J57:J60" si="20">VALUE(LEFT(H57,1))</f>
        <v>0</v>
      </c>
      <c r="K57" s="825">
        <f>IF(AND(J57=1,J56=1,C57&gt;D56),1)+IF(AND(J57=1,J58=1,E57&gt;D58),1)+IF(AND(J57=1,J59=1,F57&gt;D59),1)+IF(AND(J57=1,J60=1,G57&gt;D60),1)+IF(AND(J57=2,J56=2,C57&gt;D56),1)+IF(AND(J57=2,J58=2,E57&gt;D58),1)+IF(AND(J57=2,J59=2,F57&gt;D59),1)+IF(AND(J57=2,J60=2,G57&gt;D60),1)+IF(AND(J57=3,J56=3,C57&gt;D56),1)+IF(AND(J57=3,J58=3,E57&gt;D58),1)+IF(AND(J57=3,J59=3,F57&gt;D59),1)+IF(AND(J57=3,J60=3,G57&gt;D60),1)</f>
        <v>0</v>
      </c>
      <c r="L57" s="823">
        <f>IF(AND(J57=1,J56=1),C57-D56)+IF(AND(J57=1,J58=1),E57-D58)+IF(AND(J57=1,J59=1),F57-D59)+IF(AND(J57=1,J60=1),G57-D60)+IF(AND(J57=2,J56=2),C57-D56)+IF(AND(J57=2,J58=2),E57-D58)+IF(AND(J57=2,J59=2),F57-D59)+IF(AND(J57=2,J60=2),G57-D60)+IF(AND(J57=3,J56=3),C57-D56)+IF(AND(J57=3,J58=3),E57-D58)+IF(AND(J57=3,J59=3),F57-D59)+IF(AND(J57=3,J60=3),G57-D60)</f>
        <v>0</v>
      </c>
      <c r="M57" s="824">
        <f t="shared" ref="M57:M60" si="21">10000*J57+K57*100+L57</f>
        <v>0</v>
      </c>
      <c r="O57" s="212"/>
      <c r="P57" s="212"/>
      <c r="Q57" s="212"/>
      <c r="R57" s="764">
        <f t="shared" si="15"/>
        <v>0</v>
      </c>
      <c r="S57" s="784" t="str">
        <f>IFERROR(INDEX(V!$R:$R,MATCH(T57,V!$L:$L,0)),"")</f>
        <v/>
      </c>
      <c r="T57" s="783" t="str">
        <f t="shared" si="1"/>
        <v/>
      </c>
      <c r="U57" s="784" t="str">
        <f>IFERROR(INDEX(V!$R:$R,MATCH(V57,V!$L:$L,0)),"")</f>
        <v/>
      </c>
      <c r="V57" s="783" t="str">
        <f t="shared" si="2"/>
        <v/>
      </c>
      <c r="W57" s="784" t="str">
        <f>IFERROR(INDEX(V!$R:$R,MATCH(X57,V!$L:$L,0)),"")</f>
        <v/>
      </c>
      <c r="X57" s="785" t="str">
        <f t="shared" si="3"/>
        <v/>
      </c>
      <c r="Y57" s="784" t="str">
        <f>IFERROR(INDEX(V!$R:$R,MATCH(Z57,V!$L:$L,0)),"")</f>
        <v/>
      </c>
      <c r="Z57" s="785" t="str">
        <f t="shared" si="4"/>
        <v/>
      </c>
      <c r="AA57" s="760"/>
    </row>
    <row r="58" spans="1:27" hidden="1" x14ac:dyDescent="0.2">
      <c r="A58" s="765">
        <v>3</v>
      </c>
      <c r="B58" s="775"/>
      <c r="C58" s="778"/>
      <c r="D58" s="787"/>
      <c r="E58" s="776"/>
      <c r="F58" s="778"/>
      <c r="G58" s="778"/>
      <c r="H58" s="796" t="str">
        <f>(IF(C58-E56&gt;0,1)+IF(D58-E57&gt;0,1)+IF(F58-E59&gt;0,1)+IF(G58-E60&gt;0,1))&amp;"-"&amp;(IF(C58-E56&lt;0,1)+IF(D58-E57&lt;0,1)+IF(F58-E59&lt;0,1)+IF(G58-E60&lt;0,1))</f>
        <v>0-0</v>
      </c>
      <c r="I58" s="778" t="str">
        <f>IF(AND(B58&lt;&gt;"",M$56=TRUE),A$56&amp;RANK(M58,M$57:M$61,0),"")</f>
        <v/>
      </c>
      <c r="J58" s="821">
        <f t="shared" si="20"/>
        <v>0</v>
      </c>
      <c r="K58" s="825">
        <f>IF(AND(J58=1,J56=1,C58&gt;E56),1)+IF(AND(J58=1,J57=1,D58&gt;E57),1)+IF(AND(J58=1,J59=1,F58&gt;E59),1)+IF(AND(J58=1,J60=1,G58&gt;E60),1)+IF(AND(J58=2,J56=2,C58&gt;E56),1)+IF(AND(J58=2,J57=2,D58&gt;E57),1)+IF(AND(J58=2,J59=2,F58&gt;E59),1)+IF(AND(J58=2,J60=2,G58&gt;E60),1)+IF(AND(J58=3,J56=3,C58&gt;E56),1)+IF(AND(J58=3,J57=3,D58&gt;E57),1)+IF(AND(J58=3,J59=3,F58&gt;E59),1)+IF(AND(J58=3,J60=3,G58&gt;E60),1)</f>
        <v>0</v>
      </c>
      <c r="L58" s="823">
        <f>IF(AND(J58=1,J56=1),C58-E56)+IF(AND(J58=1,J57=1),D58-E57)+IF(AND(J58=1,J59=1),F58-E59)+IF(AND(J58=1,J60=1),G58-E60)+IF(AND(J58=2,J56=2),C58-E56)+IF(AND(J58=2,J57=2),D58-E57)+IF(AND(J58=2,J59=2),F58-E59)+IF(AND(J58=2,J60=2),G58-E60)+IF(AND(J58=3,J56=3),C58-E56)+IF(AND(J58=3,J57=3),D58-E57)+IF(AND(J58=3,J59=3),F58-E59)+IF(AND(J58=3,J60=3),G58-E60)</f>
        <v>0</v>
      </c>
      <c r="M58" s="824">
        <f t="shared" si="21"/>
        <v>0</v>
      </c>
      <c r="O58" s="212"/>
      <c r="P58" s="212"/>
      <c r="Q58" s="212"/>
      <c r="R58" s="764">
        <f t="shared" si="15"/>
        <v>0</v>
      </c>
      <c r="S58" s="784" t="str">
        <f>IFERROR(INDEX(V!$R:$R,MATCH(T58,V!$L:$L,0)),"")</f>
        <v/>
      </c>
      <c r="T58" s="783" t="str">
        <f t="shared" si="1"/>
        <v/>
      </c>
      <c r="U58" s="784" t="str">
        <f>IFERROR(INDEX(V!$R:$R,MATCH(V58,V!$L:$L,0)),"")</f>
        <v/>
      </c>
      <c r="V58" s="783" t="str">
        <f t="shared" si="2"/>
        <v/>
      </c>
      <c r="W58" s="784" t="str">
        <f>IFERROR(INDEX(V!$R:$R,MATCH(X58,V!$L:$L,0)),"")</f>
        <v/>
      </c>
      <c r="X58" s="785" t="str">
        <f t="shared" si="3"/>
        <v/>
      </c>
      <c r="Y58" s="784" t="str">
        <f>IFERROR(INDEX(V!$R:$R,MATCH(Z58,V!$L:$L,0)),"")</f>
        <v/>
      </c>
      <c r="Z58" s="785" t="str">
        <f t="shared" si="4"/>
        <v/>
      </c>
      <c r="AA58" s="760"/>
    </row>
    <row r="59" spans="1:27" hidden="1" x14ac:dyDescent="0.2">
      <c r="A59" s="765">
        <v>4</v>
      </c>
      <c r="B59" s="792"/>
      <c r="C59" s="778"/>
      <c r="D59" s="787"/>
      <c r="E59" s="778"/>
      <c r="F59" s="776"/>
      <c r="G59" s="779"/>
      <c r="H59" s="796" t="str">
        <f>(IF(C59-F56&gt;0,1)+IF(D59-F57&gt;0,1)+IF(E59-F58&gt;0,1)+IF(G59-F60&gt;0,1))&amp;"-"&amp;(IF(C59-F56&lt;0,1)+IF(D59-F57&lt;0,1)+IF(E59-F58&lt;0,1)+IF(G59-F60&lt;0,1))</f>
        <v>0-0</v>
      </c>
      <c r="I59" s="778" t="str">
        <f>IF(AND(B59&lt;&gt;"",M$56=TRUE),A$56&amp;RANK(M59,M$57:M$61,0),"")</f>
        <v/>
      </c>
      <c r="J59" s="821">
        <f t="shared" si="20"/>
        <v>0</v>
      </c>
      <c r="K59" s="825">
        <f>IF(AND(J59=1,J56=1,C59&gt;F56),1)+IF(AND(J59=1,J57=1,D59&gt;F57),1)+IF(AND(J59=1,J58=1,E59&gt;F58),1)+IF(AND(J59=1,J60=1,G59&gt;F60),1)+IF(AND(J59=2,J56=2,C59&gt;F56),1)+IF(AND(J59=2,J57=2,D59&gt;F57),1)+IF(AND(J59=2,J58=2,E59&gt;F58),1)+IF(AND(J59=2,J60=2,G59&gt;F60),1)+IF(AND(J59=3,J56=3,C59&gt;F56),1)+IF(AND(J59=3,J57=3,D59&gt;F57),1)+IF(AND(J59=3,J58=3,E59&gt;F58),1)+IF(AND(J59=3,J60=3,G59&gt;F60),1)</f>
        <v>0</v>
      </c>
      <c r="L59" s="823">
        <f>IF(AND(J59=1,J56=1),C59-F56)+IF(AND(J59=1,J57=1),D59-F57)+IF(AND(J59=1,J58=1),E59-F58)+IF(AND(J59=1,J60=1),G59-F60)+IF(AND(J59=2,J56=2),C59-F56)+IF(AND(J59=2,J57=2),D59-F57)+IF(AND(J59=2,J58=2),E59-F58)+IF(AND(J59=2,J60=2),G59-F60)+IF(AND(J59=3,J56=3),C59-F56)+IF(AND(J59=3,J57=3),D59-F57)+IF(AND(J59=3,J58=3),E59-F58)+IF(AND(J59=3,J60=3),G59-F60)</f>
        <v>0</v>
      </c>
      <c r="M59" s="824">
        <f t="shared" si="21"/>
        <v>0</v>
      </c>
      <c r="O59" s="212"/>
      <c r="P59" s="212"/>
      <c r="Q59" s="212"/>
      <c r="R59" s="764">
        <f t="shared" si="15"/>
        <v>0</v>
      </c>
      <c r="S59" s="784" t="str">
        <f>IFERROR(INDEX(V!$R:$R,MATCH(T59,V!$L:$L,0)),"")</f>
        <v/>
      </c>
      <c r="T59" s="783" t="str">
        <f t="shared" si="1"/>
        <v/>
      </c>
      <c r="U59" s="784" t="str">
        <f>IFERROR(INDEX(V!$R:$R,MATCH(V59,V!$L:$L,0)),"")</f>
        <v/>
      </c>
      <c r="V59" s="783" t="str">
        <f t="shared" si="2"/>
        <v/>
      </c>
      <c r="W59" s="784" t="str">
        <f>IFERROR(INDEX(V!$R:$R,MATCH(X59,V!$L:$L,0)),"")</f>
        <v/>
      </c>
      <c r="X59" s="785" t="str">
        <f t="shared" si="3"/>
        <v/>
      </c>
      <c r="Y59" s="784" t="str">
        <f>IFERROR(INDEX(V!$R:$R,MATCH(Z59,V!$L:$L,0)),"")</f>
        <v/>
      </c>
      <c r="Z59" s="785" t="str">
        <f t="shared" si="4"/>
        <v/>
      </c>
      <c r="AA59" s="760"/>
    </row>
    <row r="60" spans="1:27" hidden="1" x14ac:dyDescent="0.2">
      <c r="A60" s="765">
        <v>5</v>
      </c>
      <c r="B60" s="792"/>
      <c r="C60" s="778"/>
      <c r="D60" s="778"/>
      <c r="E60" s="778"/>
      <c r="F60" s="778"/>
      <c r="G60" s="776"/>
      <c r="H60" s="796" t="str">
        <f>(IF(C60-G56&gt;0,1)+IF(D60-G57&gt;0,1)+IF(E60-G58&gt;0,1)+IF(F60-G59&gt;0,1))&amp;"-"&amp;(IF(C60-G56&lt;0,1)+IF(D60-G57&lt;0,1)+IF(E60-G58&lt;0,1)+IF(F60-G59&lt;0,1))</f>
        <v>0-0</v>
      </c>
      <c r="I60" s="778" t="str">
        <f>IF(AND(B60&lt;&gt;"",M$56=TRUE),A$56&amp;RANK(M60,M$57:M$61,0),"")</f>
        <v/>
      </c>
      <c r="J60" s="821">
        <f t="shared" si="20"/>
        <v>0</v>
      </c>
      <c r="K60" s="825">
        <f>IF(AND(J60=1,J56=1,C60&gt;G56),1)+IF(AND(J60=1,J57=1,D60&gt;G57),1)+IF(AND(J60=1,J58=1,E60&gt;G58),1)+IF(AND(J60=1,J59=1,F60&gt;G59),1)+IF(AND(J60=2,J56=2,C60&gt;G56),1)+IF(AND(J60=2,J57=2,D60&gt;G57),1)+IF(AND(J60=2,J58=2,E60&gt;G58),1)+IF(AND(J60=2,J59=2,F60&gt;G59),1)+IF(AND(J60=3,J56=3,C60&gt;G56),1)+IF(AND(J60=3,J57=3,D60&gt;G57),1)+IF(AND(J60=3,J58=3,E60&gt;G58),1)+IF(AND(J60=3,J59=3,F60&gt;G59),1)</f>
        <v>0</v>
      </c>
      <c r="L60" s="823">
        <f>IF(AND(J60=1,J56=1),C60-G56)+IF(AND(J60=1,J57=1),D60-G57)+IF(AND(J60=1,J58=1),E60-G58)+IF(AND(J60=1,J59=1),F60-G59)+IF(AND(J60=2,J56=2),C60-G56)+IF(AND(J60=2,J57=2),D60-G57)+IF(AND(J60=2,J58=2),E60-G58)+IF(AND(J60=2,J59=2),F60-G59)+IF(AND(J60=3,J56=3),C60-G56)+IF(AND(J60=3,J57=3),D60-G57)+IF(AND(J60=3,J58=3),E60-G58)+IF(AND(J60=3,J59=3),F60-G59)</f>
        <v>0</v>
      </c>
      <c r="M60" s="824">
        <f t="shared" si="21"/>
        <v>0</v>
      </c>
      <c r="O60" s="212"/>
      <c r="P60" s="212"/>
      <c r="Q60" s="212"/>
      <c r="R60" s="764">
        <f t="shared" si="15"/>
        <v>0</v>
      </c>
      <c r="S60" s="784" t="str">
        <f>IFERROR(INDEX(V!$R:$R,MATCH(T60,V!$L:$L,0)),"")</f>
        <v/>
      </c>
      <c r="T60" s="783" t="str">
        <f t="shared" si="1"/>
        <v/>
      </c>
      <c r="U60" s="784" t="str">
        <f>IFERROR(INDEX(V!$R:$R,MATCH(V60,V!$L:$L,0)),"")</f>
        <v/>
      </c>
      <c r="V60" s="783" t="str">
        <f t="shared" si="2"/>
        <v/>
      </c>
      <c r="W60" s="784" t="str">
        <f>IFERROR(INDEX(V!$R:$R,MATCH(X60,V!$L:$L,0)),"")</f>
        <v/>
      </c>
      <c r="X60" s="785" t="str">
        <f t="shared" si="3"/>
        <v/>
      </c>
      <c r="Y60" s="784" t="str">
        <f>IFERROR(INDEX(V!$R:$R,MATCH(Z60,V!$L:$L,0)),"")</f>
        <v/>
      </c>
      <c r="Z60" s="785" t="str">
        <f t="shared" si="4"/>
        <v/>
      </c>
      <c r="AA60" s="760"/>
    </row>
    <row r="61" spans="1:27" hidden="1" x14ac:dyDescent="0.2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O61" s="755"/>
      <c r="P61" s="755"/>
      <c r="Q61" s="755"/>
      <c r="R61" s="760"/>
      <c r="S61" s="760"/>
      <c r="T61" s="760"/>
      <c r="U61" s="760"/>
      <c r="V61" s="760"/>
      <c r="W61" s="760"/>
      <c r="X61" s="760"/>
      <c r="Y61" s="760"/>
      <c r="Z61" s="760"/>
      <c r="AA61" s="760"/>
    </row>
    <row r="62" spans="1:27" hidden="1" x14ac:dyDescent="0.2">
      <c r="A62" s="755"/>
      <c r="B62" s="799" t="s">
        <v>373</v>
      </c>
      <c r="C62" s="800" t="s">
        <v>377</v>
      </c>
      <c r="D62" s="800"/>
      <c r="E62" s="755"/>
      <c r="F62" s="755"/>
      <c r="G62" s="755"/>
      <c r="H62" s="755"/>
      <c r="I62" s="755"/>
      <c r="J62" s="755"/>
      <c r="K62" s="755"/>
      <c r="L62" s="755"/>
      <c r="M62" s="755"/>
      <c r="O62" s="755"/>
      <c r="P62" s="755"/>
      <c r="Q62" s="755"/>
      <c r="R62" s="760"/>
      <c r="S62" s="760"/>
      <c r="T62" s="760"/>
      <c r="U62" s="760"/>
      <c r="V62" s="760"/>
      <c r="W62" s="760"/>
      <c r="X62" s="760"/>
      <c r="Y62" s="760"/>
      <c r="Z62" s="760"/>
      <c r="AA62" s="760"/>
    </row>
    <row r="63" spans="1:27" hidden="1" x14ac:dyDescent="0.2">
      <c r="A63" s="755"/>
      <c r="B63" s="799" t="s">
        <v>376</v>
      </c>
      <c r="C63" s="800" t="s">
        <v>386</v>
      </c>
      <c r="D63" s="212"/>
      <c r="E63" s="755"/>
      <c r="F63" s="755"/>
      <c r="G63" s="755"/>
      <c r="H63" s="755"/>
      <c r="I63" s="755"/>
      <c r="J63" s="755"/>
      <c r="K63" s="755"/>
      <c r="L63" s="755"/>
      <c r="M63" s="755"/>
      <c r="O63" s="755"/>
      <c r="P63" s="755"/>
      <c r="Q63" s="755"/>
      <c r="R63" s="760"/>
      <c r="S63" s="760"/>
      <c r="T63" s="760"/>
      <c r="U63" s="760"/>
      <c r="V63" s="760"/>
      <c r="W63" s="760"/>
      <c r="X63" s="760"/>
      <c r="Y63" s="760"/>
      <c r="Z63" s="760"/>
      <c r="AA63" s="760"/>
    </row>
    <row r="64" spans="1:27" hidden="1" x14ac:dyDescent="0.2">
      <c r="A64" s="755"/>
      <c r="B64" s="799" t="s">
        <v>379</v>
      </c>
      <c r="C64" s="800" t="s">
        <v>408</v>
      </c>
      <c r="D64" s="212"/>
      <c r="E64" s="755"/>
      <c r="F64" s="755"/>
      <c r="G64" s="755"/>
      <c r="H64" s="755"/>
      <c r="I64" s="755"/>
      <c r="J64" s="755"/>
      <c r="K64" s="755"/>
      <c r="L64" s="755"/>
      <c r="M64" s="755"/>
      <c r="O64" s="755"/>
      <c r="P64" s="755"/>
      <c r="Q64" s="755"/>
      <c r="R64" s="760"/>
      <c r="S64" s="760"/>
      <c r="T64" s="760"/>
      <c r="U64" s="760"/>
      <c r="V64" s="760"/>
      <c r="W64" s="760"/>
      <c r="X64" s="760"/>
      <c r="Y64" s="760"/>
      <c r="Z64" s="760"/>
      <c r="AA64" s="760"/>
    </row>
    <row r="65" spans="1:27" x14ac:dyDescent="0.2">
      <c r="A65" s="755"/>
      <c r="B65" s="212"/>
      <c r="C65" s="212"/>
      <c r="D65" s="212"/>
      <c r="E65" s="755"/>
      <c r="F65" s="755"/>
      <c r="G65" s="755"/>
      <c r="H65" s="755"/>
      <c r="I65" s="755"/>
      <c r="J65" s="755"/>
      <c r="K65" s="755"/>
      <c r="L65" s="755"/>
      <c r="M65" s="755"/>
      <c r="O65" s="755"/>
      <c r="P65" s="755"/>
      <c r="Q65" s="755"/>
      <c r="R65" s="755"/>
      <c r="S65" s="760"/>
      <c r="T65" s="760"/>
      <c r="U65" s="760"/>
      <c r="V65" s="760"/>
      <c r="W65" s="760"/>
      <c r="X65" s="760"/>
      <c r="Y65" s="760"/>
      <c r="Z65" s="760"/>
      <c r="AA65" s="760"/>
    </row>
    <row r="66" spans="1:27" x14ac:dyDescent="0.2">
      <c r="A66" s="755"/>
      <c r="B66" s="799" t="s">
        <v>373</v>
      </c>
      <c r="C66" s="800" t="s">
        <v>387</v>
      </c>
      <c r="D66" s="800" t="s">
        <v>386</v>
      </c>
      <c r="E66" s="755"/>
      <c r="F66" s="755"/>
      <c r="G66" s="755"/>
      <c r="H66" s="755"/>
      <c r="I66" s="755"/>
      <c r="J66" s="755"/>
      <c r="K66" s="755"/>
      <c r="L66" s="755"/>
      <c r="M66" s="755"/>
      <c r="O66" s="755"/>
      <c r="P66" s="755"/>
      <c r="Q66" s="755"/>
      <c r="R66" s="755"/>
      <c r="S66" s="760"/>
      <c r="T66" s="760"/>
      <c r="U66" s="760"/>
      <c r="V66" s="760"/>
      <c r="W66" s="760"/>
      <c r="X66" s="760"/>
      <c r="Y66" s="760"/>
      <c r="Z66" s="760"/>
      <c r="AA66" s="760"/>
    </row>
    <row r="67" spans="1:27" x14ac:dyDescent="0.2">
      <c r="A67" s="755"/>
      <c r="B67" s="799" t="s">
        <v>376</v>
      </c>
      <c r="C67" s="800" t="s">
        <v>377</v>
      </c>
      <c r="D67" s="800" t="s">
        <v>375</v>
      </c>
      <c r="E67" s="755"/>
      <c r="F67" s="755"/>
      <c r="G67" s="755"/>
      <c r="H67" s="755"/>
      <c r="I67" s="755"/>
      <c r="J67" s="755"/>
      <c r="K67" s="755"/>
      <c r="L67" s="755"/>
      <c r="M67" s="755"/>
      <c r="O67" s="755"/>
      <c r="P67" s="755"/>
      <c r="Q67" s="755"/>
      <c r="R67" s="755"/>
      <c r="S67" s="760"/>
      <c r="T67" s="760"/>
      <c r="U67" s="760"/>
      <c r="V67" s="760"/>
      <c r="W67" s="760"/>
      <c r="X67" s="760"/>
      <c r="Y67" s="760"/>
      <c r="Z67" s="760"/>
      <c r="AA67" s="760"/>
    </row>
    <row r="68" spans="1:27" x14ac:dyDescent="0.2">
      <c r="A68" s="755"/>
      <c r="B68" s="799" t="s">
        <v>379</v>
      </c>
      <c r="C68" s="800" t="s">
        <v>408</v>
      </c>
      <c r="D68" s="800" t="s">
        <v>381</v>
      </c>
      <c r="E68" s="755"/>
      <c r="F68" s="755"/>
      <c r="G68" s="755"/>
      <c r="H68" s="755"/>
      <c r="I68" s="755"/>
      <c r="J68" s="755"/>
      <c r="K68" s="755"/>
      <c r="L68" s="755"/>
      <c r="M68" s="755"/>
      <c r="O68" s="755"/>
      <c r="P68" s="755"/>
      <c r="Q68" s="755"/>
      <c r="R68" s="755"/>
      <c r="S68" s="760"/>
      <c r="T68" s="760"/>
      <c r="U68" s="760"/>
      <c r="V68" s="760"/>
      <c r="W68" s="760"/>
      <c r="X68" s="760"/>
      <c r="Y68" s="760"/>
      <c r="Z68" s="760"/>
      <c r="AA68" s="760"/>
    </row>
    <row r="69" spans="1:27" hidden="1" x14ac:dyDescent="0.2">
      <c r="A69" s="755"/>
      <c r="B69" s="804"/>
      <c r="C69" s="805"/>
      <c r="D69" s="805"/>
      <c r="E69" s="755"/>
      <c r="F69" s="755"/>
      <c r="G69" s="755"/>
      <c r="H69" s="755"/>
      <c r="I69" s="755"/>
      <c r="J69" s="755"/>
      <c r="K69" s="755"/>
      <c r="L69" s="755"/>
      <c r="M69" s="755"/>
      <c r="O69" s="755"/>
      <c r="P69" s="755"/>
      <c r="Q69" s="755"/>
      <c r="R69" s="755"/>
      <c r="S69" s="760"/>
      <c r="T69" s="760"/>
      <c r="U69" s="760"/>
      <c r="V69" s="760"/>
      <c r="W69" s="760"/>
      <c r="X69" s="760"/>
      <c r="Y69" s="760"/>
      <c r="Z69" s="760"/>
      <c r="AA69" s="760"/>
    </row>
    <row r="70" spans="1:27" hidden="1" x14ac:dyDescent="0.2">
      <c r="A70" s="755"/>
      <c r="B70" s="799" t="s">
        <v>373</v>
      </c>
      <c r="C70" s="800" t="s">
        <v>374</v>
      </c>
      <c r="D70" s="800" t="s">
        <v>375</v>
      </c>
      <c r="E70" s="755"/>
      <c r="F70" s="755"/>
      <c r="G70" s="755"/>
      <c r="H70" s="755"/>
      <c r="I70" s="755"/>
      <c r="J70" s="755"/>
      <c r="K70" s="755"/>
      <c r="L70" s="755"/>
      <c r="M70" s="755"/>
      <c r="O70" s="755"/>
      <c r="P70" s="755"/>
      <c r="Q70" s="755"/>
      <c r="R70" s="755"/>
      <c r="S70" s="760"/>
      <c r="T70" s="760"/>
      <c r="U70" s="760"/>
      <c r="V70" s="760"/>
      <c r="W70" s="760"/>
      <c r="X70" s="760"/>
      <c r="Y70" s="760"/>
      <c r="Z70" s="760"/>
      <c r="AA70" s="760"/>
    </row>
    <row r="71" spans="1:27" hidden="1" x14ac:dyDescent="0.2">
      <c r="A71" s="755"/>
      <c r="B71" s="799" t="s">
        <v>376</v>
      </c>
      <c r="C71" s="800" t="s">
        <v>377</v>
      </c>
      <c r="D71" s="800" t="s">
        <v>378</v>
      </c>
      <c r="E71" s="755"/>
      <c r="F71" s="755"/>
      <c r="G71" s="755"/>
      <c r="H71" s="755"/>
      <c r="I71" s="755"/>
      <c r="J71" s="755"/>
      <c r="K71" s="755"/>
      <c r="L71" s="755"/>
      <c r="M71" s="755"/>
      <c r="O71" s="755"/>
      <c r="P71" s="755"/>
      <c r="Q71" s="755"/>
      <c r="R71" s="755"/>
      <c r="S71" s="760"/>
      <c r="T71" s="760"/>
      <c r="U71" s="760"/>
      <c r="V71" s="760"/>
      <c r="W71" s="760"/>
      <c r="X71" s="760"/>
      <c r="Y71" s="760"/>
      <c r="Z71" s="760"/>
      <c r="AA71" s="760"/>
    </row>
    <row r="72" spans="1:27" hidden="1" x14ac:dyDescent="0.2">
      <c r="A72" s="755"/>
      <c r="B72" s="799" t="s">
        <v>379</v>
      </c>
      <c r="C72" s="800" t="s">
        <v>380</v>
      </c>
      <c r="D72" s="800" t="s">
        <v>381</v>
      </c>
      <c r="E72" s="755"/>
      <c r="F72" s="755"/>
      <c r="G72" s="755"/>
      <c r="H72" s="755"/>
      <c r="I72" s="755"/>
      <c r="J72" s="755"/>
      <c r="K72" s="755"/>
      <c r="L72" s="755"/>
      <c r="M72" s="755"/>
      <c r="O72" s="755"/>
      <c r="P72" s="755"/>
      <c r="Q72" s="755"/>
      <c r="R72" s="755"/>
      <c r="S72" s="760"/>
      <c r="T72" s="760"/>
      <c r="U72" s="760"/>
      <c r="V72" s="760"/>
      <c r="W72" s="760"/>
      <c r="X72" s="760"/>
      <c r="Y72" s="760"/>
      <c r="Z72" s="760"/>
      <c r="AA72" s="760"/>
    </row>
    <row r="73" spans="1:27" hidden="1" x14ac:dyDescent="0.2">
      <c r="A73" s="755"/>
      <c r="B73" s="799" t="s">
        <v>382</v>
      </c>
      <c r="C73" s="800" t="s">
        <v>383</v>
      </c>
      <c r="D73" s="800" t="s">
        <v>384</v>
      </c>
      <c r="E73" s="755"/>
      <c r="F73" s="755"/>
      <c r="G73" s="755"/>
      <c r="H73" s="755"/>
      <c r="I73" s="755"/>
      <c r="J73" s="755"/>
      <c r="K73" s="755"/>
      <c r="L73" s="755"/>
      <c r="M73" s="755"/>
      <c r="O73" s="755"/>
      <c r="P73" s="755"/>
      <c r="Q73" s="755"/>
      <c r="R73" s="755"/>
      <c r="S73" s="760"/>
      <c r="T73" s="760"/>
      <c r="U73" s="760"/>
      <c r="V73" s="760"/>
      <c r="W73" s="760"/>
      <c r="X73" s="760"/>
      <c r="Y73" s="760"/>
      <c r="Z73" s="760"/>
      <c r="AA73" s="760"/>
    </row>
    <row r="74" spans="1:27" hidden="1" x14ac:dyDescent="0.2">
      <c r="A74" s="755"/>
      <c r="B74" s="799" t="s">
        <v>385</v>
      </c>
      <c r="C74" s="800" t="s">
        <v>386</v>
      </c>
      <c r="D74" s="800" t="s">
        <v>387</v>
      </c>
      <c r="E74" s="755"/>
      <c r="F74" s="755"/>
      <c r="G74" s="755"/>
      <c r="H74" s="755"/>
      <c r="I74" s="755"/>
      <c r="J74" s="755"/>
      <c r="K74" s="755"/>
      <c r="L74" s="755"/>
      <c r="M74" s="755"/>
      <c r="O74" s="755"/>
      <c r="P74" s="755"/>
      <c r="Q74" s="755"/>
      <c r="R74" s="755"/>
      <c r="S74" s="760"/>
      <c r="T74" s="760"/>
      <c r="U74" s="760"/>
      <c r="V74" s="760"/>
      <c r="W74" s="760"/>
      <c r="X74" s="760"/>
      <c r="Y74" s="760"/>
      <c r="Z74" s="760"/>
      <c r="AA74" s="760"/>
    </row>
    <row r="75" spans="1:27" hidden="1" x14ac:dyDescent="0.2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</row>
    <row r="76" spans="1:27" hidden="1" x14ac:dyDescent="0.2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</row>
    <row r="77" spans="1:27" hidden="1" x14ac:dyDescent="0.2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</row>
    <row r="78" spans="1:27" hidden="1" x14ac:dyDescent="0.2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</row>
    <row r="79" spans="1:27" hidden="1" x14ac:dyDescent="0.2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</row>
    <row r="80" spans="1:27" hidden="1" x14ac:dyDescent="0.2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</row>
    <row r="81" spans="1:27" hidden="1" x14ac:dyDescent="0.2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60"/>
      <c r="R81" s="760"/>
      <c r="S81" s="760"/>
      <c r="T81" s="760"/>
      <c r="U81" s="760"/>
      <c r="V81" s="760"/>
      <c r="W81" s="760"/>
      <c r="X81" s="760"/>
      <c r="Y81" s="760"/>
      <c r="Z81" s="760"/>
      <c r="AA81" s="760"/>
    </row>
    <row r="82" spans="1:27" hidden="1" x14ac:dyDescent="0.2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</row>
    <row r="83" spans="1:27" hidden="1" x14ac:dyDescent="0.2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60"/>
      <c r="R83" s="760"/>
      <c r="S83" s="760"/>
      <c r="T83" s="760"/>
      <c r="U83" s="760"/>
      <c r="V83" s="760"/>
      <c r="W83" s="760"/>
      <c r="X83" s="760"/>
      <c r="Y83" s="760"/>
      <c r="Z83" s="760"/>
      <c r="AA83" s="760"/>
    </row>
    <row r="84" spans="1:27" hidden="1" x14ac:dyDescent="0.2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60"/>
      <c r="R84" s="760"/>
      <c r="S84" s="760"/>
      <c r="T84" s="760"/>
      <c r="U84" s="760"/>
      <c r="V84" s="760"/>
      <c r="W84" s="760"/>
      <c r="X84" s="760"/>
      <c r="Y84" s="760"/>
      <c r="Z84" s="760"/>
      <c r="AA84" s="760"/>
    </row>
    <row r="85" spans="1:27" hidden="1" x14ac:dyDescent="0.2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60"/>
      <c r="R85" s="760"/>
      <c r="S85" s="760"/>
      <c r="T85" s="760"/>
      <c r="U85" s="760"/>
      <c r="V85" s="760"/>
      <c r="W85" s="760"/>
      <c r="X85" s="760"/>
      <c r="Y85" s="760"/>
      <c r="Z85" s="760"/>
      <c r="AA85" s="760"/>
    </row>
    <row r="86" spans="1:27" hidden="1" x14ac:dyDescent="0.2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60"/>
      <c r="R86" s="760"/>
      <c r="S86" s="760"/>
      <c r="T86" s="760"/>
      <c r="U86" s="760"/>
      <c r="V86" s="760"/>
      <c r="W86" s="760"/>
      <c r="X86" s="760"/>
      <c r="Y86" s="760"/>
      <c r="Z86" s="760"/>
      <c r="AA86" s="760"/>
    </row>
    <row r="87" spans="1:27" hidden="1" x14ac:dyDescent="0.2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</row>
    <row r="88" spans="1:27" hidden="1" x14ac:dyDescent="0.2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60"/>
      <c r="R88" s="760"/>
      <c r="S88" s="760"/>
      <c r="T88" s="760"/>
      <c r="U88" s="760"/>
      <c r="V88" s="760"/>
      <c r="W88" s="760"/>
      <c r="X88" s="760"/>
      <c r="Y88" s="760"/>
      <c r="Z88" s="760"/>
      <c r="AA88" s="760"/>
    </row>
    <row r="89" spans="1:27" hidden="1" x14ac:dyDescent="0.2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</row>
    <row r="90" spans="1:27" hidden="1" x14ac:dyDescent="0.2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60"/>
      <c r="R90" s="760"/>
      <c r="S90" s="760"/>
      <c r="T90" s="760"/>
      <c r="U90" s="760"/>
      <c r="V90" s="760"/>
      <c r="W90" s="760"/>
      <c r="X90" s="760"/>
      <c r="Y90" s="760"/>
      <c r="Z90" s="760"/>
      <c r="AA90" s="760"/>
    </row>
    <row r="91" spans="1:27" hidden="1" x14ac:dyDescent="0.2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</row>
    <row r="92" spans="1:27" hidden="1" x14ac:dyDescent="0.2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60"/>
      <c r="R92" s="760"/>
      <c r="S92" s="760"/>
      <c r="T92" s="760"/>
      <c r="U92" s="760"/>
      <c r="V92" s="760"/>
      <c r="W92" s="760"/>
      <c r="X92" s="760"/>
      <c r="Y92" s="760"/>
      <c r="Z92" s="760"/>
      <c r="AA92" s="760"/>
    </row>
    <row r="93" spans="1:27" hidden="1" x14ac:dyDescent="0.2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60"/>
      <c r="R93" s="760"/>
      <c r="S93" s="760"/>
      <c r="T93" s="760"/>
      <c r="U93" s="760"/>
      <c r="V93" s="760"/>
      <c r="W93" s="760"/>
      <c r="X93" s="760"/>
      <c r="Y93" s="760"/>
      <c r="Z93" s="760"/>
      <c r="AA93" s="760"/>
    </row>
    <row r="94" spans="1:27" hidden="1" x14ac:dyDescent="0.2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60"/>
      <c r="R94" s="760"/>
      <c r="S94" s="760"/>
      <c r="T94" s="760"/>
      <c r="U94" s="760"/>
      <c r="V94" s="760"/>
      <c r="W94" s="760"/>
      <c r="X94" s="760"/>
      <c r="Y94" s="760"/>
      <c r="Z94" s="760"/>
      <c r="AA94" s="760"/>
    </row>
    <row r="95" spans="1:27" hidden="1" x14ac:dyDescent="0.2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802"/>
      <c r="Q95" s="760"/>
      <c r="R95" s="760"/>
      <c r="S95" s="760"/>
      <c r="T95" s="760"/>
      <c r="U95" s="760"/>
      <c r="V95" s="760"/>
      <c r="W95" s="760"/>
      <c r="X95" s="760"/>
      <c r="Y95" s="760"/>
      <c r="Z95" s="760"/>
      <c r="AA95" s="760"/>
    </row>
    <row r="96" spans="1:27" hidden="1" x14ac:dyDescent="0.2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60"/>
      <c r="Q96" s="760"/>
      <c r="R96" s="760"/>
      <c r="S96" s="760"/>
      <c r="T96" s="760"/>
      <c r="U96" s="760"/>
      <c r="V96" s="760"/>
      <c r="W96" s="760"/>
      <c r="X96" s="760"/>
      <c r="Y96" s="760"/>
      <c r="Z96" s="760"/>
      <c r="AA96" s="760"/>
    </row>
    <row r="97" spans="1:27" hidden="1" x14ac:dyDescent="0.2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</row>
    <row r="98" spans="1:27" hidden="1" x14ac:dyDescent="0.2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60"/>
      <c r="Q98" s="760"/>
      <c r="R98" s="760"/>
      <c r="S98" s="760"/>
      <c r="T98" s="760"/>
      <c r="U98" s="760"/>
      <c r="V98" s="760"/>
      <c r="W98" s="760"/>
      <c r="X98" s="760"/>
      <c r="Y98" s="760"/>
      <c r="Z98" s="760"/>
      <c r="AA98" s="760"/>
    </row>
    <row r="99" spans="1:27" x14ac:dyDescent="0.2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</row>
    <row r="100" spans="1:27" x14ac:dyDescent="0.2">
      <c r="A100" s="806" t="s">
        <v>409</v>
      </c>
      <c r="B100" s="807"/>
      <c r="C100" s="808"/>
      <c r="D100" s="808"/>
      <c r="E100" s="808"/>
      <c r="F100" s="805"/>
      <c r="G100" s="800"/>
      <c r="H100" s="755"/>
      <c r="I100" s="755"/>
      <c r="J100" s="755"/>
      <c r="K100" s="755"/>
      <c r="L100" s="755"/>
      <c r="M100" s="755"/>
      <c r="N100" s="755"/>
      <c r="O100" s="755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</row>
    <row r="101" spans="1:27" x14ac:dyDescent="0.2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60"/>
      <c r="Q101" s="760"/>
      <c r="R101" s="760"/>
      <c r="S101" s="760"/>
      <c r="T101" s="760"/>
      <c r="U101" s="760"/>
      <c r="V101" s="760"/>
      <c r="W101" s="760"/>
      <c r="X101" s="760"/>
      <c r="Y101" s="760"/>
      <c r="Z101" s="760"/>
      <c r="AA101" s="760"/>
    </row>
    <row r="102" spans="1:27" x14ac:dyDescent="0.2">
      <c r="A102" s="849" t="s">
        <v>410</v>
      </c>
      <c r="B102" s="850" t="str">
        <f>IF(A102="-","-",IFERROR(INDEX(B$1:B$100,MATCH(A102,I$1:I$100,0)),""))</f>
        <v>Meelis Luud, Urmas Jõeäär</v>
      </c>
      <c r="C102" s="851">
        <v>13</v>
      </c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60"/>
      <c r="Q102" s="760"/>
      <c r="R102" s="760"/>
      <c r="S102" s="760"/>
      <c r="T102" s="760"/>
      <c r="U102" s="760"/>
      <c r="V102" s="760"/>
      <c r="W102" s="760"/>
      <c r="X102" s="760"/>
      <c r="Y102" s="760"/>
      <c r="Z102" s="760"/>
      <c r="AA102" s="760"/>
    </row>
    <row r="103" spans="1:27" x14ac:dyDescent="0.2">
      <c r="A103" s="852"/>
      <c r="B103" s="853"/>
      <c r="C103" s="854" t="str">
        <f>IF(COUNT(C102,C104)=2,IF(C102&gt;C104,B102,B104),"")</f>
        <v>Meelis Luud, Urmas Jõeäär</v>
      </c>
      <c r="D103" s="755"/>
      <c r="E103" s="851">
        <v>13</v>
      </c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</row>
    <row r="104" spans="1:27" x14ac:dyDescent="0.2">
      <c r="A104" s="852" t="s">
        <v>411</v>
      </c>
      <c r="B104" s="855" t="str">
        <f>IF(A104="-","-",IFERROR(INDEX(B$1:B$100,MATCH(A104,I$1:I$100,0)),""))</f>
        <v>Jaan Sepp, Oskar Sepp</v>
      </c>
      <c r="C104" s="856">
        <v>10</v>
      </c>
      <c r="D104" s="857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760"/>
      <c r="AA104" s="760"/>
    </row>
    <row r="105" spans="1:27" x14ac:dyDescent="0.2">
      <c r="A105" s="852"/>
      <c r="B105" s="818"/>
      <c r="C105" s="755"/>
      <c r="D105" s="858"/>
      <c r="E105" s="854" t="str">
        <f>IF(COUNT(E103,E107)=2,IF(E103&gt;E107,C103,C107),"")</f>
        <v>Meelis Luud, Urmas Jõeäär</v>
      </c>
      <c r="F105" s="755"/>
      <c r="G105" s="851">
        <v>13</v>
      </c>
      <c r="H105" s="755"/>
      <c r="I105" s="755"/>
      <c r="J105" s="755"/>
      <c r="K105" s="755"/>
      <c r="L105" s="755"/>
      <c r="M105" s="755"/>
      <c r="N105" s="755"/>
      <c r="O105" s="755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</row>
    <row r="106" spans="1:27" x14ac:dyDescent="0.2">
      <c r="A106" s="852" t="s">
        <v>412</v>
      </c>
      <c r="B106" s="850" t="str">
        <f>IF(A106="-","-",IFERROR(INDEX(B$1:B$100,MATCH(A106,I$1:I$100,0)),""))</f>
        <v>Janek Tarto, Johannes Neiland</v>
      </c>
      <c r="C106" s="851">
        <v>8</v>
      </c>
      <c r="D106" s="858"/>
      <c r="E106" s="859"/>
      <c r="F106" s="857"/>
      <c r="G106" s="755"/>
      <c r="H106" s="755"/>
      <c r="I106" s="755"/>
      <c r="J106" s="755"/>
      <c r="K106" s="755"/>
      <c r="L106" s="755"/>
      <c r="M106" s="755"/>
      <c r="N106" s="755"/>
      <c r="O106" s="755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</row>
    <row r="107" spans="1:27" x14ac:dyDescent="0.2">
      <c r="A107" s="852"/>
      <c r="B107" s="853"/>
      <c r="C107" s="854" t="str">
        <f>IF(COUNT(C106,C108)=2,IF(C106&gt;C108,B106,B108),"")</f>
        <v>Oleg Rõndenkov, Toomas Tedrekull</v>
      </c>
      <c r="D107" s="860"/>
      <c r="E107" s="851">
        <v>6</v>
      </c>
      <c r="F107" s="858"/>
      <c r="G107" s="755"/>
      <c r="H107" s="755"/>
      <c r="I107" s="755"/>
      <c r="J107" s="755"/>
      <c r="K107" s="755"/>
      <c r="L107" s="755"/>
      <c r="M107" s="755"/>
      <c r="N107" s="755"/>
      <c r="O107" s="755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</row>
    <row r="108" spans="1:27" x14ac:dyDescent="0.2">
      <c r="A108" s="852" t="s">
        <v>413</v>
      </c>
      <c r="B108" s="855" t="str">
        <f>IF(A108="-","-",IFERROR(INDEX(B$1:B$100,MATCH(A108,I$1:I$100,0)),""))</f>
        <v>Oleg Rõndenkov, Toomas Tedrekull</v>
      </c>
      <c r="C108" s="856">
        <v>13</v>
      </c>
      <c r="D108" s="755"/>
      <c r="E108" s="807"/>
      <c r="F108" s="858"/>
      <c r="G108" s="755"/>
      <c r="H108" s="755"/>
      <c r="I108" s="755"/>
      <c r="J108" s="755"/>
      <c r="K108" s="755"/>
      <c r="L108" s="755"/>
      <c r="M108" s="755"/>
      <c r="N108" s="755"/>
      <c r="O108" s="755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</row>
    <row r="109" spans="1:27" ht="13.5" thickBot="1" x14ac:dyDescent="0.25">
      <c r="A109" s="754"/>
      <c r="B109" s="818"/>
      <c r="C109" s="755"/>
      <c r="D109" s="755"/>
      <c r="E109" s="807"/>
      <c r="F109" s="858"/>
      <c r="G109" s="755"/>
      <c r="H109" s="861" t="str">
        <f>IF(COUNT(G105,G113)=2,IF(G105&gt;G113,E105,E113),"")</f>
        <v>Meelis Luud, Urmas Jõeäär</v>
      </c>
      <c r="I109" s="755"/>
      <c r="J109" s="755"/>
      <c r="K109" s="755"/>
      <c r="L109" s="755"/>
      <c r="M109" s="755"/>
      <c r="N109" s="755"/>
      <c r="O109" s="755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</row>
    <row r="110" spans="1:27" x14ac:dyDescent="0.2">
      <c r="A110" s="849" t="s">
        <v>414</v>
      </c>
      <c r="B110" s="850" t="str">
        <f>IF(A110="-","-",IFERROR(INDEX(B$1:B$100,MATCH(A110,I$1:I$100,0)),""))</f>
        <v>Elmo Lageda, Tõnu Piik</v>
      </c>
      <c r="C110" s="851">
        <v>4</v>
      </c>
      <c r="D110" s="755"/>
      <c r="E110" s="755"/>
      <c r="F110" s="858"/>
      <c r="G110" s="862"/>
      <c r="H110" s="810" t="s">
        <v>389</v>
      </c>
      <c r="I110" s="811"/>
      <c r="J110" s="755"/>
      <c r="K110" s="755"/>
      <c r="L110" s="755"/>
      <c r="M110" s="755"/>
      <c r="N110" s="755"/>
      <c r="O110" s="755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</row>
    <row r="111" spans="1:27" x14ac:dyDescent="0.2">
      <c r="A111" s="852"/>
      <c r="B111" s="853"/>
      <c r="C111" s="854" t="str">
        <f>IF(COUNT(C110,C112)=2,IF(C110&gt;C112,B110,B112),"")</f>
        <v>Mait Metsla, Vladimir Ogneštšikov</v>
      </c>
      <c r="D111" s="755"/>
      <c r="E111" s="851">
        <v>10</v>
      </c>
      <c r="F111" s="858"/>
      <c r="G111" s="807"/>
      <c r="H111" s="755"/>
      <c r="I111" s="755"/>
      <c r="J111" s="755"/>
      <c r="K111" s="755"/>
      <c r="L111" s="755"/>
      <c r="M111" s="755"/>
      <c r="N111" s="755"/>
      <c r="O111" s="755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</row>
    <row r="112" spans="1:27" x14ac:dyDescent="0.2">
      <c r="A112" s="852" t="s">
        <v>415</v>
      </c>
      <c r="B112" s="855" t="str">
        <f>IF(A112="-","-",IFERROR(INDEX(B$1:B$100,MATCH(A112,I$1:I$100,0)),""))</f>
        <v>Mait Metsla, Vladimir Ogneštšikov</v>
      </c>
      <c r="C112" s="856">
        <v>13</v>
      </c>
      <c r="D112" s="857"/>
      <c r="E112" s="755"/>
      <c r="F112" s="858"/>
      <c r="G112" s="807"/>
      <c r="H112" s="755"/>
      <c r="I112" s="755"/>
      <c r="J112" s="755"/>
      <c r="K112" s="755"/>
      <c r="L112" s="755"/>
      <c r="M112" s="755"/>
      <c r="N112" s="755"/>
      <c r="O112" s="755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</row>
    <row r="113" spans="1:27" x14ac:dyDescent="0.2">
      <c r="A113" s="852"/>
      <c r="B113" s="818"/>
      <c r="C113" s="755"/>
      <c r="D113" s="858"/>
      <c r="E113" s="854" t="str">
        <f>IF(COUNT(E111,E115)=2,IF(E111&gt;E115,C111,C115),"")</f>
        <v>Karla Purgats, Lemmit Toomra</v>
      </c>
      <c r="F113" s="860"/>
      <c r="G113" s="851">
        <v>7</v>
      </c>
      <c r="H113" s="755"/>
      <c r="I113" s="755"/>
      <c r="J113" s="755"/>
      <c r="K113" s="755"/>
      <c r="L113" s="755"/>
      <c r="M113" s="755"/>
      <c r="N113" s="755"/>
      <c r="O113" s="755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</row>
    <row r="114" spans="1:27" ht="13.5" thickBot="1" x14ac:dyDescent="0.25">
      <c r="A114" s="852" t="s">
        <v>417</v>
      </c>
      <c r="B114" s="850" t="str">
        <f>IF(A114="-","-",IFERROR(INDEX(B$1:B$100,MATCH(A114,I$1:I$100,0)),""))</f>
        <v>Ivar Viljaste, Sirje Viljaste</v>
      </c>
      <c r="C114" s="851">
        <v>3</v>
      </c>
      <c r="D114" s="858"/>
      <c r="E114" s="859"/>
      <c r="F114" s="807"/>
      <c r="G114" s="807"/>
      <c r="H114" s="861" t="str">
        <f>IF(COUNT(G105,G113)=2,IF(G105&lt;G113,E105,E113),"")</f>
        <v>Karla Purgats, Lemmit Toomra</v>
      </c>
      <c r="I114" s="812"/>
      <c r="J114" s="755"/>
      <c r="K114" s="755"/>
      <c r="L114" s="755"/>
      <c r="M114" s="755"/>
      <c r="N114" s="755"/>
      <c r="O114" s="755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</row>
    <row r="115" spans="1:27" x14ac:dyDescent="0.2">
      <c r="A115" s="852"/>
      <c r="B115" s="853"/>
      <c r="C115" s="854" t="str">
        <f>IF(COUNT(C114,C116)=2,IF(C114&gt;C116,B114,B116),"")</f>
        <v>Karla Purgats, Lemmit Toomra</v>
      </c>
      <c r="D115" s="860"/>
      <c r="E115" s="851">
        <v>13</v>
      </c>
      <c r="F115" s="755"/>
      <c r="G115" s="807"/>
      <c r="H115" s="810" t="s">
        <v>390</v>
      </c>
      <c r="I115" s="807"/>
      <c r="J115" s="755"/>
      <c r="K115" s="755"/>
      <c r="L115" s="755"/>
      <c r="M115" s="755"/>
      <c r="N115" s="755"/>
      <c r="O115" s="755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</row>
    <row r="116" spans="1:27" x14ac:dyDescent="0.2">
      <c r="A116" s="852" t="s">
        <v>416</v>
      </c>
      <c r="B116" s="855" t="str">
        <f>IF(A116="-","-",IFERROR(INDEX(B$1:B$100,MATCH(A116,I$1:I$100,0)),""))</f>
        <v>Karla Purgats, Lemmit Toomra</v>
      </c>
      <c r="C116" s="856">
        <v>13</v>
      </c>
      <c r="D116" s="755"/>
      <c r="E116" s="807"/>
      <c r="F116" s="807"/>
      <c r="G116" s="807"/>
      <c r="H116" s="755"/>
      <c r="I116" s="755"/>
      <c r="J116" s="755"/>
      <c r="K116" s="755"/>
      <c r="L116" s="755"/>
      <c r="M116" s="755"/>
      <c r="N116" s="755"/>
      <c r="O116" s="755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</row>
    <row r="117" spans="1:27" x14ac:dyDescent="0.2">
      <c r="A117" s="754"/>
      <c r="B117" s="818"/>
      <c r="C117" s="755"/>
      <c r="D117" s="755"/>
      <c r="E117" s="804" t="str">
        <f>IF(COUNT(E103,E107)=2,IF(E103&lt;E107,C103,C107),"")</f>
        <v>Oleg Rõndenkov, Toomas Tedrekull</v>
      </c>
      <c r="F117" s="755"/>
      <c r="G117" s="851">
        <v>13</v>
      </c>
      <c r="H117" s="755"/>
      <c r="I117" s="755"/>
      <c r="J117" s="755"/>
      <c r="K117" s="755"/>
      <c r="L117" s="755"/>
      <c r="M117" s="755"/>
      <c r="N117" s="755"/>
      <c r="O117" s="755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</row>
    <row r="118" spans="1:27" ht="13.5" thickBot="1" x14ac:dyDescent="0.25">
      <c r="A118" s="755"/>
      <c r="B118" s="755"/>
      <c r="C118" s="755"/>
      <c r="D118" s="755"/>
      <c r="E118" s="863"/>
      <c r="F118" s="857"/>
      <c r="G118" s="854"/>
      <c r="H118" s="861" t="str">
        <f>IF(COUNT(G117,G119)=2,IF(G117&gt;G119,E117,E119),"")</f>
        <v>Oleg Rõndenkov, Toomas Tedrekull</v>
      </c>
      <c r="I118" s="812"/>
      <c r="J118" s="755"/>
      <c r="K118" s="755"/>
      <c r="L118" s="755"/>
      <c r="M118" s="755"/>
      <c r="N118" s="755"/>
      <c r="O118" s="755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</row>
    <row r="119" spans="1:27" x14ac:dyDescent="0.2">
      <c r="A119" s="755"/>
      <c r="B119" s="755"/>
      <c r="C119" s="755"/>
      <c r="D119" s="755"/>
      <c r="E119" s="865" t="str">
        <f>IF(COUNT(E111,E115)=2,IF(E111&lt;E115,C111,C115),"")</f>
        <v>Mait Metsla, Vladimir Ogneštšikov</v>
      </c>
      <c r="F119" s="860"/>
      <c r="G119" s="856">
        <v>8</v>
      </c>
      <c r="H119" s="827" t="s">
        <v>391</v>
      </c>
      <c r="I119" s="807"/>
      <c r="J119" s="755"/>
      <c r="K119" s="755"/>
      <c r="L119" s="755"/>
      <c r="M119" s="755"/>
      <c r="N119" s="755"/>
      <c r="O119" s="755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</row>
    <row r="120" spans="1:27" x14ac:dyDescent="0.2">
      <c r="A120" s="755"/>
      <c r="B120" s="755"/>
      <c r="C120" s="755"/>
      <c r="D120" s="755"/>
      <c r="E120" s="755"/>
      <c r="F120" s="755"/>
      <c r="G120" s="755"/>
      <c r="H120" s="807"/>
      <c r="I120" s="807"/>
      <c r="J120" s="755"/>
      <c r="K120" s="755"/>
      <c r="L120" s="755"/>
      <c r="M120" s="755"/>
      <c r="N120" s="755"/>
      <c r="O120" s="755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</row>
    <row r="121" spans="1:27" ht="13.5" thickBot="1" x14ac:dyDescent="0.25">
      <c r="A121" s="755"/>
      <c r="B121" s="755"/>
      <c r="C121" s="755"/>
      <c r="D121" s="755"/>
      <c r="E121" s="807"/>
      <c r="F121" s="807"/>
      <c r="G121" s="755"/>
      <c r="H121" s="861" t="str">
        <f>IF(COUNT(G117,G119)=2,IF(G117&lt;G119,E117,E119),"")</f>
        <v>Mait Metsla, Vladimir Ogneštšikov</v>
      </c>
      <c r="I121" s="812"/>
      <c r="J121" s="755"/>
      <c r="K121" s="755"/>
      <c r="L121" s="755"/>
      <c r="M121" s="755"/>
      <c r="N121" s="755"/>
      <c r="O121" s="755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</row>
    <row r="122" spans="1:27" x14ac:dyDescent="0.2">
      <c r="A122" s="755"/>
      <c r="B122" s="755"/>
      <c r="C122" s="755"/>
      <c r="D122" s="755"/>
      <c r="E122" s="755"/>
      <c r="F122" s="755"/>
      <c r="G122" s="755"/>
      <c r="H122" s="754" t="s">
        <v>392</v>
      </c>
      <c r="I122" s="755"/>
      <c r="J122" s="755"/>
      <c r="K122" s="755"/>
      <c r="L122" s="755"/>
      <c r="M122" s="755"/>
      <c r="N122" s="755"/>
      <c r="O122" s="755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</row>
    <row r="123" spans="1:27" x14ac:dyDescent="0.2">
      <c r="A123" s="755"/>
      <c r="B123" s="755"/>
      <c r="C123" s="865" t="str">
        <f>IF(COUNT(C102,C104)=2,IF(C102&lt;C104,B102,B104),"")</f>
        <v>Jaan Sepp, Oskar Sepp</v>
      </c>
      <c r="D123" s="755"/>
      <c r="E123" s="851">
        <v>13</v>
      </c>
      <c r="F123" s="851"/>
      <c r="G123" s="851"/>
      <c r="H123" s="755"/>
      <c r="I123" s="755"/>
      <c r="J123" s="755"/>
      <c r="K123" s="755"/>
      <c r="L123" s="755"/>
      <c r="M123" s="755"/>
      <c r="N123" s="755"/>
      <c r="O123" s="755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</row>
    <row r="124" spans="1:27" x14ac:dyDescent="0.2">
      <c r="A124" s="755"/>
      <c r="B124" s="755"/>
      <c r="C124" s="866"/>
      <c r="D124" s="867"/>
      <c r="E124" s="854" t="str">
        <f>IF(COUNT(E123,E125)=2,IF(E123&gt;E125,C123,C125),"")</f>
        <v>Jaan Sepp, Oskar Sepp</v>
      </c>
      <c r="F124" s="755"/>
      <c r="G124" s="851">
        <v>13</v>
      </c>
      <c r="H124" s="755"/>
      <c r="I124" s="755"/>
      <c r="J124" s="755"/>
      <c r="K124" s="755"/>
      <c r="L124" s="755"/>
      <c r="M124" s="755"/>
      <c r="N124" s="755"/>
      <c r="O124" s="755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</row>
    <row r="125" spans="1:27" x14ac:dyDescent="0.2">
      <c r="A125" s="755"/>
      <c r="B125" s="755"/>
      <c r="C125" s="865" t="str">
        <f>IF(COUNT(C106,C108)=2,IF(C106&lt;C108,B106,B108),"")</f>
        <v>Janek Tarto, Johannes Neiland</v>
      </c>
      <c r="D125" s="868"/>
      <c r="E125" s="856">
        <v>8</v>
      </c>
      <c r="F125" s="867"/>
      <c r="G125" s="851"/>
      <c r="H125" s="755"/>
      <c r="I125" s="755"/>
      <c r="J125" s="755"/>
      <c r="K125" s="755"/>
      <c r="L125" s="755"/>
      <c r="M125" s="755"/>
      <c r="N125" s="755"/>
      <c r="O125" s="755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</row>
    <row r="126" spans="1:27" ht="13.5" thickBot="1" x14ac:dyDescent="0.25">
      <c r="A126" s="755"/>
      <c r="B126" s="755"/>
      <c r="C126" s="851"/>
      <c r="D126" s="851"/>
      <c r="E126" s="869"/>
      <c r="F126" s="870"/>
      <c r="G126" s="851"/>
      <c r="H126" s="861" t="str">
        <f>IF(COUNT(G124,G128)=2,IF(G124&gt;G128,E124,E128),"")</f>
        <v>Jaan Sepp, Oskar Sepp</v>
      </c>
      <c r="I126" s="755"/>
      <c r="J126" s="755"/>
      <c r="K126" s="755"/>
      <c r="L126" s="755"/>
      <c r="M126" s="755"/>
      <c r="N126" s="755"/>
      <c r="O126" s="755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</row>
    <row r="127" spans="1:27" x14ac:dyDescent="0.2">
      <c r="A127" s="755"/>
      <c r="B127" s="755"/>
      <c r="C127" s="865" t="str">
        <f>IF(COUNT(C110,C112)=2,IF(C110&lt;C112,B110,B112),"")</f>
        <v>Elmo Lageda, Tõnu Piik</v>
      </c>
      <c r="D127" s="851"/>
      <c r="E127" s="851">
        <v>7</v>
      </c>
      <c r="F127" s="870"/>
      <c r="G127" s="871"/>
      <c r="H127" s="810" t="s">
        <v>393</v>
      </c>
      <c r="I127" s="811"/>
      <c r="J127" s="755"/>
      <c r="K127" s="755"/>
      <c r="L127" s="755"/>
      <c r="M127" s="755"/>
      <c r="N127" s="755"/>
      <c r="O127" s="755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</row>
    <row r="128" spans="1:27" x14ac:dyDescent="0.2">
      <c r="A128" s="755"/>
      <c r="B128" s="755"/>
      <c r="C128" s="866"/>
      <c r="D128" s="867"/>
      <c r="E128" s="854" t="str">
        <f>IF(COUNT(E127,E129)=2,IF(E127&gt;E129,C127,C129),"")</f>
        <v>Ivar Viljaste, Sirje Viljaste</v>
      </c>
      <c r="F128" s="860"/>
      <c r="G128" s="856">
        <v>8</v>
      </c>
      <c r="H128" s="755"/>
      <c r="I128" s="755"/>
      <c r="J128" s="755"/>
      <c r="K128" s="755"/>
      <c r="L128" s="755"/>
      <c r="M128" s="755"/>
      <c r="N128" s="755"/>
      <c r="O128" s="755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</row>
    <row r="129" spans="1:27" ht="13.5" thickBot="1" x14ac:dyDescent="0.25">
      <c r="A129" s="755"/>
      <c r="B129" s="755"/>
      <c r="C129" s="865" t="str">
        <f>IF(COUNT(C114,C116)=2,IF(C114&lt;C116,B114,B116),"")</f>
        <v>Ivar Viljaste, Sirje Viljaste</v>
      </c>
      <c r="D129" s="868"/>
      <c r="E129" s="856">
        <v>13</v>
      </c>
      <c r="F129" s="851"/>
      <c r="G129" s="869"/>
      <c r="H129" s="861" t="str">
        <f>IF(COUNT(G124,G128)=2,IF(G124&lt;G128,E124,E128),"")</f>
        <v>Ivar Viljaste, Sirje Viljaste</v>
      </c>
      <c r="I129" s="812"/>
      <c r="J129" s="755"/>
      <c r="K129" s="755"/>
      <c r="L129" s="755"/>
      <c r="M129" s="755"/>
      <c r="N129" s="755"/>
      <c r="O129" s="755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</row>
    <row r="130" spans="1:27" x14ac:dyDescent="0.2">
      <c r="A130" s="755"/>
      <c r="B130" s="755"/>
      <c r="C130" s="851"/>
      <c r="D130" s="851"/>
      <c r="E130" s="851"/>
      <c r="F130" s="851"/>
      <c r="G130" s="869"/>
      <c r="H130" s="810" t="s">
        <v>394</v>
      </c>
      <c r="I130" s="807"/>
      <c r="J130" s="755"/>
      <c r="K130" s="755"/>
      <c r="L130" s="755"/>
      <c r="M130" s="755"/>
      <c r="N130" s="755"/>
      <c r="O130" s="755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</row>
    <row r="131" spans="1:27" x14ac:dyDescent="0.2">
      <c r="A131" s="755"/>
      <c r="B131" s="755"/>
      <c r="C131" s="851"/>
      <c r="D131" s="869"/>
      <c r="E131" s="804" t="str">
        <f>IF(COUNT(E123,E125)=2,IF(E123&lt;E125,C123,C125),"")</f>
        <v>Janek Tarto, Johannes Neiland</v>
      </c>
      <c r="F131" s="755"/>
      <c r="G131" s="851">
        <v>10</v>
      </c>
      <c r="H131" s="807"/>
      <c r="I131" s="807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</row>
    <row r="132" spans="1:27" ht="13.5" thickBot="1" x14ac:dyDescent="0.25">
      <c r="A132" s="755"/>
      <c r="B132" s="755"/>
      <c r="C132" s="851"/>
      <c r="D132" s="869"/>
      <c r="E132" s="863"/>
      <c r="F132" s="857"/>
      <c r="G132" s="812"/>
      <c r="H132" s="861" t="str">
        <f>IF(COUNT(G131,G133)=2,IF(G131&gt;G133,E131,E133),"")</f>
        <v>Elmo Lageda, Tõnu Piik</v>
      </c>
      <c r="I132" s="812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</row>
    <row r="133" spans="1:27" x14ac:dyDescent="0.2">
      <c r="A133" s="755"/>
      <c r="B133" s="755"/>
      <c r="C133" s="851"/>
      <c r="D133" s="869"/>
      <c r="E133" s="865" t="str">
        <f>IF(COUNT(E127,E129)=2,IF(E127&lt;E129,C127,C129),"")</f>
        <v>Elmo Lageda, Tõnu Piik</v>
      </c>
      <c r="F133" s="860"/>
      <c r="G133" s="856">
        <v>13</v>
      </c>
      <c r="H133" s="810" t="s">
        <v>418</v>
      </c>
      <c r="I133" s="807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</row>
    <row r="134" spans="1:27" x14ac:dyDescent="0.2">
      <c r="A134" s="755"/>
      <c r="B134" s="755"/>
      <c r="C134" s="755"/>
      <c r="D134" s="807"/>
      <c r="E134" s="755"/>
      <c r="F134" s="755"/>
      <c r="G134" s="755"/>
      <c r="H134" s="807"/>
      <c r="I134" s="807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</row>
    <row r="135" spans="1:27" ht="13.5" thickBot="1" x14ac:dyDescent="0.25">
      <c r="A135" s="755"/>
      <c r="B135" s="755"/>
      <c r="C135" s="755"/>
      <c r="D135" s="755"/>
      <c r="E135" s="807"/>
      <c r="F135" s="807"/>
      <c r="G135" s="755"/>
      <c r="H135" s="812" t="str">
        <f>IF(COUNT(G131,G133)=2,IF(G131&lt;G133,E131,E133),"")</f>
        <v>Janek Tarto, Johannes Neiland</v>
      </c>
      <c r="I135" s="812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</row>
    <row r="136" spans="1:27" x14ac:dyDescent="0.2">
      <c r="A136" s="213"/>
      <c r="B136" s="552"/>
      <c r="C136" s="805"/>
      <c r="D136" s="805"/>
      <c r="E136" s="805"/>
      <c r="F136" s="805"/>
      <c r="G136" s="830"/>
      <c r="H136" s="810" t="s">
        <v>419</v>
      </c>
      <c r="I136" s="212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</row>
    <row r="137" spans="1:27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</row>
    <row r="138" spans="1:27" x14ac:dyDescent="0.2">
      <c r="A138" s="806" t="s">
        <v>439</v>
      </c>
      <c r="B138" s="807"/>
      <c r="C138" s="808"/>
      <c r="D138" s="808"/>
      <c r="E138" s="808"/>
      <c r="F138" s="805"/>
      <c r="G138" s="800"/>
      <c r="H138" s="755"/>
      <c r="I138" s="755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</row>
    <row r="139" spans="1:27" x14ac:dyDescent="0.2">
      <c r="A139" s="755"/>
      <c r="B139" s="755"/>
      <c r="C139" s="755"/>
      <c r="D139" s="755"/>
      <c r="E139" s="755"/>
      <c r="F139" s="755"/>
      <c r="G139" s="755"/>
      <c r="H139" s="755"/>
      <c r="I139" s="755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</row>
    <row r="140" spans="1:27" x14ac:dyDescent="0.2">
      <c r="A140" s="849" t="s">
        <v>421</v>
      </c>
      <c r="B140" s="850" t="str">
        <f>IF(A140="-","-",IFERROR(INDEX(B$1:B$100,MATCH(A140,I$1:I$100,0)),""))</f>
        <v>Klavdia Piik, Ülo Piik</v>
      </c>
      <c r="C140" s="851">
        <v>13</v>
      </c>
      <c r="D140" s="755"/>
      <c r="E140" s="755"/>
      <c r="F140" s="755"/>
      <c r="G140" s="755"/>
      <c r="H140" s="755"/>
      <c r="I140" s="755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</row>
    <row r="141" spans="1:27" x14ac:dyDescent="0.2">
      <c r="A141" s="852"/>
      <c r="B141" s="853"/>
      <c r="C141" s="854" t="str">
        <f>IF(COUNT(C140,C142)=2,IF(C140&gt;C142,B140,B142),"")</f>
        <v>Klavdia Piik, Ülo Piik</v>
      </c>
      <c r="D141" s="755"/>
      <c r="E141" s="851">
        <v>13</v>
      </c>
      <c r="F141" s="755"/>
      <c r="G141" s="755"/>
      <c r="H141" s="755"/>
      <c r="I141" s="755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</row>
    <row r="142" spans="1:27" x14ac:dyDescent="0.2">
      <c r="A142" s="852" t="s">
        <v>440</v>
      </c>
      <c r="B142" s="855" t="str">
        <f>IF(A142="-","-",IFERROR(INDEX(B$1:B$100,MATCH(A142,I$1:I$100,0)),""))</f>
        <v>Heili Vasser, Vello Vasser</v>
      </c>
      <c r="C142" s="856">
        <v>1</v>
      </c>
      <c r="D142" s="857"/>
      <c r="E142" s="755"/>
      <c r="F142" s="755"/>
      <c r="G142" s="755"/>
      <c r="H142" s="755"/>
      <c r="I142" s="755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</row>
    <row r="143" spans="1:27" x14ac:dyDescent="0.2">
      <c r="A143" s="852"/>
      <c r="B143" s="818"/>
      <c r="C143" s="755"/>
      <c r="D143" s="858"/>
      <c r="E143" s="854" t="str">
        <f>IF(COUNT(E141,E145)=2,IF(E141&gt;E145,C141,C145),"")</f>
        <v>Klavdia Piik, Ülo Piik</v>
      </c>
      <c r="F143" s="755"/>
      <c r="G143" s="851">
        <v>9</v>
      </c>
      <c r="H143" s="755"/>
      <c r="I143" s="755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</row>
    <row r="144" spans="1:27" x14ac:dyDescent="0.2">
      <c r="A144" s="852" t="s">
        <v>423</v>
      </c>
      <c r="B144" s="855" t="str">
        <f>IF(A144="-","-",IFERROR(INDEX(B$1:B$100,MATCH(A144,I$1:I$100,0)),""))</f>
        <v>Andres Veski, Svetlana Veski</v>
      </c>
      <c r="C144" s="851">
        <f>IF(B144="-",0,IF(B146="-",13,""))</f>
        <v>13</v>
      </c>
      <c r="D144" s="858"/>
      <c r="E144" s="859"/>
      <c r="F144" s="857"/>
      <c r="G144" s="755"/>
      <c r="H144" s="755"/>
      <c r="I144" s="755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</row>
    <row r="145" spans="1:27" x14ac:dyDescent="0.2">
      <c r="A145" s="852"/>
      <c r="B145" s="853"/>
      <c r="C145" s="854" t="str">
        <f>IF(COUNT(C144,C146)=2,IF(C144&gt;C146,B144,B146),"")</f>
        <v>Andres Veski, Svetlana Veski</v>
      </c>
      <c r="D145" s="860"/>
      <c r="E145" s="851">
        <v>4</v>
      </c>
      <c r="F145" s="858"/>
      <c r="G145" s="755"/>
      <c r="H145" s="755"/>
      <c r="I145" s="755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</row>
    <row r="146" spans="1:27" x14ac:dyDescent="0.2">
      <c r="A146" s="852" t="s">
        <v>424</v>
      </c>
      <c r="B146" s="855" t="str">
        <f>IF(A146="-","-",IFERROR(INDEX(B$1:B$100,MATCH(A146,I$1:I$100,0)),""))</f>
        <v>-</v>
      </c>
      <c r="C146" s="856">
        <f>IF(B146="-",0,IF(B144="-",13,""))</f>
        <v>0</v>
      </c>
      <c r="D146" s="755"/>
      <c r="E146" s="807"/>
      <c r="F146" s="858"/>
      <c r="G146" s="755"/>
      <c r="H146" s="755"/>
      <c r="I146" s="755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</row>
    <row r="147" spans="1:27" ht="13.5" thickBot="1" x14ac:dyDescent="0.25">
      <c r="A147" s="754"/>
      <c r="B147" s="818"/>
      <c r="C147" s="755"/>
      <c r="D147" s="755"/>
      <c r="E147" s="807"/>
      <c r="F147" s="858"/>
      <c r="G147" s="755"/>
      <c r="H147" s="861" t="str">
        <f>IF(COUNT(G143,G151)=2,IF(G143&gt;G151,E143,E151),"")</f>
        <v>Rutt Voldek, Urmas Randlaine</v>
      </c>
      <c r="I147" s="755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</row>
    <row r="148" spans="1:27" x14ac:dyDescent="0.2">
      <c r="A148" s="849" t="s">
        <v>425</v>
      </c>
      <c r="B148" s="850" t="str">
        <f>IF(A148="-","-",IFERROR(INDEX(B$1:B$100,MATCH(A148,I$1:I$100,0)),""))</f>
        <v>Enn Tokman, Tarmo Bombe</v>
      </c>
      <c r="C148" s="851">
        <f>IF(B148="-",0,IF(B150="-",13,""))</f>
        <v>13</v>
      </c>
      <c r="D148" s="755"/>
      <c r="E148" s="755"/>
      <c r="F148" s="858"/>
      <c r="G148" s="862"/>
      <c r="H148" s="810" t="s">
        <v>426</v>
      </c>
      <c r="I148" s="811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</row>
    <row r="149" spans="1:27" x14ac:dyDescent="0.2">
      <c r="A149" s="852"/>
      <c r="B149" s="853"/>
      <c r="C149" s="854" t="str">
        <f>IF(COUNT(C148,C150)=2,IF(C148&gt;C150,B148,B150),"")</f>
        <v>Enn Tokman, Tarmo Bombe</v>
      </c>
      <c r="D149" s="755"/>
      <c r="E149" s="851">
        <v>3</v>
      </c>
      <c r="F149" s="858"/>
      <c r="G149" s="807"/>
      <c r="H149" s="755"/>
      <c r="I149" s="755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</row>
    <row r="150" spans="1:27" x14ac:dyDescent="0.2">
      <c r="A150" s="852" t="s">
        <v>424</v>
      </c>
      <c r="B150" s="855" t="str">
        <f>IF(A150="-","-",IFERROR(INDEX(B$1:B$100,MATCH(A150,I$1:I$100,0)),""))</f>
        <v>-</v>
      </c>
      <c r="C150" s="856">
        <f>IF(B150="-",0,IF(B148="-",13,""))</f>
        <v>0</v>
      </c>
      <c r="D150" s="857"/>
      <c r="E150" s="755"/>
      <c r="F150" s="858"/>
      <c r="G150" s="807"/>
      <c r="H150" s="755"/>
      <c r="I150" s="755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</row>
    <row r="151" spans="1:27" x14ac:dyDescent="0.2">
      <c r="A151" s="852"/>
      <c r="B151" s="818"/>
      <c r="C151" s="755"/>
      <c r="D151" s="858"/>
      <c r="E151" s="854" t="str">
        <f>IF(COUNT(E149,E153)=2,IF(E149&gt;E153,C149,C153),"")</f>
        <v>Rutt Voldek, Urmas Randlaine</v>
      </c>
      <c r="F151" s="860"/>
      <c r="G151" s="851">
        <v>13</v>
      </c>
      <c r="H151" s="755"/>
      <c r="I151" s="755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</row>
    <row r="152" spans="1:27" ht="13.5" thickBot="1" x14ac:dyDescent="0.25">
      <c r="A152" s="852" t="s">
        <v>427</v>
      </c>
      <c r="B152" s="850" t="str">
        <f>IF(A152="-","-",IFERROR(INDEX(B$1:B$100,MATCH(A152,I$1:I$100,0)),""))</f>
        <v>Rutt Voldek, Urmas Randlaine</v>
      </c>
      <c r="C152" s="851">
        <f>IF(B152="-",0,IF(B154="-",13,""))</f>
        <v>13</v>
      </c>
      <c r="D152" s="858"/>
      <c r="E152" s="859"/>
      <c r="F152" s="807"/>
      <c r="G152" s="807"/>
      <c r="H152" s="861" t="str">
        <f>IF(COUNT(G143,G151)=2,IF(G143&lt;G151,E143,E151),"")</f>
        <v>Klavdia Piik, Ülo Piik</v>
      </c>
      <c r="I152" s="812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</row>
    <row r="153" spans="1:27" x14ac:dyDescent="0.2">
      <c r="A153" s="852"/>
      <c r="B153" s="853"/>
      <c r="C153" s="854" t="str">
        <f>IF(COUNT(C152,C154)=2,IF(C152&gt;C154,B152,B154),"")</f>
        <v>Rutt Voldek, Urmas Randlaine</v>
      </c>
      <c r="D153" s="860"/>
      <c r="E153" s="851">
        <v>13</v>
      </c>
      <c r="F153" s="755"/>
      <c r="G153" s="807"/>
      <c r="H153" s="810" t="s">
        <v>428</v>
      </c>
      <c r="I153" s="807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</row>
    <row r="154" spans="1:27" x14ac:dyDescent="0.2">
      <c r="A154" s="852" t="s">
        <v>424</v>
      </c>
      <c r="B154" s="855" t="str">
        <f>IF(A154="-","-",IFERROR(INDEX(B$1:B$100,MATCH(A154,I$1:I$100,0)),""))</f>
        <v>-</v>
      </c>
      <c r="C154" s="856">
        <f>IF(B154="-",0,IF(B152="-",13,""))</f>
        <v>0</v>
      </c>
      <c r="D154" s="755"/>
      <c r="E154" s="807"/>
      <c r="F154" s="807"/>
      <c r="G154" s="807"/>
      <c r="H154" s="755"/>
      <c r="I154" s="755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</row>
    <row r="155" spans="1:27" x14ac:dyDescent="0.2">
      <c r="A155" s="754"/>
      <c r="B155" s="818"/>
      <c r="C155" s="755"/>
      <c r="D155" s="755"/>
      <c r="E155" s="804" t="str">
        <f>IF(COUNT(E141,E145)=2,IF(E141&lt;E145,C141,C145),"")</f>
        <v>Andres Veski, Svetlana Veski</v>
      </c>
      <c r="F155" s="755"/>
      <c r="G155" s="851">
        <v>12</v>
      </c>
      <c r="H155" s="755"/>
      <c r="I155" s="755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</row>
    <row r="156" spans="1:27" ht="13.5" thickBot="1" x14ac:dyDescent="0.25">
      <c r="A156" s="755"/>
      <c r="B156" s="755"/>
      <c r="C156" s="755"/>
      <c r="D156" s="755"/>
      <c r="E156" s="863"/>
      <c r="F156" s="857"/>
      <c r="G156" s="864"/>
      <c r="H156" s="861" t="str">
        <f>IF(COUNT(G155,G157)=2,IF(G155&gt;G157,E155,E157),"")</f>
        <v>Enn Tokman, Tarmo Bombe</v>
      </c>
      <c r="I156" s="812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</row>
    <row r="157" spans="1:27" x14ac:dyDescent="0.2">
      <c r="A157" s="755"/>
      <c r="B157" s="755"/>
      <c r="C157" s="755"/>
      <c r="D157" s="755"/>
      <c r="E157" s="865" t="str">
        <f>IF(COUNT(E149,E153)=2,IF(E149&lt;E153,C149,C153),"")</f>
        <v>Enn Tokman, Tarmo Bombe</v>
      </c>
      <c r="F157" s="860"/>
      <c r="G157" s="856">
        <v>13</v>
      </c>
      <c r="H157" s="827" t="s">
        <v>430</v>
      </c>
      <c r="I157" s="807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</row>
    <row r="158" spans="1:27" x14ac:dyDescent="0.2">
      <c r="A158" s="755"/>
      <c r="B158" s="755"/>
      <c r="C158" s="755"/>
      <c r="D158" s="755"/>
      <c r="E158" s="755"/>
      <c r="F158" s="755"/>
      <c r="G158" s="755"/>
      <c r="H158" s="807"/>
      <c r="I158" s="807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</row>
    <row r="159" spans="1:27" ht="13.5" thickBot="1" x14ac:dyDescent="0.25">
      <c r="A159" s="755"/>
      <c r="B159" s="755"/>
      <c r="C159" s="755"/>
      <c r="D159" s="755"/>
      <c r="E159" s="807"/>
      <c r="F159" s="807"/>
      <c r="G159" s="755"/>
      <c r="H159" s="861" t="str">
        <f>IF(COUNT(G155,G157)=2,IF(G155&lt;G157,E155,E157),"")</f>
        <v>Andres Veski, Svetlana Veski</v>
      </c>
      <c r="I159" s="812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</row>
    <row r="160" spans="1:27" x14ac:dyDescent="0.2">
      <c r="A160" s="755"/>
      <c r="B160" s="755"/>
      <c r="C160" s="755"/>
      <c r="D160" s="755"/>
      <c r="E160" s="755"/>
      <c r="F160" s="755"/>
      <c r="G160" s="755"/>
      <c r="H160" s="754" t="s">
        <v>431</v>
      </c>
      <c r="I160" s="755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</row>
    <row r="161" spans="1:27" x14ac:dyDescent="0.2">
      <c r="A161" s="755"/>
      <c r="B161" s="755"/>
      <c r="C161" s="865" t="str">
        <f>IF(COUNT(C140,C142)=2,IF(C140&lt;C142,B140,B142),"")</f>
        <v>Heili Vasser, Vello Vasser</v>
      </c>
      <c r="D161" s="755"/>
      <c r="E161" s="851">
        <f>IF(C161="-",0,IF(C163="-",13,""))</f>
        <v>13</v>
      </c>
      <c r="F161" s="851"/>
      <c r="G161" s="851"/>
      <c r="H161" s="755"/>
      <c r="I161" s="755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</row>
    <row r="162" spans="1:27" x14ac:dyDescent="0.2">
      <c r="A162" s="755"/>
      <c r="B162" s="755"/>
      <c r="C162" s="866"/>
      <c r="D162" s="867"/>
      <c r="E162" s="854" t="str">
        <f>IF(COUNT(E161,E163)=2,IF(E161&gt;E163,C161,C163),"")</f>
        <v>Heili Vasser, Vello Vasser</v>
      </c>
      <c r="F162" s="755"/>
      <c r="G162" s="851">
        <v>13</v>
      </c>
      <c r="H162" s="755"/>
      <c r="I162" s="755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</row>
    <row r="163" spans="1:27" x14ac:dyDescent="0.2">
      <c r="A163" s="755"/>
      <c r="B163" s="755"/>
      <c r="C163" s="865" t="str">
        <f>IF(COUNT(C144,C146)=2,IF(C144&lt;C146,B144,B146),"")</f>
        <v>-</v>
      </c>
      <c r="D163" s="868"/>
      <c r="E163" s="856">
        <f>IF(C163="-",0,IF(C161="-",13,""))</f>
        <v>0</v>
      </c>
      <c r="F163" s="867"/>
      <c r="G163" s="851"/>
      <c r="H163" s="755"/>
      <c r="I163" s="755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</row>
    <row r="164" spans="1:27" ht="13.5" thickBot="1" x14ac:dyDescent="0.25">
      <c r="A164" s="755"/>
      <c r="B164" s="755"/>
      <c r="C164" s="851"/>
      <c r="D164" s="851"/>
      <c r="E164" s="869"/>
      <c r="F164" s="870"/>
      <c r="G164" s="851"/>
      <c r="H164" s="861" t="str">
        <f>IF(COUNT(G162,G166)=2,IF(G162&gt;G166,E162,E166),"")</f>
        <v>Heili Vasser, Vello Vasser</v>
      </c>
      <c r="I164" s="755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</row>
    <row r="165" spans="1:27" x14ac:dyDescent="0.2">
      <c r="A165" s="755"/>
      <c r="B165" s="755"/>
      <c r="C165" s="865" t="str">
        <f>IF(COUNT(C148,C150)=2,IF(C148&lt;C150,B148,B150),"")</f>
        <v>-</v>
      </c>
      <c r="D165" s="851"/>
      <c r="E165" s="851">
        <f>IF(C165="-",0,IF(C167="-",13,""))</f>
        <v>0</v>
      </c>
      <c r="F165" s="870"/>
      <c r="G165" s="871"/>
      <c r="H165" s="810" t="s">
        <v>432</v>
      </c>
      <c r="I165" s="811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</row>
    <row r="166" spans="1:27" x14ac:dyDescent="0.2">
      <c r="A166" s="755"/>
      <c r="B166" s="755"/>
      <c r="C166" s="866"/>
      <c r="D166" s="867"/>
      <c r="E166" s="854" t="str">
        <f>IF(COUNT(E165,E167)=2,IF(E165&gt;E167,C165,C167),"")</f>
        <v>-</v>
      </c>
      <c r="F166" s="860"/>
      <c r="G166" s="872">
        <v>0</v>
      </c>
      <c r="H166" s="755"/>
      <c r="I166" s="755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</row>
    <row r="167" spans="1:27" ht="13.5" thickBot="1" x14ac:dyDescent="0.25">
      <c r="A167" s="755"/>
      <c r="B167" s="755"/>
      <c r="C167" s="865" t="str">
        <f>IF(COUNT(C152,C154)=2,IF(C152&lt;C154,B152,B154),"")</f>
        <v>-</v>
      </c>
      <c r="D167" s="868"/>
      <c r="E167" s="856">
        <f>IF(C167="-",0,IF(C165="-",13,""))</f>
        <v>0</v>
      </c>
      <c r="F167" s="851"/>
      <c r="G167" s="869"/>
      <c r="H167" s="861" t="str">
        <f>IF(COUNT(G162,G166)=2,IF(G162&lt;G166,E162,E166),"")</f>
        <v>-</v>
      </c>
      <c r="I167" s="812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</row>
    <row r="168" spans="1:27" x14ac:dyDescent="0.2">
      <c r="A168" s="755"/>
      <c r="B168" s="755"/>
      <c r="C168" s="851"/>
      <c r="D168" s="851"/>
      <c r="E168" s="851"/>
      <c r="F168" s="851"/>
      <c r="G168" s="869"/>
      <c r="H168" s="810"/>
      <c r="I168" s="807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</row>
    <row r="169" spans="1:27" x14ac:dyDescent="0.2">
      <c r="A169" s="755"/>
      <c r="B169" s="755"/>
      <c r="C169" s="851"/>
      <c r="D169" s="869"/>
      <c r="E169" s="804" t="str">
        <f>IF(COUNT(E161,E163)=2,IF(E161&lt;E163,C161,C163),"")</f>
        <v>-</v>
      </c>
      <c r="F169" s="755"/>
      <c r="G169" s="851">
        <f>IF(E169="-",0,IF(E171="-",13,""))</f>
        <v>0</v>
      </c>
      <c r="H169" s="807"/>
      <c r="I169" s="807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</row>
    <row r="170" spans="1:27" ht="13.5" thickBot="1" x14ac:dyDescent="0.25">
      <c r="A170" s="755"/>
      <c r="B170" s="755"/>
      <c r="C170" s="851"/>
      <c r="D170" s="869"/>
      <c r="E170" s="863"/>
      <c r="F170" s="857"/>
      <c r="G170" s="812"/>
      <c r="H170" s="861" t="str">
        <f>IF(COUNT(G169,G171)=2,IF(G169&gt;G171,E169,E171),"")</f>
        <v>-</v>
      </c>
      <c r="I170" s="812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</row>
    <row r="171" spans="1:27" x14ac:dyDescent="0.2">
      <c r="A171" s="755"/>
      <c r="B171" s="755"/>
      <c r="C171" s="851"/>
      <c r="D171" s="869"/>
      <c r="E171" s="865" t="str">
        <f>IF(COUNT(E165,E167)=2,IF(E165&lt;E167,C165,C167),"")</f>
        <v>-</v>
      </c>
      <c r="F171" s="860"/>
      <c r="G171" s="856">
        <f>IF(E171="-",0,IF(E169="-",13,""))</f>
        <v>0</v>
      </c>
      <c r="H171" s="810"/>
      <c r="I171" s="807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</row>
    <row r="172" spans="1:27" x14ac:dyDescent="0.2">
      <c r="A172" s="755"/>
      <c r="B172" s="755"/>
      <c r="C172" s="755"/>
      <c r="D172" s="807"/>
      <c r="E172" s="755"/>
      <c r="F172" s="755"/>
      <c r="G172" s="755"/>
      <c r="H172" s="807"/>
      <c r="I172" s="807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</row>
    <row r="173" spans="1:27" ht="13.5" thickBot="1" x14ac:dyDescent="0.25">
      <c r="A173" s="755"/>
      <c r="B173" s="755"/>
      <c r="C173" s="755"/>
      <c r="D173" s="755"/>
      <c r="E173" s="807"/>
      <c r="F173" s="807"/>
      <c r="G173" s="755"/>
      <c r="H173" s="812" t="str">
        <f>IF(COUNT(G169,G171)=2,IF(G169&lt;G171,E169,E171),"")</f>
        <v>-</v>
      </c>
      <c r="I173" s="812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</row>
    <row r="174" spans="1:27" x14ac:dyDescent="0.2">
      <c r="A174" s="213"/>
      <c r="B174" s="552"/>
      <c r="C174" s="805"/>
      <c r="D174" s="805"/>
      <c r="E174" s="805"/>
      <c r="F174" s="805"/>
      <c r="G174" s="830"/>
      <c r="H174" s="810"/>
      <c r="I174" s="212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</row>
    <row r="175" spans="1:27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</row>
    <row r="176" spans="1:27" hidden="1" x14ac:dyDescent="0.2">
      <c r="A176" s="755"/>
      <c r="B176" s="754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</row>
    <row r="177" spans="1:27" hidden="1" x14ac:dyDescent="0.2">
      <c r="A177" s="755"/>
      <c r="B177" s="754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</row>
    <row r="178" spans="1:27" hidden="1" x14ac:dyDescent="0.2">
      <c r="A178" s="755"/>
      <c r="B178" s="754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</row>
    <row r="179" spans="1:27" hidden="1" x14ac:dyDescent="0.2">
      <c r="A179" s="755"/>
      <c r="B179" s="754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</row>
    <row r="180" spans="1:27" hidden="1" x14ac:dyDescent="0.2">
      <c r="A180" s="755"/>
      <c r="B180" s="754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</row>
    <row r="181" spans="1:27" hidden="1" x14ac:dyDescent="0.2">
      <c r="A181" s="755"/>
      <c r="B181" s="754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</row>
    <row r="182" spans="1:27" hidden="1" x14ac:dyDescent="0.2">
      <c r="A182" s="755"/>
      <c r="B182" s="754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</row>
    <row r="183" spans="1:27" hidden="1" x14ac:dyDescent="0.2">
      <c r="A183" s="755"/>
      <c r="B183" s="754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</row>
    <row r="184" spans="1:27" hidden="1" x14ac:dyDescent="0.2">
      <c r="A184" s="755"/>
      <c r="B184" s="754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</row>
    <row r="185" spans="1:27" hidden="1" x14ac:dyDescent="0.2">
      <c r="A185" s="755"/>
      <c r="B185" s="754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</row>
    <row r="186" spans="1:27" hidden="1" x14ac:dyDescent="0.2">
      <c r="A186" s="755"/>
      <c r="B186" s="754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</row>
    <row r="187" spans="1:27" hidden="1" x14ac:dyDescent="0.2">
      <c r="A187" s="755"/>
      <c r="B187" s="754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</row>
    <row r="188" spans="1:27" hidden="1" x14ac:dyDescent="0.2">
      <c r="A188" s="755"/>
      <c r="B188" s="754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</row>
    <row r="189" spans="1:27" hidden="1" x14ac:dyDescent="0.2">
      <c r="A189" s="755"/>
      <c r="B189" s="754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</row>
    <row r="190" spans="1:27" hidden="1" x14ac:dyDescent="0.2">
      <c r="A190" s="755"/>
      <c r="B190" s="754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</row>
    <row r="191" spans="1:27" hidden="1" x14ac:dyDescent="0.2">
      <c r="A191" s="755"/>
      <c r="B191" s="754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</row>
    <row r="192" spans="1:27" hidden="1" x14ac:dyDescent="0.2">
      <c r="A192" s="755"/>
      <c r="B192" s="754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</row>
    <row r="193" spans="1:27" hidden="1" x14ac:dyDescent="0.2">
      <c r="A193" s="755"/>
      <c r="B193" s="754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</row>
    <row r="194" spans="1:27" hidden="1" x14ac:dyDescent="0.2">
      <c r="A194" s="755"/>
      <c r="B194" s="754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</row>
    <row r="195" spans="1:27" hidden="1" x14ac:dyDescent="0.2">
      <c r="A195" s="755"/>
      <c r="B195" s="754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</row>
    <row r="196" spans="1:27" hidden="1" x14ac:dyDescent="0.2">
      <c r="A196" s="755"/>
      <c r="B196" s="754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</row>
    <row r="197" spans="1:27" hidden="1" x14ac:dyDescent="0.2">
      <c r="A197" s="755"/>
      <c r="B197" s="754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</row>
    <row r="198" spans="1:27" hidden="1" x14ac:dyDescent="0.2">
      <c r="A198" s="755"/>
      <c r="B198" s="754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</row>
    <row r="199" spans="1:27" hidden="1" x14ac:dyDescent="0.2">
      <c r="A199" s="755"/>
      <c r="B199" s="754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</row>
    <row r="200" spans="1:27" hidden="1" x14ac:dyDescent="0.2">
      <c r="A200" s="755"/>
      <c r="B200" s="754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</row>
    <row r="201" spans="1:27" hidden="1" x14ac:dyDescent="0.2">
      <c r="A201" s="755"/>
      <c r="B201" s="754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</row>
    <row r="202" spans="1:27" hidden="1" x14ac:dyDescent="0.2">
      <c r="A202" s="755"/>
      <c r="B202" s="754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</row>
    <row r="203" spans="1:27" hidden="1" x14ac:dyDescent="0.2">
      <c r="A203" s="755"/>
      <c r="B203" s="754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</row>
    <row r="204" spans="1:27" hidden="1" x14ac:dyDescent="0.2">
      <c r="A204" s="755"/>
      <c r="B204" s="754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</row>
    <row r="205" spans="1:27" hidden="1" x14ac:dyDescent="0.2">
      <c r="A205" s="755"/>
      <c r="B205" s="754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</row>
    <row r="206" spans="1:27" hidden="1" x14ac:dyDescent="0.2">
      <c r="A206" s="755"/>
      <c r="B206" s="754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</row>
    <row r="207" spans="1:27" hidden="1" x14ac:dyDescent="0.2">
      <c r="A207" s="755"/>
      <c r="B207" s="754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</row>
    <row r="208" spans="1:27" hidden="1" x14ac:dyDescent="0.2">
      <c r="A208" s="755"/>
      <c r="B208" s="754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</row>
    <row r="209" spans="1:27" hidden="1" x14ac:dyDescent="0.2">
      <c r="A209" s="755"/>
      <c r="B209" s="754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</row>
    <row r="210" spans="1:27" hidden="1" x14ac:dyDescent="0.2">
      <c r="A210" s="755"/>
      <c r="B210" s="754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</row>
    <row r="211" spans="1:27" hidden="1" x14ac:dyDescent="0.2">
      <c r="A211" s="755"/>
      <c r="B211" s="754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</row>
    <row r="212" spans="1:27" hidden="1" x14ac:dyDescent="0.2">
      <c r="A212" s="755"/>
      <c r="B212" s="754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</row>
    <row r="213" spans="1:27" hidden="1" x14ac:dyDescent="0.2">
      <c r="A213" s="755"/>
      <c r="B213" s="754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</row>
    <row r="214" spans="1:27" hidden="1" x14ac:dyDescent="0.2">
      <c r="A214" s="755"/>
      <c r="B214" s="754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</row>
    <row r="215" spans="1:27" hidden="1" x14ac:dyDescent="0.2">
      <c r="A215" s="755"/>
      <c r="B215" s="754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</row>
    <row r="216" spans="1:27" hidden="1" x14ac:dyDescent="0.2">
      <c r="A216" s="755"/>
      <c r="B216" s="754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</row>
    <row r="217" spans="1:27" hidden="1" x14ac:dyDescent="0.2">
      <c r="A217" s="755"/>
      <c r="B217" s="754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</row>
    <row r="218" spans="1:27" hidden="1" x14ac:dyDescent="0.2">
      <c r="A218" s="755"/>
      <c r="B218" s="754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</row>
    <row r="219" spans="1:27" hidden="1" x14ac:dyDescent="0.2">
      <c r="A219" s="755"/>
      <c r="B219" s="754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</row>
    <row r="220" spans="1:27" hidden="1" x14ac:dyDescent="0.2">
      <c r="A220" s="755"/>
      <c r="B220" s="754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</row>
    <row r="221" spans="1:27" hidden="1" x14ac:dyDescent="0.2">
      <c r="A221" s="755"/>
      <c r="B221" s="754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</row>
    <row r="222" spans="1:27" hidden="1" x14ac:dyDescent="0.2">
      <c r="A222" s="755"/>
      <c r="B222" s="754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</row>
    <row r="223" spans="1:27" hidden="1" x14ac:dyDescent="0.2">
      <c r="A223" s="755"/>
      <c r="B223" s="754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</row>
    <row r="224" spans="1:27" hidden="1" x14ac:dyDescent="0.2">
      <c r="A224" s="755"/>
      <c r="B224" s="754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</row>
    <row r="225" spans="1:27" hidden="1" x14ac:dyDescent="0.2">
      <c r="A225" s="755"/>
      <c r="B225" s="754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</row>
    <row r="226" spans="1:27" hidden="1" x14ac:dyDescent="0.2">
      <c r="A226" s="755"/>
      <c r="B226" s="754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</row>
    <row r="227" spans="1:27" hidden="1" x14ac:dyDescent="0.2">
      <c r="A227" s="755"/>
      <c r="B227" s="754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</row>
    <row r="228" spans="1:27" hidden="1" x14ac:dyDescent="0.2">
      <c r="A228" s="755"/>
      <c r="B228" s="754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</row>
    <row r="229" spans="1:27" hidden="1" x14ac:dyDescent="0.2">
      <c r="A229" s="755"/>
      <c r="B229" s="754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</row>
    <row r="230" spans="1:27" hidden="1" x14ac:dyDescent="0.2">
      <c r="A230" s="755"/>
      <c r="B230" s="754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</row>
    <row r="231" spans="1:27" hidden="1" x14ac:dyDescent="0.2">
      <c r="A231" s="755"/>
      <c r="B231" s="754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</row>
    <row r="232" spans="1:27" hidden="1" x14ac:dyDescent="0.2">
      <c r="A232" s="755"/>
      <c r="B232" s="754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</row>
    <row r="233" spans="1:27" hidden="1" x14ac:dyDescent="0.2">
      <c r="A233" s="755"/>
      <c r="B233" s="754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</row>
    <row r="234" spans="1:27" hidden="1" x14ac:dyDescent="0.2">
      <c r="A234" s="755"/>
      <c r="B234" s="754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</row>
    <row r="235" spans="1:27" hidden="1" x14ac:dyDescent="0.2">
      <c r="A235" s="755"/>
      <c r="B235" s="754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</row>
    <row r="236" spans="1:27" hidden="1" x14ac:dyDescent="0.2">
      <c r="A236" s="755"/>
      <c r="B236" s="754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</row>
    <row r="237" spans="1:27" hidden="1" x14ac:dyDescent="0.2">
      <c r="A237" s="755"/>
      <c r="B237" s="754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</row>
    <row r="238" spans="1:27" hidden="1" x14ac:dyDescent="0.2">
      <c r="A238" s="755"/>
      <c r="B238" s="754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</row>
    <row r="239" spans="1:27" hidden="1" x14ac:dyDescent="0.2">
      <c r="A239" s="755"/>
      <c r="B239" s="754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</row>
    <row r="240" spans="1:27" hidden="1" x14ac:dyDescent="0.2">
      <c r="A240" s="755"/>
      <c r="B240" s="754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</row>
    <row r="241" spans="1:27" hidden="1" x14ac:dyDescent="0.2">
      <c r="A241" s="755"/>
      <c r="B241" s="754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</row>
    <row r="242" spans="1:27" hidden="1" x14ac:dyDescent="0.2">
      <c r="A242" s="755"/>
      <c r="B242" s="754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</row>
    <row r="243" spans="1:27" hidden="1" x14ac:dyDescent="0.2">
      <c r="A243" s="755"/>
      <c r="B243" s="754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</row>
    <row r="244" spans="1:27" hidden="1" x14ac:dyDescent="0.2">
      <c r="A244" s="755"/>
      <c r="B244" s="754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</row>
    <row r="245" spans="1:27" hidden="1" x14ac:dyDescent="0.2">
      <c r="A245" s="755"/>
      <c r="B245" s="754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</row>
    <row r="246" spans="1:27" hidden="1" x14ac:dyDescent="0.2">
      <c r="A246" s="755"/>
      <c r="B246" s="754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</row>
    <row r="247" spans="1:27" hidden="1" x14ac:dyDescent="0.2">
      <c r="A247" s="755"/>
      <c r="B247" s="754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</row>
    <row r="248" spans="1:27" hidden="1" x14ac:dyDescent="0.2">
      <c r="A248" s="755"/>
      <c r="B248" s="754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</row>
    <row r="249" spans="1:27" hidden="1" x14ac:dyDescent="0.2">
      <c r="A249" s="755"/>
      <c r="B249" s="754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</row>
    <row r="250" spans="1:27" hidden="1" x14ac:dyDescent="0.2">
      <c r="A250" s="755"/>
      <c r="B250" s="754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</row>
    <row r="251" spans="1:27" hidden="1" x14ac:dyDescent="0.2">
      <c r="A251" s="755"/>
      <c r="B251" s="754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</row>
    <row r="252" spans="1:27" hidden="1" x14ac:dyDescent="0.2">
      <c r="A252" s="755"/>
      <c r="B252" s="754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</row>
    <row r="253" spans="1:27" hidden="1" x14ac:dyDescent="0.2">
      <c r="A253" s="755"/>
      <c r="B253" s="754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</row>
    <row r="254" spans="1:27" hidden="1" x14ac:dyDescent="0.2">
      <c r="A254" s="755"/>
      <c r="B254" s="754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</row>
    <row r="255" spans="1:27" hidden="1" x14ac:dyDescent="0.2">
      <c r="A255" s="755"/>
      <c r="B255" s="754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</row>
    <row r="256" spans="1:27" hidden="1" x14ac:dyDescent="0.2">
      <c r="A256" s="755"/>
      <c r="B256" s="754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</row>
    <row r="257" spans="1:27" hidden="1" x14ac:dyDescent="0.2">
      <c r="A257" s="755"/>
      <c r="B257" s="754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</row>
    <row r="258" spans="1:27" hidden="1" x14ac:dyDescent="0.2">
      <c r="A258" s="755"/>
      <c r="B258" s="754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</row>
    <row r="259" spans="1:27" hidden="1" x14ac:dyDescent="0.2">
      <c r="A259" s="755"/>
      <c r="B259" s="754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</row>
    <row r="260" spans="1:27" hidden="1" x14ac:dyDescent="0.2">
      <c r="A260" s="755"/>
      <c r="B260" s="754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</row>
    <row r="261" spans="1:27" hidden="1" x14ac:dyDescent="0.2">
      <c r="A261" s="755"/>
      <c r="B261" s="754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</row>
    <row r="262" spans="1:27" hidden="1" x14ac:dyDescent="0.2">
      <c r="A262" s="755"/>
      <c r="B262" s="754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</row>
    <row r="263" spans="1:27" hidden="1" x14ac:dyDescent="0.2">
      <c r="A263" s="755"/>
      <c r="B263" s="754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</row>
    <row r="264" spans="1:27" hidden="1" x14ac:dyDescent="0.2">
      <c r="A264" s="755"/>
      <c r="B264" s="754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</row>
    <row r="265" spans="1:27" hidden="1" x14ac:dyDescent="0.2">
      <c r="A265" s="755"/>
      <c r="B265" s="754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</row>
    <row r="266" spans="1:27" hidden="1" x14ac:dyDescent="0.2">
      <c r="A266" s="755"/>
      <c r="B266" s="754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</row>
    <row r="267" spans="1:27" hidden="1" x14ac:dyDescent="0.2">
      <c r="A267" s="755"/>
      <c r="B267" s="754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</row>
    <row r="268" spans="1:27" hidden="1" x14ac:dyDescent="0.2">
      <c r="A268" s="755"/>
      <c r="B268" s="754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</row>
    <row r="269" spans="1:27" hidden="1" x14ac:dyDescent="0.2">
      <c r="A269" s="755"/>
      <c r="B269" s="754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</row>
    <row r="270" spans="1:27" hidden="1" x14ac:dyDescent="0.2">
      <c r="A270" s="755"/>
      <c r="B270" s="754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</row>
    <row r="271" spans="1:27" hidden="1" x14ac:dyDescent="0.2">
      <c r="A271" s="755"/>
      <c r="B271" s="754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</row>
    <row r="272" spans="1:27" hidden="1" x14ac:dyDescent="0.2">
      <c r="A272" s="755"/>
      <c r="B272" s="754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</row>
    <row r="273" spans="1:27" hidden="1" x14ac:dyDescent="0.2">
      <c r="A273" s="755"/>
      <c r="B273" s="754"/>
      <c r="C273" s="755"/>
      <c r="D273" s="755"/>
      <c r="E273" s="755"/>
      <c r="F273" s="755"/>
      <c r="G273" s="755"/>
      <c r="H273" s="755"/>
      <c r="I273" s="755"/>
      <c r="J273" s="755"/>
      <c r="K273" s="755"/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</row>
    <row r="274" spans="1:27" hidden="1" x14ac:dyDescent="0.2">
      <c r="A274" s="755"/>
      <c r="B274" s="754"/>
      <c r="C274" s="755"/>
      <c r="D274" s="755"/>
      <c r="E274" s="755"/>
      <c r="F274" s="755"/>
      <c r="G274" s="755"/>
      <c r="H274" s="755"/>
      <c r="I274" s="755"/>
      <c r="J274" s="755"/>
      <c r="K274" s="755"/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</row>
    <row r="275" spans="1:27" hidden="1" x14ac:dyDescent="0.2">
      <c r="A275" s="755"/>
      <c r="B275" s="754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</row>
    <row r="276" spans="1:27" hidden="1" x14ac:dyDescent="0.2">
      <c r="A276" s="755"/>
      <c r="B276" s="754"/>
      <c r="C276" s="755"/>
      <c r="D276" s="755"/>
      <c r="E276" s="755"/>
      <c r="F276" s="755"/>
      <c r="G276" s="755"/>
      <c r="H276" s="755"/>
      <c r="I276" s="755"/>
      <c r="J276" s="755"/>
      <c r="K276" s="755"/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</row>
    <row r="277" spans="1:27" hidden="1" x14ac:dyDescent="0.2">
      <c r="A277" s="755"/>
      <c r="B277" s="754"/>
      <c r="C277" s="755"/>
      <c r="D277" s="755"/>
      <c r="E277" s="755"/>
      <c r="F277" s="755"/>
      <c r="G277" s="755"/>
      <c r="H277" s="755"/>
      <c r="I277" s="755"/>
      <c r="J277" s="755"/>
      <c r="K277" s="755"/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</row>
    <row r="278" spans="1:27" hidden="1" x14ac:dyDescent="0.2">
      <c r="A278" s="755"/>
      <c r="B278" s="754"/>
      <c r="C278" s="755"/>
      <c r="D278" s="755"/>
      <c r="E278" s="755"/>
      <c r="F278" s="755"/>
      <c r="G278" s="755"/>
      <c r="H278" s="755"/>
      <c r="I278" s="755"/>
      <c r="J278" s="755"/>
      <c r="K278" s="755"/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</row>
    <row r="279" spans="1:27" hidden="1" x14ac:dyDescent="0.2">
      <c r="A279" s="755"/>
      <c r="B279" s="754"/>
      <c r="C279" s="755"/>
      <c r="D279" s="755"/>
      <c r="E279" s="755"/>
      <c r="F279" s="755"/>
      <c r="G279" s="755"/>
      <c r="H279" s="755"/>
      <c r="I279" s="755"/>
      <c r="J279" s="755"/>
      <c r="K279" s="755"/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</row>
    <row r="280" spans="1:27" hidden="1" x14ac:dyDescent="0.2">
      <c r="A280" s="755"/>
      <c r="B280" s="754"/>
      <c r="C280" s="755"/>
      <c r="D280" s="755"/>
      <c r="E280" s="755"/>
      <c r="F280" s="755"/>
      <c r="G280" s="755"/>
      <c r="H280" s="755"/>
      <c r="I280" s="755"/>
      <c r="J280" s="755"/>
      <c r="K280" s="755"/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</row>
    <row r="281" spans="1:27" hidden="1" x14ac:dyDescent="0.2">
      <c r="A281" s="755"/>
      <c r="B281" s="754"/>
      <c r="C281" s="755"/>
      <c r="D281" s="755"/>
      <c r="E281" s="755"/>
      <c r="F281" s="755"/>
      <c r="G281" s="755"/>
      <c r="H281" s="755"/>
      <c r="I281" s="755"/>
      <c r="J281" s="755"/>
      <c r="K281" s="755"/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</row>
    <row r="282" spans="1:27" hidden="1" x14ac:dyDescent="0.2">
      <c r="A282" s="755"/>
      <c r="B282" s="754"/>
      <c r="C282" s="755"/>
      <c r="D282" s="755"/>
      <c r="E282" s="755"/>
      <c r="F282" s="755"/>
      <c r="G282" s="755"/>
      <c r="H282" s="755"/>
      <c r="I282" s="755"/>
      <c r="J282" s="755"/>
      <c r="K282" s="755"/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</row>
    <row r="283" spans="1:27" hidden="1" x14ac:dyDescent="0.2">
      <c r="A283" s="755"/>
      <c r="B283" s="754"/>
      <c r="C283" s="755"/>
      <c r="D283" s="755"/>
      <c r="E283" s="755"/>
      <c r="F283" s="755"/>
      <c r="G283" s="755"/>
      <c r="H283" s="755"/>
      <c r="I283" s="755"/>
      <c r="J283" s="755"/>
      <c r="K283" s="755"/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</row>
    <row r="284" spans="1:27" hidden="1" x14ac:dyDescent="0.2">
      <c r="A284" s="755"/>
      <c r="B284" s="754"/>
      <c r="C284" s="755"/>
      <c r="D284" s="755"/>
      <c r="E284" s="755"/>
      <c r="F284" s="755"/>
      <c r="G284" s="755"/>
      <c r="H284" s="755"/>
      <c r="I284" s="755"/>
      <c r="J284" s="755"/>
      <c r="K284" s="755"/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</row>
    <row r="285" spans="1:27" hidden="1" x14ac:dyDescent="0.2">
      <c r="A285" s="755"/>
      <c r="B285" s="754"/>
      <c r="C285" s="755"/>
      <c r="D285" s="755"/>
      <c r="E285" s="755"/>
      <c r="F285" s="755"/>
      <c r="G285" s="755"/>
      <c r="H285" s="755"/>
      <c r="I285" s="755"/>
      <c r="J285" s="755"/>
      <c r="K285" s="755"/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</row>
    <row r="286" spans="1:27" hidden="1" x14ac:dyDescent="0.2">
      <c r="A286" s="755"/>
      <c r="B286" s="754"/>
      <c r="C286" s="755"/>
      <c r="D286" s="755"/>
      <c r="E286" s="755"/>
      <c r="F286" s="755"/>
      <c r="G286" s="755"/>
      <c r="H286" s="755"/>
      <c r="I286" s="755"/>
      <c r="J286" s="755"/>
      <c r="K286" s="755"/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</row>
    <row r="287" spans="1:27" hidden="1" x14ac:dyDescent="0.2">
      <c r="A287" s="755"/>
      <c r="B287" s="754"/>
      <c r="C287" s="755"/>
      <c r="D287" s="755"/>
      <c r="E287" s="755"/>
      <c r="F287" s="755"/>
      <c r="G287" s="755"/>
      <c r="H287" s="755"/>
      <c r="I287" s="755"/>
      <c r="J287" s="755"/>
      <c r="K287" s="755"/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</row>
    <row r="288" spans="1:27" hidden="1" x14ac:dyDescent="0.2">
      <c r="A288" s="755"/>
      <c r="B288" s="754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</row>
    <row r="289" spans="1:27" hidden="1" x14ac:dyDescent="0.2">
      <c r="A289" s="755"/>
      <c r="B289" s="754"/>
      <c r="C289" s="755"/>
      <c r="D289" s="755"/>
      <c r="E289" s="755"/>
      <c r="F289" s="755"/>
      <c r="G289" s="755"/>
      <c r="H289" s="755"/>
      <c r="I289" s="755"/>
      <c r="J289" s="755"/>
      <c r="K289" s="755"/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</row>
    <row r="290" spans="1:27" hidden="1" x14ac:dyDescent="0.2">
      <c r="A290" s="755"/>
      <c r="B290" s="754"/>
      <c r="C290" s="755"/>
      <c r="D290" s="755"/>
      <c r="E290" s="755"/>
      <c r="F290" s="755"/>
      <c r="G290" s="755"/>
      <c r="H290" s="755"/>
      <c r="I290" s="755"/>
      <c r="J290" s="755"/>
      <c r="K290" s="755"/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</row>
    <row r="291" spans="1:27" hidden="1" x14ac:dyDescent="0.2">
      <c r="A291" s="755"/>
      <c r="B291" s="754"/>
      <c r="C291" s="755"/>
      <c r="D291" s="755"/>
      <c r="E291" s="755"/>
      <c r="F291" s="755"/>
      <c r="G291" s="755"/>
      <c r="H291" s="755"/>
      <c r="I291" s="755"/>
      <c r="J291" s="755"/>
      <c r="K291" s="755"/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</row>
    <row r="292" spans="1:27" hidden="1" x14ac:dyDescent="0.2">
      <c r="A292" s="755"/>
      <c r="B292" s="754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</row>
    <row r="293" spans="1:27" hidden="1" x14ac:dyDescent="0.2">
      <c r="A293" s="755"/>
      <c r="B293" s="754"/>
      <c r="C293" s="755"/>
      <c r="D293" s="755"/>
      <c r="E293" s="755"/>
      <c r="F293" s="755"/>
      <c r="G293" s="755"/>
      <c r="H293" s="755"/>
      <c r="I293" s="755"/>
      <c r="J293" s="755"/>
      <c r="K293" s="755"/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</row>
    <row r="294" spans="1:27" hidden="1" x14ac:dyDescent="0.2">
      <c r="A294" s="755"/>
      <c r="B294" s="754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</row>
    <row r="295" spans="1:27" hidden="1" x14ac:dyDescent="0.2">
      <c r="A295" s="755"/>
      <c r="B295" s="754"/>
      <c r="C295" s="755"/>
      <c r="D295" s="755"/>
      <c r="E295" s="755"/>
      <c r="F295" s="755"/>
      <c r="G295" s="755"/>
      <c r="H295" s="755"/>
      <c r="I295" s="755"/>
      <c r="J295" s="755"/>
      <c r="K295" s="755"/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</row>
    <row r="296" spans="1:27" hidden="1" x14ac:dyDescent="0.2">
      <c r="A296" s="755"/>
      <c r="B296" s="754"/>
      <c r="C296" s="755"/>
      <c r="D296" s="755"/>
      <c r="E296" s="755"/>
      <c r="F296" s="755"/>
      <c r="G296" s="755"/>
      <c r="H296" s="755"/>
      <c r="I296" s="755"/>
      <c r="J296" s="755"/>
      <c r="K296" s="755"/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</row>
    <row r="297" spans="1:27" hidden="1" x14ac:dyDescent="0.2">
      <c r="A297" s="755"/>
      <c r="B297" s="754"/>
      <c r="C297" s="755"/>
      <c r="D297" s="755"/>
      <c r="E297" s="755"/>
      <c r="F297" s="755"/>
      <c r="G297" s="755"/>
      <c r="H297" s="755"/>
      <c r="I297" s="755"/>
      <c r="J297" s="755"/>
      <c r="K297" s="755"/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</row>
    <row r="298" spans="1:27" x14ac:dyDescent="0.2">
      <c r="A298" s="755"/>
      <c r="B298" s="754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</row>
    <row r="299" spans="1:27" x14ac:dyDescent="0.2">
      <c r="A299" s="873"/>
      <c r="B299" s="873"/>
      <c r="C299" s="874" t="s">
        <v>232</v>
      </c>
      <c r="D299" s="755"/>
      <c r="E299" s="755"/>
      <c r="F299" s="755"/>
      <c r="G299" s="755"/>
      <c r="H299" s="755"/>
      <c r="I299" s="755"/>
      <c r="J299" s="755"/>
      <c r="K299" s="755"/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</row>
    <row r="300" spans="1:27" x14ac:dyDescent="0.2">
      <c r="A300" s="815">
        <v>1</v>
      </c>
      <c r="B300" s="816" t="str">
        <f t="shared" ref="B300:B312" si="22">IFERROR(INDEX(H$100:H$300,MATCH(A300&amp;". koht",H$101:H$301,0)),"")</f>
        <v>Meelis Luud, Urmas Jõeäär</v>
      </c>
      <c r="C300" s="755">
        <f>IF(16-A300&gt;0,16-A300,1)</f>
        <v>15</v>
      </c>
      <c r="D300" s="755"/>
      <c r="E300" s="755"/>
      <c r="F300" s="755"/>
      <c r="G300" s="755"/>
      <c r="H300" s="755"/>
      <c r="I300" s="755"/>
      <c r="J300" s="755"/>
      <c r="K300" s="755"/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</row>
    <row r="301" spans="1:27" x14ac:dyDescent="0.2">
      <c r="A301" s="875">
        <v>2</v>
      </c>
      <c r="B301" s="816" t="str">
        <f t="shared" si="22"/>
        <v>Karla Purgats, Lemmit Toomra</v>
      </c>
      <c r="C301" s="755">
        <f t="shared" ref="C301:C312" si="23">IF(16-A301&gt;0,16-A301,1)</f>
        <v>14</v>
      </c>
      <c r="D301" s="755"/>
      <c r="E301" s="755"/>
      <c r="F301" s="755"/>
      <c r="G301" s="755"/>
      <c r="H301" s="755"/>
      <c r="I301" s="755"/>
      <c r="J301" s="755"/>
      <c r="K301" s="755"/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</row>
    <row r="302" spans="1:27" x14ac:dyDescent="0.2">
      <c r="A302" s="875">
        <v>3</v>
      </c>
      <c r="B302" s="816" t="str">
        <f t="shared" si="22"/>
        <v>Oleg Rõndenkov, Toomas Tedrekull</v>
      </c>
      <c r="C302" s="755">
        <f t="shared" si="23"/>
        <v>13</v>
      </c>
      <c r="D302" s="755"/>
      <c r="E302" s="755"/>
      <c r="F302" s="755"/>
      <c r="G302" s="755"/>
      <c r="H302" s="755"/>
      <c r="I302" s="755"/>
      <c r="J302" s="755"/>
      <c r="K302" s="755"/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</row>
    <row r="303" spans="1:27" x14ac:dyDescent="0.2">
      <c r="A303" s="875">
        <v>4</v>
      </c>
      <c r="B303" s="816" t="str">
        <f t="shared" si="22"/>
        <v>Mait Metsla, Vladimir Ogneštšikov</v>
      </c>
      <c r="C303" s="755">
        <f t="shared" si="23"/>
        <v>12</v>
      </c>
      <c r="D303" s="755"/>
      <c r="E303" s="755"/>
      <c r="F303" s="755"/>
      <c r="G303" s="755"/>
      <c r="H303" s="755"/>
      <c r="I303" s="755"/>
      <c r="J303" s="755"/>
      <c r="K303" s="755"/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</row>
    <row r="304" spans="1:27" x14ac:dyDescent="0.2">
      <c r="A304" s="875">
        <v>5</v>
      </c>
      <c r="B304" s="816" t="str">
        <f t="shared" si="22"/>
        <v>Jaan Sepp, Oskar Sepp</v>
      </c>
      <c r="C304" s="755">
        <f t="shared" si="23"/>
        <v>11</v>
      </c>
      <c r="D304" s="755"/>
      <c r="E304" s="755"/>
      <c r="F304" s="755"/>
      <c r="G304" s="755"/>
      <c r="H304" s="755"/>
      <c r="I304" s="755"/>
      <c r="J304" s="755"/>
      <c r="K304" s="755"/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</row>
    <row r="305" spans="1:27" x14ac:dyDescent="0.2">
      <c r="A305" s="875">
        <v>6</v>
      </c>
      <c r="B305" s="816" t="str">
        <f t="shared" si="22"/>
        <v>Ivar Viljaste, Sirje Viljaste</v>
      </c>
      <c r="C305" s="755">
        <f t="shared" si="23"/>
        <v>10</v>
      </c>
      <c r="D305" s="755"/>
      <c r="E305" s="755"/>
      <c r="F305" s="755"/>
      <c r="G305" s="755"/>
      <c r="H305" s="755"/>
      <c r="I305" s="755"/>
      <c r="J305" s="755"/>
      <c r="K305" s="755"/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</row>
    <row r="306" spans="1:27" x14ac:dyDescent="0.2">
      <c r="A306" s="875">
        <v>7</v>
      </c>
      <c r="B306" s="816" t="str">
        <f t="shared" si="22"/>
        <v>Elmo Lageda, Tõnu Piik</v>
      </c>
      <c r="C306" s="755">
        <f t="shared" si="23"/>
        <v>9</v>
      </c>
      <c r="D306" s="755"/>
      <c r="E306" s="755"/>
      <c r="F306" s="755"/>
      <c r="G306" s="755"/>
      <c r="H306" s="755"/>
      <c r="I306" s="755"/>
      <c r="J306" s="755"/>
      <c r="K306" s="755"/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</row>
    <row r="307" spans="1:27" x14ac:dyDescent="0.2">
      <c r="A307" s="875">
        <v>8</v>
      </c>
      <c r="B307" s="816" t="str">
        <f t="shared" si="22"/>
        <v>Janek Tarto, Johannes Neiland</v>
      </c>
      <c r="C307" s="755">
        <f t="shared" si="23"/>
        <v>8</v>
      </c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</row>
    <row r="308" spans="1:27" x14ac:dyDescent="0.2">
      <c r="A308" s="875">
        <v>9</v>
      </c>
      <c r="B308" s="816" t="str">
        <f t="shared" si="22"/>
        <v>Rutt Voldek, Urmas Randlaine</v>
      </c>
      <c r="C308" s="755">
        <f t="shared" si="23"/>
        <v>7</v>
      </c>
      <c r="D308" s="755"/>
      <c r="E308" s="755"/>
      <c r="F308" s="755"/>
      <c r="G308" s="755"/>
      <c r="H308" s="755"/>
      <c r="I308" s="755"/>
      <c r="J308" s="755"/>
      <c r="K308" s="755"/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</row>
    <row r="309" spans="1:27" x14ac:dyDescent="0.2">
      <c r="A309" s="875">
        <v>10</v>
      </c>
      <c r="B309" s="816" t="str">
        <f t="shared" si="22"/>
        <v>Klavdia Piik, Ülo Piik</v>
      </c>
      <c r="C309" s="755">
        <f t="shared" si="23"/>
        <v>6</v>
      </c>
      <c r="D309" s="755"/>
      <c r="E309" s="755"/>
      <c r="F309" s="755"/>
      <c r="G309" s="755"/>
      <c r="H309" s="755"/>
      <c r="I309" s="755"/>
      <c r="J309" s="755"/>
      <c r="K309" s="755"/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</row>
    <row r="310" spans="1:27" x14ac:dyDescent="0.2">
      <c r="A310" s="875">
        <v>11</v>
      </c>
      <c r="B310" s="816" t="str">
        <f t="shared" si="22"/>
        <v>Enn Tokman, Tarmo Bombe</v>
      </c>
      <c r="C310" s="755">
        <f t="shared" si="23"/>
        <v>5</v>
      </c>
      <c r="D310" s="755"/>
      <c r="E310" s="755"/>
      <c r="F310" s="755"/>
      <c r="G310" s="755"/>
      <c r="H310" s="755"/>
      <c r="I310" s="755"/>
      <c r="J310" s="755"/>
      <c r="K310" s="755"/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</row>
    <row r="311" spans="1:27" x14ac:dyDescent="0.2">
      <c r="A311" s="875">
        <v>12</v>
      </c>
      <c r="B311" s="816" t="str">
        <f t="shared" si="22"/>
        <v>Andres Veski, Svetlana Veski</v>
      </c>
      <c r="C311" s="755">
        <f t="shared" si="23"/>
        <v>4</v>
      </c>
      <c r="D311" s="755"/>
      <c r="E311" s="755"/>
      <c r="F311" s="755"/>
      <c r="G311" s="755"/>
      <c r="H311" s="755"/>
      <c r="I311" s="755"/>
      <c r="J311" s="755"/>
      <c r="K311" s="755"/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</row>
    <row r="312" spans="1:27" x14ac:dyDescent="0.2">
      <c r="A312" s="875">
        <v>13</v>
      </c>
      <c r="B312" s="816" t="str">
        <f t="shared" si="22"/>
        <v>Heili Vasser, Vello Vasser</v>
      </c>
      <c r="C312" s="755">
        <f t="shared" si="23"/>
        <v>3</v>
      </c>
      <c r="D312" s="755"/>
      <c r="E312" s="755"/>
      <c r="F312" s="755"/>
      <c r="G312" s="755"/>
      <c r="H312" s="755"/>
      <c r="I312" s="755"/>
      <c r="J312" s="755"/>
      <c r="K312" s="755"/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</row>
    <row r="313" spans="1:27" x14ac:dyDescent="0.2">
      <c r="A313" s="755"/>
      <c r="B313" s="754"/>
      <c r="C313" s="755"/>
      <c r="D313" s="755"/>
      <c r="E313" s="755"/>
      <c r="F313" s="755"/>
      <c r="G313" s="755"/>
      <c r="H313" s="755"/>
      <c r="I313" s="755"/>
      <c r="J313" s="755"/>
      <c r="K313" s="755"/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</row>
  </sheetData>
  <conditionalFormatting sqref="I56:I60">
    <cfRule type="expression" dxfId="3389" priority="91">
      <formula>FIND(2,I56,1)</formula>
    </cfRule>
    <cfRule type="expression" dxfId="3388" priority="92">
      <formula>FIND(1,I56,1)</formula>
    </cfRule>
  </conditionalFormatting>
  <conditionalFormatting sqref="A102:A116">
    <cfRule type="cellIs" dxfId="3387" priority="247" operator="equal">
      <formula>"-"</formula>
    </cfRule>
    <cfRule type="duplicateValues" dxfId="3386" priority="248"/>
  </conditionalFormatting>
  <conditionalFormatting sqref="A140:A154">
    <cfRule type="cellIs" dxfId="3385" priority="245" operator="equal">
      <formula>"-"</formula>
    </cfRule>
    <cfRule type="duplicateValues" dxfId="3384" priority="246"/>
  </conditionalFormatting>
  <conditionalFormatting sqref="D7 C8">
    <cfRule type="aboveAverage" dxfId="3383" priority="244"/>
  </conditionalFormatting>
  <conditionalFormatting sqref="E7 C9">
    <cfRule type="aboveAverage" dxfId="3382" priority="243"/>
  </conditionalFormatting>
  <conditionalFormatting sqref="F7 C10">
    <cfRule type="aboveAverage" dxfId="3381" priority="242"/>
  </conditionalFormatting>
  <conditionalFormatting sqref="E8 D9">
    <cfRule type="aboveAverage" dxfId="3380" priority="241"/>
  </conditionalFormatting>
  <conditionalFormatting sqref="G7 C11">
    <cfRule type="aboveAverage" dxfId="3379" priority="240"/>
  </conditionalFormatting>
  <conditionalFormatting sqref="F8 D10">
    <cfRule type="aboveAverage" dxfId="3378" priority="239"/>
  </conditionalFormatting>
  <conditionalFormatting sqref="G8 D11">
    <cfRule type="aboveAverage" dxfId="3377" priority="238"/>
  </conditionalFormatting>
  <conditionalFormatting sqref="F9 E10">
    <cfRule type="aboveAverage" dxfId="3376" priority="237"/>
  </conditionalFormatting>
  <conditionalFormatting sqref="G9 E11">
    <cfRule type="aboveAverage" dxfId="3375" priority="236"/>
  </conditionalFormatting>
  <conditionalFormatting sqref="F11 G10">
    <cfRule type="aboveAverage" dxfId="3374" priority="235"/>
  </conditionalFormatting>
  <conditionalFormatting sqref="K14:K18">
    <cfRule type="expression" dxfId="3373" priority="227">
      <formula>AND(J14=3,IF(COUNTIF(J$14:J$18,"=3")&gt;=2,TRUE))</formula>
    </cfRule>
    <cfRule type="expression" dxfId="3372" priority="233">
      <formula>AND(J14=1,IF(COUNTIF(J$14:J$18,"=1")&gt;=2,TRUE))</formula>
    </cfRule>
    <cfRule type="expression" dxfId="3371" priority="234">
      <formula>AND(J14=2,IF(COUNTIF(J$14:J$18,"=2")&gt;=2,TRUE))</formula>
    </cfRule>
  </conditionalFormatting>
  <conditionalFormatting sqref="K21:K25">
    <cfRule type="expression" dxfId="3370" priority="226">
      <formula>AND(J21=3,IF(COUNTIF(J$21:J$25,"=3")&gt;=2,TRUE))</formula>
    </cfRule>
    <cfRule type="expression" dxfId="3369" priority="231">
      <formula>AND(J21=1,IF(COUNTIF(J$21:J$25,"=1")&gt;=2,TRUE))</formula>
    </cfRule>
    <cfRule type="expression" dxfId="3368" priority="232">
      <formula>AND(J21=2,IF(COUNTIF(J$21:J$25,"=2")&gt;=2,TRUE))</formula>
    </cfRule>
  </conditionalFormatting>
  <conditionalFormatting sqref="K7:K11">
    <cfRule type="expression" dxfId="3367" priority="228">
      <formula>AND(J7=3,IF(COUNTIF(J$7:J$11,"=3")&gt;=2,TRUE))</formula>
    </cfRule>
    <cfRule type="expression" dxfId="3366" priority="229">
      <formula>AND(J7=1,IF(COUNTIF(J$7:J$11,"=1")&gt;=2,TRUE))</formula>
    </cfRule>
    <cfRule type="expression" dxfId="3365" priority="230">
      <formula>AND(J7=2,IF(COUNTIF(J$7:J$11,"=2")&gt;=2,TRUE))</formula>
    </cfRule>
  </conditionalFormatting>
  <conditionalFormatting sqref="H7:H11">
    <cfRule type="expression" dxfId="3364" priority="217">
      <formula>AND(J7=1,IF(COUNTIF(J$7:J$11,"=1")&gt;=2,TRUE))</formula>
    </cfRule>
    <cfRule type="expression" dxfId="3363" priority="224">
      <formula>AND(J7=3,IF(COUNTIF(J$7:J$11,"=3")&gt;=2,TRUE))</formula>
    </cfRule>
    <cfRule type="expression" dxfId="3362" priority="225">
      <formula>AND(J7=2,IF(COUNTIF(J$7:J$11,"=2")&gt;=2,TRUE))</formula>
    </cfRule>
  </conditionalFormatting>
  <conditionalFormatting sqref="H14:H18">
    <cfRule type="expression" dxfId="3361" priority="218">
      <formula>AND(J14=1,IF(COUNTIF(J$14:J$18,"=1")&gt;=2,TRUE))</formula>
    </cfRule>
    <cfRule type="expression" dxfId="3360" priority="222">
      <formula>AND(J14=3,IF(COUNTIF(J$14:J$18,"=3")&gt;=2,TRUE))</formula>
    </cfRule>
    <cfRule type="expression" dxfId="3359" priority="223">
      <formula>AND(J14=2,IF(COUNTIF(J$14:J$18,"=2")&gt;=2,TRUE))</formula>
    </cfRule>
  </conditionalFormatting>
  <conditionalFormatting sqref="H21:H25">
    <cfRule type="expression" dxfId="3358" priority="219">
      <formula>AND(J21=1,IF(COUNTIF(J$21:J$25,"=1")&gt;=2,TRUE))</formula>
    </cfRule>
    <cfRule type="expression" dxfId="3357" priority="220">
      <formula>AND(J21=3,IF(COUNTIF(J$21:J$25,"=3")&gt;=2,TRUE))</formula>
    </cfRule>
    <cfRule type="expression" dxfId="3356" priority="221">
      <formula>AND(J21=2,IF(COUNTIF(J$21:J$25,"=2")&gt;=2,TRUE))</formula>
    </cfRule>
  </conditionalFormatting>
  <conditionalFormatting sqref="C69 C73:C74">
    <cfRule type="aboveAverage" dxfId="3355" priority="216"/>
  </conditionalFormatting>
  <conditionalFormatting sqref="D69 D73:D74">
    <cfRule type="aboveAverage" dxfId="3354" priority="215"/>
  </conditionalFormatting>
  <conditionalFormatting sqref="K28:K32">
    <cfRule type="expression" dxfId="3353" priority="212">
      <formula>AND(J28=3,IF(COUNTIF(J$28:J$32,"=3")&gt;=2,TRUE))</formula>
    </cfRule>
    <cfRule type="expression" dxfId="3352" priority="213">
      <formula>AND(J28=1,IF(COUNTIF(J$28:J$32,"=1")&gt;=2,TRUE))</formula>
    </cfRule>
    <cfRule type="expression" dxfId="3351" priority="214">
      <formula>AND(J28=2,IF(COUNTIF(J$28:J$32,"=2")&gt;=2,TRUE))</formula>
    </cfRule>
  </conditionalFormatting>
  <conditionalFormatting sqref="H28:H32">
    <cfRule type="expression" dxfId="3350" priority="209">
      <formula>AND(J28=1,IF(COUNTIF(J$28:J$32,"=1")&gt;=2,TRUE))</formula>
    </cfRule>
    <cfRule type="expression" dxfId="3349" priority="210">
      <formula>AND(J28=3,IF(COUNTIF(J$28:J$32,"=3")&gt;=2,TRUE))</formula>
    </cfRule>
    <cfRule type="expression" dxfId="3348" priority="211">
      <formula>AND(J28=2,IF(COUNTIF(J$28:J$32,"=2")&gt;=2,TRUE))</formula>
    </cfRule>
  </conditionalFormatting>
  <conditionalFormatting sqref="D14 C15">
    <cfRule type="aboveAverage" dxfId="3347" priority="208"/>
  </conditionalFormatting>
  <conditionalFormatting sqref="E14 C16">
    <cfRule type="aboveAverage" dxfId="3346" priority="207"/>
  </conditionalFormatting>
  <conditionalFormatting sqref="F14 C17">
    <cfRule type="aboveAverage" dxfId="3345" priority="206"/>
  </conditionalFormatting>
  <conditionalFormatting sqref="E15 D16">
    <cfRule type="aboveAverage" dxfId="3344" priority="205"/>
  </conditionalFormatting>
  <conditionalFormatting sqref="G14 C18">
    <cfRule type="aboveAverage" dxfId="3343" priority="204"/>
  </conditionalFormatting>
  <conditionalFormatting sqref="F15 D17">
    <cfRule type="aboveAverage" dxfId="3342" priority="203"/>
  </conditionalFormatting>
  <conditionalFormatting sqref="G15 D18">
    <cfRule type="aboveAverage" dxfId="3341" priority="202"/>
  </conditionalFormatting>
  <conditionalFormatting sqref="F16 E17">
    <cfRule type="aboveAverage" dxfId="3340" priority="201"/>
  </conditionalFormatting>
  <conditionalFormatting sqref="G16 E18">
    <cfRule type="aboveAverage" dxfId="3339" priority="200"/>
  </conditionalFormatting>
  <conditionalFormatting sqref="F18 G17">
    <cfRule type="aboveAverage" dxfId="3338" priority="199"/>
  </conditionalFormatting>
  <conditionalFormatting sqref="D21 C22">
    <cfRule type="aboveAverage" dxfId="3337" priority="198"/>
  </conditionalFormatting>
  <conditionalFormatting sqref="E21 C23">
    <cfRule type="aboveAverage" dxfId="3336" priority="197"/>
  </conditionalFormatting>
  <conditionalFormatting sqref="F21 C24">
    <cfRule type="aboveAverage" dxfId="3335" priority="196"/>
  </conditionalFormatting>
  <conditionalFormatting sqref="E22 D23">
    <cfRule type="aboveAverage" dxfId="3334" priority="195"/>
  </conditionalFormatting>
  <conditionalFormatting sqref="G21 C25">
    <cfRule type="aboveAverage" dxfId="3333" priority="194"/>
  </conditionalFormatting>
  <conditionalFormatting sqref="F22 D24">
    <cfRule type="aboveAverage" dxfId="3332" priority="193"/>
  </conditionalFormatting>
  <conditionalFormatting sqref="G22 D25">
    <cfRule type="aboveAverage" dxfId="3331" priority="192"/>
  </conditionalFormatting>
  <conditionalFormatting sqref="F23 E24">
    <cfRule type="aboveAverage" dxfId="3330" priority="191"/>
  </conditionalFormatting>
  <conditionalFormatting sqref="G23 E25">
    <cfRule type="aboveAverage" dxfId="3329" priority="190"/>
  </conditionalFormatting>
  <conditionalFormatting sqref="F25 G24">
    <cfRule type="aboveAverage" dxfId="3328" priority="189"/>
  </conditionalFormatting>
  <conditionalFormatting sqref="D28 C29">
    <cfRule type="aboveAverage" dxfId="3327" priority="188"/>
  </conditionalFormatting>
  <conditionalFormatting sqref="E28 C30">
    <cfRule type="aboveAverage" dxfId="3326" priority="187"/>
  </conditionalFormatting>
  <conditionalFormatting sqref="F28 C31">
    <cfRule type="aboveAverage" dxfId="3325" priority="186"/>
  </conditionalFormatting>
  <conditionalFormatting sqref="E29 D30">
    <cfRule type="aboveAverage" dxfId="3324" priority="185"/>
  </conditionalFormatting>
  <conditionalFormatting sqref="G28 C32">
    <cfRule type="aboveAverage" dxfId="3323" priority="184"/>
  </conditionalFormatting>
  <conditionalFormatting sqref="F29 D31">
    <cfRule type="aboveAverage" dxfId="3322" priority="183"/>
  </conditionalFormatting>
  <conditionalFormatting sqref="G29 D32">
    <cfRule type="aboveAverage" dxfId="3321" priority="182"/>
  </conditionalFormatting>
  <conditionalFormatting sqref="F30 E31">
    <cfRule type="aboveAverage" dxfId="3320" priority="181"/>
  </conditionalFormatting>
  <conditionalFormatting sqref="G30 E32">
    <cfRule type="aboveAverage" dxfId="3319" priority="180"/>
  </conditionalFormatting>
  <conditionalFormatting sqref="F32 G31">
    <cfRule type="aboveAverage" dxfId="3318" priority="179"/>
  </conditionalFormatting>
  <conditionalFormatting sqref="D35 C36">
    <cfRule type="aboveAverage" dxfId="3317" priority="177"/>
  </conditionalFormatting>
  <conditionalFormatting sqref="E35 C37">
    <cfRule type="aboveAverage" dxfId="3316" priority="176"/>
  </conditionalFormatting>
  <conditionalFormatting sqref="F35 C38">
    <cfRule type="aboveAverage" dxfId="3315" priority="175"/>
  </conditionalFormatting>
  <conditionalFormatting sqref="E36 D37">
    <cfRule type="aboveAverage" dxfId="3314" priority="174"/>
  </conditionalFormatting>
  <conditionalFormatting sqref="G35 C39">
    <cfRule type="aboveAverage" dxfId="3313" priority="173"/>
  </conditionalFormatting>
  <conditionalFormatting sqref="F36 D38">
    <cfRule type="aboveAverage" dxfId="3312" priority="172"/>
  </conditionalFormatting>
  <conditionalFormatting sqref="G36 D39">
    <cfRule type="aboveAverage" dxfId="3311" priority="171"/>
  </conditionalFormatting>
  <conditionalFormatting sqref="F37 E38">
    <cfRule type="aboveAverage" dxfId="3310" priority="170"/>
  </conditionalFormatting>
  <conditionalFormatting sqref="G37 E39">
    <cfRule type="aboveAverage" dxfId="3309" priority="169"/>
  </conditionalFormatting>
  <conditionalFormatting sqref="F39 G38">
    <cfRule type="aboveAverage" dxfId="3308" priority="168"/>
  </conditionalFormatting>
  <conditionalFormatting sqref="K42:K46">
    <cfRule type="expression" dxfId="3307" priority="160">
      <formula>AND(J42=3,IF(COUNTIF(J$14:J$18,"=3")&gt;=2,TRUE))</formula>
    </cfRule>
    <cfRule type="expression" dxfId="3306" priority="166">
      <formula>AND(J42=1,IF(COUNTIF(J$14:J$18,"=1")&gt;=2,TRUE))</formula>
    </cfRule>
    <cfRule type="expression" dxfId="3305" priority="167">
      <formula>AND(J42=2,IF(COUNTIF(J$14:J$18,"=2")&gt;=2,TRUE))</formula>
    </cfRule>
  </conditionalFormatting>
  <conditionalFormatting sqref="K49:K53">
    <cfRule type="expression" dxfId="3304" priority="159">
      <formula>AND(J49=3,IF(COUNTIF(J$21:J$25,"=3")&gt;=2,TRUE))</formula>
    </cfRule>
    <cfRule type="expression" dxfId="3303" priority="164">
      <formula>AND(J49=1,IF(COUNTIF(J$21:J$25,"=1")&gt;=2,TRUE))</formula>
    </cfRule>
    <cfRule type="expression" dxfId="3302" priority="165">
      <formula>AND(J49=2,IF(COUNTIF(J$21:J$25,"=2")&gt;=2,TRUE))</formula>
    </cfRule>
  </conditionalFormatting>
  <conditionalFormatting sqref="K35:K39">
    <cfRule type="expression" dxfId="3301" priority="161">
      <formula>AND(J35=3,IF(COUNTIF(J$7:J$11,"=3")&gt;=2,TRUE))</formula>
    </cfRule>
    <cfRule type="expression" dxfId="3300" priority="162">
      <formula>AND(J35=1,IF(COUNTIF(J$7:J$11,"=1")&gt;=2,TRUE))</formula>
    </cfRule>
    <cfRule type="expression" dxfId="3299" priority="163">
      <formula>AND(J35=2,IF(COUNTIF(J$7:J$11,"=2")&gt;=2,TRUE))</formula>
    </cfRule>
  </conditionalFormatting>
  <conditionalFormatting sqref="H35:H39">
    <cfRule type="expression" dxfId="3298" priority="150">
      <formula>AND(J35=1,IF(COUNTIF(J$7:J$11,"=1")&gt;=2,TRUE))</formula>
    </cfRule>
    <cfRule type="expression" dxfId="3297" priority="157">
      <formula>AND(J35=3,IF(COUNTIF(J$7:J$11,"=3")&gt;=2,TRUE))</formula>
    </cfRule>
    <cfRule type="expression" dxfId="3296" priority="158">
      <formula>AND(J35=2,IF(COUNTIF(J$7:J$11,"=2")&gt;=2,TRUE))</formula>
    </cfRule>
  </conditionalFormatting>
  <conditionalFormatting sqref="H42:H46">
    <cfRule type="expression" dxfId="3295" priority="151">
      <formula>AND(J42=1,IF(COUNTIF(J$14:J$18,"=1")&gt;=2,TRUE))</formula>
    </cfRule>
    <cfRule type="expression" dxfId="3294" priority="155">
      <formula>AND(J42=3,IF(COUNTIF(J$14:J$18,"=3")&gt;=2,TRUE))</formula>
    </cfRule>
    <cfRule type="expression" dxfId="3293" priority="156">
      <formula>AND(J42=2,IF(COUNTIF(J$14:J$18,"=2")&gt;=2,TRUE))</formula>
    </cfRule>
  </conditionalFormatting>
  <conditionalFormatting sqref="H49:H53">
    <cfRule type="expression" dxfId="3292" priority="152">
      <formula>AND(J49=1,IF(COUNTIF(J$21:J$25,"=1")&gt;=2,TRUE))</formula>
    </cfRule>
    <cfRule type="expression" dxfId="3291" priority="153">
      <formula>AND(J49=3,IF(COUNTIF(J$21:J$25,"=3")&gt;=2,TRUE))</formula>
    </cfRule>
    <cfRule type="expression" dxfId="3290" priority="154">
      <formula>AND(J49=2,IF(COUNTIF(J$21:J$25,"=2")&gt;=2,TRUE))</formula>
    </cfRule>
  </conditionalFormatting>
  <conditionalFormatting sqref="K56:K60">
    <cfRule type="expression" dxfId="3289" priority="147">
      <formula>AND(J56=3,IF(COUNTIF(J$28:J$32,"=3")&gt;=2,TRUE))</formula>
    </cfRule>
    <cfRule type="expression" dxfId="3288" priority="148">
      <formula>AND(J56=1,IF(COUNTIF(J$28:J$32,"=1")&gt;=2,TRUE))</formula>
    </cfRule>
    <cfRule type="expression" dxfId="3287" priority="149">
      <formula>AND(J56=2,IF(COUNTIF(J$28:J$32,"=2")&gt;=2,TRUE))</formula>
    </cfRule>
  </conditionalFormatting>
  <conditionalFormatting sqref="H56:H60">
    <cfRule type="expression" dxfId="3286" priority="144">
      <formula>AND(J56=1,IF(COUNTIF(J$28:J$32,"=1")&gt;=2,TRUE))</formula>
    </cfRule>
    <cfRule type="expression" dxfId="3285" priority="145">
      <formula>AND(J56=3,IF(COUNTIF(J$28:J$32,"=3")&gt;=2,TRUE))</formula>
    </cfRule>
    <cfRule type="expression" dxfId="3284" priority="146">
      <formula>AND(J56=2,IF(COUNTIF(J$28:J$32,"=2")&gt;=2,TRUE))</formula>
    </cfRule>
  </conditionalFormatting>
  <conditionalFormatting sqref="B37">
    <cfRule type="duplicateValues" dxfId="3283" priority="178"/>
  </conditionalFormatting>
  <conditionalFormatting sqref="D42 C43">
    <cfRule type="aboveAverage" dxfId="3282" priority="142"/>
  </conditionalFormatting>
  <conditionalFormatting sqref="E42 C44">
    <cfRule type="aboveAverage" dxfId="3281" priority="141"/>
  </conditionalFormatting>
  <conditionalFormatting sqref="F42 C45">
    <cfRule type="aboveAverage" dxfId="3280" priority="140"/>
  </conditionalFormatting>
  <conditionalFormatting sqref="E43 D44">
    <cfRule type="aboveAverage" dxfId="3279" priority="139"/>
  </conditionalFormatting>
  <conditionalFormatting sqref="G42 C46">
    <cfRule type="aboveAverage" dxfId="3278" priority="138"/>
  </conditionalFormatting>
  <conditionalFormatting sqref="F43 D45">
    <cfRule type="aboveAverage" dxfId="3277" priority="137"/>
  </conditionalFormatting>
  <conditionalFormatting sqref="G43 D46">
    <cfRule type="aboveAverage" dxfId="3276" priority="136"/>
  </conditionalFormatting>
  <conditionalFormatting sqref="F44 E45">
    <cfRule type="aboveAverage" dxfId="3275" priority="135"/>
  </conditionalFormatting>
  <conditionalFormatting sqref="G44 E46">
    <cfRule type="aboveAverage" dxfId="3274" priority="134"/>
  </conditionalFormatting>
  <conditionalFormatting sqref="F46 G45">
    <cfRule type="aboveAverage" dxfId="3273" priority="133"/>
  </conditionalFormatting>
  <conditionalFormatting sqref="B44">
    <cfRule type="duplicateValues" dxfId="3272" priority="143"/>
  </conditionalFormatting>
  <conditionalFormatting sqref="D49 C50">
    <cfRule type="aboveAverage" dxfId="3271" priority="131"/>
  </conditionalFormatting>
  <conditionalFormatting sqref="E49 C51">
    <cfRule type="aboveAverage" dxfId="3270" priority="130"/>
  </conditionalFormatting>
  <conditionalFormatting sqref="F49 C52">
    <cfRule type="aboveAverage" dxfId="3269" priority="129"/>
  </conditionalFormatting>
  <conditionalFormatting sqref="E50 D51">
    <cfRule type="aboveAverage" dxfId="3268" priority="128"/>
  </conditionalFormatting>
  <conditionalFormatting sqref="G49 C53">
    <cfRule type="aboveAverage" dxfId="3267" priority="127"/>
  </conditionalFormatting>
  <conditionalFormatting sqref="F50 D52">
    <cfRule type="aboveAverage" dxfId="3266" priority="126"/>
  </conditionalFormatting>
  <conditionalFormatting sqref="G50 D53">
    <cfRule type="aboveAverage" dxfId="3265" priority="125"/>
  </conditionalFormatting>
  <conditionalFormatting sqref="F51 E52">
    <cfRule type="aboveAverage" dxfId="3264" priority="124"/>
  </conditionalFormatting>
  <conditionalFormatting sqref="G51 E53">
    <cfRule type="aboveAverage" dxfId="3263" priority="123"/>
  </conditionalFormatting>
  <conditionalFormatting sqref="F53 G52">
    <cfRule type="aboveAverage" dxfId="3262" priority="122"/>
  </conditionalFormatting>
  <conditionalFormatting sqref="B51">
    <cfRule type="duplicateValues" dxfId="3261" priority="132"/>
  </conditionalFormatting>
  <conditionalFormatting sqref="D56 C57">
    <cfRule type="aboveAverage" dxfId="3260" priority="120"/>
  </conditionalFormatting>
  <conditionalFormatting sqref="E56 C58">
    <cfRule type="aboveAverage" dxfId="3259" priority="119"/>
  </conditionalFormatting>
  <conditionalFormatting sqref="F56 C59">
    <cfRule type="aboveAverage" dxfId="3258" priority="118"/>
  </conditionalFormatting>
  <conditionalFormatting sqref="E57 D58">
    <cfRule type="aboveAverage" dxfId="3257" priority="117"/>
  </conditionalFormatting>
  <conditionalFormatting sqref="G56 C60">
    <cfRule type="aboveAverage" dxfId="3256" priority="116"/>
  </conditionalFormatting>
  <conditionalFormatting sqref="F57 D59">
    <cfRule type="aboveAverage" dxfId="3255" priority="115"/>
  </conditionalFormatting>
  <conditionalFormatting sqref="G57 D60">
    <cfRule type="aboveAverage" dxfId="3254" priority="114"/>
  </conditionalFormatting>
  <conditionalFormatting sqref="F58 E59">
    <cfRule type="aboveAverage" dxfId="3253" priority="113"/>
  </conditionalFormatting>
  <conditionalFormatting sqref="G58 E60">
    <cfRule type="aboveAverage" dxfId="3252" priority="112"/>
  </conditionalFormatting>
  <conditionalFormatting sqref="F60 G59">
    <cfRule type="aboveAverage" dxfId="3251" priority="111"/>
  </conditionalFormatting>
  <conditionalFormatting sqref="B58">
    <cfRule type="duplicateValues" dxfId="3250" priority="121"/>
  </conditionalFormatting>
  <conditionalFormatting sqref="I10:I11">
    <cfRule type="expression" dxfId="3249" priority="109">
      <formula>FIND(2,I10,1)</formula>
    </cfRule>
    <cfRule type="expression" dxfId="3248" priority="110">
      <formula>FIND(1,I10,1)</formula>
    </cfRule>
  </conditionalFormatting>
  <conditionalFormatting sqref="I7:I9">
    <cfRule type="expression" dxfId="3247" priority="107">
      <formula>FIND(2,I7,1)</formula>
    </cfRule>
    <cfRule type="expression" dxfId="3246" priority="108">
      <formula>FIND(1,I7,1)</formula>
    </cfRule>
  </conditionalFormatting>
  <conditionalFormatting sqref="I14:I18">
    <cfRule type="expression" dxfId="3245" priority="105">
      <formula>FIND(2,I14,1)</formula>
    </cfRule>
    <cfRule type="expression" dxfId="3244" priority="106">
      <formula>FIND(1,I14,1)</formula>
    </cfRule>
  </conditionalFormatting>
  <conditionalFormatting sqref="I21:I25">
    <cfRule type="expression" dxfId="3243" priority="103">
      <formula>FIND(2,I21,1)</formula>
    </cfRule>
    <cfRule type="expression" dxfId="3242" priority="104">
      <formula>FIND(1,I21,1)</formula>
    </cfRule>
  </conditionalFormatting>
  <conditionalFormatting sqref="I28:I32">
    <cfRule type="expression" dxfId="3241" priority="101">
      <formula>FIND(2,I28,1)</formula>
    </cfRule>
    <cfRule type="expression" dxfId="3240" priority="102">
      <formula>FIND(1,I28,1)</formula>
    </cfRule>
  </conditionalFormatting>
  <conditionalFormatting sqref="I38:I39">
    <cfRule type="expression" dxfId="3239" priority="99">
      <formula>FIND(2,I38,1)</formula>
    </cfRule>
    <cfRule type="expression" dxfId="3238" priority="100">
      <formula>FIND(1,I38,1)</formula>
    </cfRule>
  </conditionalFormatting>
  <conditionalFormatting sqref="I35:I37">
    <cfRule type="expression" dxfId="3237" priority="97">
      <formula>FIND(2,I35,1)</formula>
    </cfRule>
    <cfRule type="expression" dxfId="3236" priority="98">
      <formula>FIND(1,I35,1)</formula>
    </cfRule>
  </conditionalFormatting>
  <conditionalFormatting sqref="I42:I46">
    <cfRule type="expression" dxfId="3235" priority="95">
      <formula>FIND(2,I42,1)</formula>
    </cfRule>
    <cfRule type="expression" dxfId="3234" priority="96">
      <formula>FIND(1,I42,1)</formula>
    </cfRule>
  </conditionalFormatting>
  <conditionalFormatting sqref="I49:I53">
    <cfRule type="expression" dxfId="3233" priority="93">
      <formula>FIND(2,I49,1)</formula>
    </cfRule>
    <cfRule type="expression" dxfId="3232" priority="94">
      <formula>FIND(1,I49,1)</formula>
    </cfRule>
  </conditionalFormatting>
  <conditionalFormatting sqref="L15:L18">
    <cfRule type="expression" dxfId="3231" priority="85">
      <formula>OR(J15=0,J15=4)</formula>
    </cfRule>
    <cfRule type="expression" dxfId="3230" priority="89">
      <formula>AND(J15=1,IF(COUNTIF(J$14:J$18,"=1")=1,TRUE))</formula>
    </cfRule>
    <cfRule type="expression" dxfId="3229" priority="90">
      <formula>AND(J15=3,IF(COUNTIF(J$14:J$18,"=3")=1,TRUE))</formula>
    </cfRule>
  </conditionalFormatting>
  <conditionalFormatting sqref="L21:L25">
    <cfRule type="expression" dxfId="3228" priority="86">
      <formula>OR(J21=0,J21=4)</formula>
    </cfRule>
    <cfRule type="expression" dxfId="3227" priority="87">
      <formula>AND(J21=1,IF(COUNTIF(J$21:J$25,"=1")=1,TRUE))</formula>
    </cfRule>
    <cfRule type="expression" dxfId="3226" priority="88">
      <formula>AND(J21=3,IF(COUNTIF(J$21:J$25,"=3")=1,TRUE))</formula>
    </cfRule>
  </conditionalFormatting>
  <conditionalFormatting sqref="L7:L11">
    <cfRule type="expression" dxfId="3225" priority="82">
      <formula>OR(J7=0,J7=4)</formula>
    </cfRule>
    <cfRule type="expression" dxfId="3224" priority="83">
      <formula>AND(J7=1,IF(COUNTIF(J$7:J$11,"=1")=1,TRUE))</formula>
    </cfRule>
    <cfRule type="expression" dxfId="3223" priority="84">
      <formula>AND(J7=3,IF(COUNTIF(J$7:J$11,"=3")=1,TRUE))</formula>
    </cfRule>
  </conditionalFormatting>
  <conditionalFormatting sqref="L28:L32">
    <cfRule type="expression" dxfId="3222" priority="79">
      <formula>OR(J28=0,J28=4)</formula>
    </cfRule>
    <cfRule type="expression" dxfId="3221" priority="80">
      <formula>AND(J28=1,IF(COUNTIF(J$28:J$32,"=1")=1,TRUE))</formula>
    </cfRule>
    <cfRule type="expression" dxfId="3220" priority="81">
      <formula>AND(J28=3,IF(COUNTIF(J$28:J$32,"=3")=1,TRUE))</formula>
    </cfRule>
  </conditionalFormatting>
  <conditionalFormatting sqref="L43:L46">
    <cfRule type="expression" dxfId="3219" priority="73">
      <formula>OR(J43=0,J43=4)</formula>
    </cfRule>
    <cfRule type="expression" dxfId="3218" priority="77">
      <formula>AND(J43=1,IF(COUNTIF(J$14:J$18,"=1")=1,TRUE))</formula>
    </cfRule>
    <cfRule type="expression" dxfId="3217" priority="78">
      <formula>AND(J43=3,IF(COUNTIF(J$14:J$18,"=3")=1,TRUE))</formula>
    </cfRule>
  </conditionalFormatting>
  <conditionalFormatting sqref="L49:L53">
    <cfRule type="expression" dxfId="3216" priority="74">
      <formula>OR(J49=0,J49=4)</formula>
    </cfRule>
    <cfRule type="expression" dxfId="3215" priority="75">
      <formula>AND(J49=1,IF(COUNTIF(J$21:J$25,"=1")=1,TRUE))</formula>
    </cfRule>
    <cfRule type="expression" dxfId="3214" priority="76">
      <formula>AND(J49=3,IF(COUNTIF(J$21:J$25,"=3")=1,TRUE))</formula>
    </cfRule>
  </conditionalFormatting>
  <conditionalFormatting sqref="L35:L39">
    <cfRule type="expression" dxfId="3213" priority="70">
      <formula>OR(J35=0,J35=4)</formula>
    </cfRule>
    <cfRule type="expression" dxfId="3212" priority="71">
      <formula>AND(J35=1,IF(COUNTIF(J$7:J$11,"=1")=1,TRUE))</formula>
    </cfRule>
    <cfRule type="expression" dxfId="3211" priority="72">
      <formula>AND(J35=3,IF(COUNTIF(J$7:J$11,"=3")=1,TRUE))</formula>
    </cfRule>
  </conditionalFormatting>
  <conditionalFormatting sqref="L56:L60">
    <cfRule type="expression" dxfId="3210" priority="67">
      <formula>OR(J56=0,J56=4)</formula>
    </cfRule>
    <cfRule type="expression" dxfId="3209" priority="68">
      <formula>AND(J56=1,IF(COUNTIF(J$28:J$32,"=1")=1,TRUE))</formula>
    </cfRule>
    <cfRule type="expression" dxfId="3208" priority="69">
      <formula>AND(J56=3,IF(COUNTIF(J$28:J$32,"=3")=1,TRUE))</formula>
    </cfRule>
  </conditionalFormatting>
  <conditionalFormatting sqref="L14">
    <cfRule type="expression" dxfId="3207" priority="64">
      <formula>OR(J14=0,J14=4)</formula>
    </cfRule>
    <cfRule type="expression" dxfId="3206" priority="65">
      <formula>AND(J14=1,IF(COUNTIF(J$7:J$11,"=1")=1,TRUE))</formula>
    </cfRule>
    <cfRule type="expression" dxfId="3205" priority="66">
      <formula>AND(J14=3,IF(COUNTIF(J$7:J$11,"=3")=1,TRUE))</formula>
    </cfRule>
  </conditionalFormatting>
  <conditionalFormatting sqref="L42">
    <cfRule type="expression" dxfId="3204" priority="61">
      <formula>OR(J42=0,J42=4)</formula>
    </cfRule>
    <cfRule type="expression" dxfId="3203" priority="62">
      <formula>AND(J42=1,IF(COUNTIF(J$7:J$11,"=1")=1,TRUE))</formula>
    </cfRule>
    <cfRule type="expression" dxfId="3202" priority="63">
      <formula>AND(J42=3,IF(COUNTIF(J$7:J$11,"=3")=1,TRUE))</formula>
    </cfRule>
  </conditionalFormatting>
  <conditionalFormatting sqref="E123 E125">
    <cfRule type="aboveAverage" dxfId="3201" priority="60"/>
  </conditionalFormatting>
  <conditionalFormatting sqref="E127 E129">
    <cfRule type="aboveAverage" dxfId="3200" priority="59"/>
  </conditionalFormatting>
  <conditionalFormatting sqref="G124 G128">
    <cfRule type="aboveAverage" dxfId="3199" priority="58"/>
  </conditionalFormatting>
  <conditionalFormatting sqref="G131 G133">
    <cfRule type="aboveAverage" dxfId="3198" priority="57"/>
  </conditionalFormatting>
  <conditionalFormatting sqref="E123 E125 E127 E129 G124 G128 G131 G133">
    <cfRule type="containsBlanks" dxfId="3197" priority="56">
      <formula>LEN(TRIM(E123))=0</formula>
    </cfRule>
  </conditionalFormatting>
  <conditionalFormatting sqref="C102 C104">
    <cfRule type="aboveAverage" dxfId="3196" priority="55"/>
  </conditionalFormatting>
  <conditionalFormatting sqref="E103 E107">
    <cfRule type="aboveAverage" dxfId="3195" priority="54"/>
  </conditionalFormatting>
  <conditionalFormatting sqref="C110 C112">
    <cfRule type="aboveAverage" dxfId="3194" priority="53"/>
  </conditionalFormatting>
  <conditionalFormatting sqref="G105 G113">
    <cfRule type="aboveAverage" dxfId="3193" priority="52"/>
  </conditionalFormatting>
  <conditionalFormatting sqref="C102 C104 C110 C112 E103 G105 E107 G113">
    <cfRule type="containsBlanks" dxfId="3192" priority="51">
      <formula>LEN(TRIM(C102))=0</formula>
    </cfRule>
  </conditionalFormatting>
  <conditionalFormatting sqref="C106 C108">
    <cfRule type="aboveAverage" dxfId="3191" priority="50"/>
  </conditionalFormatting>
  <conditionalFormatting sqref="C106 C108">
    <cfRule type="containsBlanks" dxfId="3190" priority="49">
      <formula>LEN(TRIM(C106))=0</formula>
    </cfRule>
  </conditionalFormatting>
  <conditionalFormatting sqref="C114 C116">
    <cfRule type="aboveAverage" dxfId="3189" priority="48"/>
  </conditionalFormatting>
  <conditionalFormatting sqref="C114 C116">
    <cfRule type="containsBlanks" dxfId="3188" priority="47">
      <formula>LEN(TRIM(C114))=0</formula>
    </cfRule>
  </conditionalFormatting>
  <conditionalFormatting sqref="E103">
    <cfRule type="aboveAverage" dxfId="3187" priority="46"/>
  </conditionalFormatting>
  <conditionalFormatting sqref="E107">
    <cfRule type="aboveAverage" dxfId="3186" priority="45"/>
  </conditionalFormatting>
  <conditionalFormatting sqref="G105">
    <cfRule type="aboveAverage" dxfId="3185" priority="44"/>
  </conditionalFormatting>
  <conditionalFormatting sqref="G105">
    <cfRule type="aboveAverage" dxfId="3184" priority="43"/>
  </conditionalFormatting>
  <conditionalFormatting sqref="G113">
    <cfRule type="aboveAverage" dxfId="3183" priority="42"/>
  </conditionalFormatting>
  <conditionalFormatting sqref="G113">
    <cfRule type="aboveAverage" dxfId="3182" priority="41"/>
  </conditionalFormatting>
  <conditionalFormatting sqref="G117 G119">
    <cfRule type="aboveAverage" dxfId="3181" priority="40"/>
  </conditionalFormatting>
  <conditionalFormatting sqref="G117 G119">
    <cfRule type="containsBlanks" dxfId="3180" priority="39">
      <formula>LEN(TRIM(G117))=0</formula>
    </cfRule>
  </conditionalFormatting>
  <conditionalFormatting sqref="E107">
    <cfRule type="aboveAverage" dxfId="3179" priority="38"/>
  </conditionalFormatting>
  <conditionalFormatting sqref="E111 E115">
    <cfRule type="aboveAverage" dxfId="3178" priority="37"/>
  </conditionalFormatting>
  <conditionalFormatting sqref="E111 E115">
    <cfRule type="containsBlanks" dxfId="3177" priority="36">
      <formula>LEN(TRIM(E111))=0</formula>
    </cfRule>
  </conditionalFormatting>
  <conditionalFormatting sqref="E111">
    <cfRule type="aboveAverage" dxfId="3176" priority="35"/>
  </conditionalFormatting>
  <conditionalFormatting sqref="E115">
    <cfRule type="aboveAverage" dxfId="3175" priority="34"/>
  </conditionalFormatting>
  <conditionalFormatting sqref="E115">
    <cfRule type="aboveAverage" dxfId="3174" priority="33"/>
  </conditionalFormatting>
  <conditionalFormatting sqref="G113">
    <cfRule type="aboveAverage" dxfId="3173" priority="32"/>
  </conditionalFormatting>
  <conditionalFormatting sqref="G113">
    <cfRule type="aboveAverage" dxfId="3172" priority="31"/>
  </conditionalFormatting>
  <conditionalFormatting sqref="E161 E163">
    <cfRule type="aboveAverage" dxfId="3171" priority="30"/>
  </conditionalFormatting>
  <conditionalFormatting sqref="E165 E167">
    <cfRule type="aboveAverage" dxfId="3170" priority="29"/>
  </conditionalFormatting>
  <conditionalFormatting sqref="G162 G166">
    <cfRule type="aboveAverage" dxfId="3169" priority="28"/>
  </conditionalFormatting>
  <conditionalFormatting sqref="G169 G171">
    <cfRule type="aboveAverage" dxfId="3168" priority="27"/>
  </conditionalFormatting>
  <conditionalFormatting sqref="E161 E163 E165 E167 G162 G166 G169 G171">
    <cfRule type="containsBlanks" dxfId="3167" priority="26">
      <formula>LEN(TRIM(E161))=0</formula>
    </cfRule>
  </conditionalFormatting>
  <conditionalFormatting sqref="C140 C142">
    <cfRule type="aboveAverage" dxfId="3166" priority="25"/>
  </conditionalFormatting>
  <conditionalFormatting sqref="E141 E145">
    <cfRule type="aboveAverage" dxfId="3165" priority="24"/>
  </conditionalFormatting>
  <conditionalFormatting sqref="C148 C150">
    <cfRule type="aboveAverage" dxfId="3164" priority="23"/>
  </conditionalFormatting>
  <conditionalFormatting sqref="G143 G151">
    <cfRule type="aboveAverage" dxfId="3163" priority="22"/>
  </conditionalFormatting>
  <conditionalFormatting sqref="C140 C142 C148 C150 E141 G143 E145 G151">
    <cfRule type="containsBlanks" dxfId="3162" priority="21">
      <formula>LEN(TRIM(C140))=0</formula>
    </cfRule>
  </conditionalFormatting>
  <conditionalFormatting sqref="C144 C146">
    <cfRule type="aboveAverage" dxfId="3161" priority="20"/>
  </conditionalFormatting>
  <conditionalFormatting sqref="C144 C146">
    <cfRule type="containsBlanks" dxfId="3160" priority="19">
      <formula>LEN(TRIM(C144))=0</formula>
    </cfRule>
  </conditionalFormatting>
  <conditionalFormatting sqref="E141">
    <cfRule type="aboveAverage" dxfId="3159" priority="18"/>
  </conditionalFormatting>
  <conditionalFormatting sqref="E145">
    <cfRule type="aboveAverage" dxfId="3158" priority="17"/>
  </conditionalFormatting>
  <conditionalFormatting sqref="G143">
    <cfRule type="aboveAverage" dxfId="3157" priority="16"/>
  </conditionalFormatting>
  <conditionalFormatting sqref="G143">
    <cfRule type="aboveAverage" dxfId="3156" priority="15"/>
  </conditionalFormatting>
  <conditionalFormatting sqref="G151">
    <cfRule type="aboveAverage" dxfId="3155" priority="14"/>
  </conditionalFormatting>
  <conditionalFormatting sqref="G151">
    <cfRule type="aboveAverage" dxfId="3154" priority="13"/>
  </conditionalFormatting>
  <conditionalFormatting sqref="G155 G157">
    <cfRule type="aboveAverage" dxfId="3153" priority="12"/>
  </conditionalFormatting>
  <conditionalFormatting sqref="G155 G157">
    <cfRule type="containsBlanks" dxfId="3152" priority="11">
      <formula>LEN(TRIM(G155))=0</formula>
    </cfRule>
  </conditionalFormatting>
  <conditionalFormatting sqref="E145">
    <cfRule type="aboveAverage" dxfId="3151" priority="10"/>
  </conditionalFormatting>
  <conditionalFormatting sqref="E149 E153">
    <cfRule type="aboveAverage" dxfId="3150" priority="9"/>
  </conditionalFormatting>
  <conditionalFormatting sqref="E149 E153">
    <cfRule type="containsBlanks" dxfId="3149" priority="8">
      <formula>LEN(TRIM(E149))=0</formula>
    </cfRule>
  </conditionalFormatting>
  <conditionalFormatting sqref="E149">
    <cfRule type="aboveAverage" dxfId="3148" priority="7"/>
  </conditionalFormatting>
  <conditionalFormatting sqref="E153">
    <cfRule type="aboveAverage" dxfId="3147" priority="6"/>
  </conditionalFormatting>
  <conditionalFormatting sqref="E153">
    <cfRule type="aboveAverage" dxfId="3146" priority="5"/>
  </conditionalFormatting>
  <conditionalFormatting sqref="G151">
    <cfRule type="aboveAverage" dxfId="3145" priority="4"/>
  </conditionalFormatting>
  <conditionalFormatting sqref="G151">
    <cfRule type="aboveAverage" dxfId="3144" priority="3"/>
  </conditionalFormatting>
  <conditionalFormatting sqref="C152 C154">
    <cfRule type="aboveAverage" dxfId="3143" priority="2"/>
  </conditionalFormatting>
  <conditionalFormatting sqref="C152 C154">
    <cfRule type="containsBlanks" dxfId="3142" priority="1">
      <formula>LEN(TRIM(C152))=0</formula>
    </cfRule>
  </conditionalFormatting>
  <conditionalFormatting sqref="B301:B313">
    <cfRule type="containsBlanks" dxfId="3141" priority="252">
      <formula>LEN(TRIM(B301))=0</formula>
    </cfRule>
    <cfRule type="duplicateValues" dxfId="3140" priority="253"/>
  </conditionalFormatting>
  <conditionalFormatting sqref="B300:B313">
    <cfRule type="expression" dxfId="3139" priority="254">
      <formula>A300=3</formula>
    </cfRule>
    <cfRule type="expression" dxfId="3138" priority="255">
      <formula>A300=2</formula>
    </cfRule>
    <cfRule type="expression" dxfId="3137" priority="256">
      <formula>A300=1</formula>
    </cfRule>
    <cfRule type="containsBlanks" dxfId="3136" priority="257">
      <formula>LEN(TRIM(B300))=0</formula>
    </cfRule>
    <cfRule type="duplicateValues" dxfId="3135" priority="258"/>
  </conditionalFormatting>
  <conditionalFormatting sqref="T7:T60 X7:X60 Z7:Z60">
    <cfRule type="expression" dxfId="3134" priority="264">
      <formula>AND(S7="",COUNTIF(T7,"*,*")=0)</formula>
    </cfRule>
  </conditionalFormatting>
  <conditionalFormatting sqref="V7:V60">
    <cfRule type="expression" dxfId="3133" priority="265">
      <formula>AND(U7="",FIND(",",V7))</formula>
    </cfRule>
    <cfRule type="expression" dxfId="3132" priority="266">
      <formula>AND(U7="",COUNTIF(V7,"*,*")=0)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  <rowBreaks count="4" manualBreakCount="4">
    <brk id="68" max="16383" man="1"/>
    <brk id="98" max="16383" man="1"/>
    <brk id="136" max="16383" man="1"/>
    <brk id="297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Q310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9.1406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7.7109375" style="1" hidden="1" customWidth="1"/>
    <col min="35" max="35" width="6" style="1" hidden="1" customWidth="1"/>
    <col min="36" max="36" width="16.5703125" style="1" hidden="1" customWidth="1"/>
    <col min="37" max="37" width="6" style="1" hidden="1" customWidth="1"/>
    <col min="38" max="38" width="20.7109375" style="1" hidden="1" customWidth="1"/>
    <col min="39" max="39" width="5" style="1" hidden="1" customWidth="1"/>
    <col min="40" max="40" width="17.28515625" style="1" hidden="1" customWidth="1"/>
    <col min="41" max="41" width="3" style="1" hidden="1" customWidth="1"/>
    <col min="42" max="42" width="13.85546875" style="1" hidden="1" customWidth="1"/>
    <col min="43" max="16384" width="9.140625" style="1"/>
  </cols>
  <sheetData>
    <row r="1" spans="1:43" x14ac:dyDescent="0.2">
      <c r="A1" s="753" t="str">
        <f>UPPER((Kalend!E10)&amp;" - "&amp;(Kalend!C10)&amp;" - "&amp;(Kalend!D10))</f>
        <v>V4 - VOKA 2. SISE-KV 4.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817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</row>
    <row r="2" spans="1:43" x14ac:dyDescent="0.2">
      <c r="A2" s="757" t="str">
        <f>"Toimumisaeg: "&amp;(Kalend!A10)&amp;" kell "&amp;(Kalend!B10)</f>
        <v>Toimumisaeg: L, 10.11.2018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</row>
    <row r="3" spans="1:43" x14ac:dyDescent="0.2">
      <c r="A3" s="757" t="str">
        <f>"Toimumiskoht: "&amp;(Kalend!F10)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</row>
    <row r="4" spans="1:43" x14ac:dyDescent="0.2">
      <c r="A4" s="757" t="str">
        <f>"Korraldaja: "&amp;(Kalend!G10)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</row>
    <row r="5" spans="1:43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</row>
    <row r="6" spans="1:43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</row>
    <row r="7" spans="1:43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</row>
    <row r="8" spans="1:43" x14ac:dyDescent="0.2">
      <c r="A8" s="897">
        <v>1</v>
      </c>
      <c r="B8" s="775" t="s">
        <v>449</v>
      </c>
      <c r="C8" s="900">
        <v>13</v>
      </c>
      <c r="D8" s="901" t="s">
        <v>450</v>
      </c>
      <c r="E8" s="902">
        <v>9</v>
      </c>
      <c r="F8" s="903" t="str">
        <f>B9</f>
        <v>Jaan Sepp, Oskar Sepp</v>
      </c>
      <c r="G8" s="900">
        <v>13</v>
      </c>
      <c r="H8" s="901" t="s">
        <v>450</v>
      </c>
      <c r="I8" s="902">
        <v>10</v>
      </c>
      <c r="J8" s="903" t="str">
        <f>B14</f>
        <v>Klavdia Piik, Ülo Piik</v>
      </c>
      <c r="K8" s="900">
        <v>13</v>
      </c>
      <c r="L8" s="901" t="s">
        <v>450</v>
      </c>
      <c r="M8" s="902">
        <v>6</v>
      </c>
      <c r="N8" s="903" t="str">
        <f>B10</f>
        <v>Johannes Neiland, Vladimir Ogneštšikov</v>
      </c>
      <c r="O8" s="900">
        <v>13</v>
      </c>
      <c r="P8" s="901" t="s">
        <v>450</v>
      </c>
      <c r="Q8" s="902">
        <v>3</v>
      </c>
      <c r="R8" s="903" t="str">
        <f>B11</f>
        <v>Meelis Luud, Oleg Rõndenkov</v>
      </c>
      <c r="S8" s="900">
        <v>13</v>
      </c>
      <c r="T8" s="901" t="s">
        <v>450</v>
      </c>
      <c r="U8" s="902">
        <v>10</v>
      </c>
      <c r="V8" s="903" t="str">
        <f>B13</f>
        <v>Boriss Klubov, Mait Metsla</v>
      </c>
      <c r="W8" s="900"/>
      <c r="X8" s="901" t="s">
        <v>450</v>
      </c>
      <c r="Y8" s="902"/>
      <c r="Z8" s="903"/>
      <c r="AA8" s="904">
        <f t="shared" ref="AA8:AA17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5</v>
      </c>
      <c r="AB8" s="905"/>
      <c r="AC8" s="900">
        <f t="shared" ref="AC8:AC17" si="1">C8+G8+K8+O8+S8+W8</f>
        <v>65</v>
      </c>
      <c r="AD8" s="901" t="s">
        <v>450</v>
      </c>
      <c r="AE8" s="906">
        <f t="shared" ref="AE8:AE17" si="2">E8+I8+M8+Q8+U8+Y8</f>
        <v>38</v>
      </c>
      <c r="AF8" s="907">
        <f t="shared" ref="AF8:AF17" si="3">AC8-AE8</f>
        <v>27</v>
      </c>
      <c r="AG8" s="908"/>
      <c r="AH8" s="764">
        <f t="shared" ref="AH8:AH20" si="4">SUM(AI8:AP8)</f>
        <v>169</v>
      </c>
      <c r="AI8" s="784">
        <f>IFERROR(INDEX(V!$R:$R,MATCH(AJ8,V!$L:$L,0)),"")</f>
        <v>131</v>
      </c>
      <c r="AJ8" s="783" t="str">
        <f t="shared" ref="AJ8:AJ20" si="5">IFERROR(LEFT($B8,(FIND(",",$B8,1)-1)),"")</f>
        <v>Kenneth Muusikus</v>
      </c>
      <c r="AK8" s="784">
        <f>IFERROR(INDEX(V!$R:$R,MATCH(AL8,V!$L:$L,0)),"")</f>
        <v>38</v>
      </c>
      <c r="AL8" s="783" t="str">
        <f t="shared" ref="AL8:AL20" si="6">IFERROR(MID($B8,FIND(", ",$B8)+2,256),"")</f>
        <v>Tõnis Neiland</v>
      </c>
      <c r="AM8" s="784" t="str">
        <f>IFERROR(INDEX(V!$R:$R,MATCH(AN8,V!$L:$L,0)),"")</f>
        <v/>
      </c>
      <c r="AN8" s="785" t="str">
        <f t="shared" ref="AN8:AN20" si="7">IFERROR(MID($B8,FIND("^",SUBSTITUTE($B8,", ","^",1))+2,FIND("^",SUBSTITUTE($B8,", ","^",2))-FIND("^",SUBSTITUTE($B8,", ","^",1))-2),"")</f>
        <v/>
      </c>
      <c r="AO8" s="784" t="str">
        <f>IFERROR(INDEX(V!$R:$R,MATCH(AP8,V!$L:$L,0)),"")</f>
        <v/>
      </c>
      <c r="AP8" s="785" t="str">
        <f t="shared" ref="AP8:AP20" si="8">IFERROR(MID($B8,FIND(", ",$B8,FIND(", ",$B8,FIND(", ",$B8))+1)+2,700),"")</f>
        <v/>
      </c>
      <c r="AQ8" s="760"/>
    </row>
    <row r="9" spans="1:43" x14ac:dyDescent="0.2">
      <c r="A9" s="897">
        <v>2</v>
      </c>
      <c r="B9" s="775" t="s">
        <v>368</v>
      </c>
      <c r="C9" s="900">
        <v>9</v>
      </c>
      <c r="D9" s="901" t="s">
        <v>450</v>
      </c>
      <c r="E9" s="902">
        <v>13</v>
      </c>
      <c r="F9" s="903" t="str">
        <f>B8</f>
        <v>Kenneth Muusikus, Tõnis Neiland</v>
      </c>
      <c r="G9" s="900">
        <v>13</v>
      </c>
      <c r="H9" s="901" t="s">
        <v>450</v>
      </c>
      <c r="I9" s="902">
        <v>10</v>
      </c>
      <c r="J9" s="903" t="str">
        <f>B13</f>
        <v>Boriss Klubov, Mait Metsla</v>
      </c>
      <c r="K9" s="900">
        <v>13</v>
      </c>
      <c r="L9" s="901" t="s">
        <v>450</v>
      </c>
      <c r="M9" s="902">
        <v>10</v>
      </c>
      <c r="N9" s="903" t="str">
        <f>B14</f>
        <v>Klavdia Piik, Ülo Piik</v>
      </c>
      <c r="O9" s="900">
        <v>13</v>
      </c>
      <c r="P9" s="901" t="s">
        <v>450</v>
      </c>
      <c r="Q9" s="902">
        <v>4</v>
      </c>
      <c r="R9" s="903" t="str">
        <f>B17</f>
        <v>Karla Purgats, Lemmit Toomra</v>
      </c>
      <c r="S9" s="900">
        <v>13</v>
      </c>
      <c r="T9" s="901" t="s">
        <v>450</v>
      </c>
      <c r="U9" s="902">
        <v>1</v>
      </c>
      <c r="V9" s="903" t="str">
        <f>B10</f>
        <v>Johannes Neiland, Vladimir Ogneštšikov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61</v>
      </c>
      <c r="AD9" s="901" t="s">
        <v>450</v>
      </c>
      <c r="AE9" s="906">
        <f t="shared" si="2"/>
        <v>38</v>
      </c>
      <c r="AF9" s="907">
        <f t="shared" si="3"/>
        <v>23</v>
      </c>
      <c r="AG9" s="908"/>
      <c r="AH9" s="764">
        <f t="shared" si="4"/>
        <v>317</v>
      </c>
      <c r="AI9" s="784">
        <f>IFERROR(INDEX(V!$R:$R,MATCH(AJ9,V!$L:$L,0)),"")</f>
        <v>159</v>
      </c>
      <c r="AJ9" s="783" t="str">
        <f t="shared" si="5"/>
        <v>Jaan Sepp</v>
      </c>
      <c r="AK9" s="784">
        <f>IFERROR(INDEX(V!$R:$R,MATCH(AL9,V!$L:$L,0)),"")</f>
        <v>158</v>
      </c>
      <c r="AL9" s="783" t="str">
        <f t="shared" si="6"/>
        <v>Oskar Sepp</v>
      </c>
      <c r="AM9" s="784" t="str">
        <f>IFERROR(INDEX(V!$R:$R,MATCH(AN9,V!$L:$L,0)),"")</f>
        <v/>
      </c>
      <c r="AN9" s="785" t="str">
        <f t="shared" si="7"/>
        <v/>
      </c>
      <c r="AO9" s="784" t="str">
        <f>IFERROR(INDEX(V!$R:$R,MATCH(AP9,V!$L:$L,0)),"")</f>
        <v/>
      </c>
      <c r="AP9" s="785" t="str">
        <f t="shared" si="8"/>
        <v/>
      </c>
      <c r="AQ9" s="760"/>
    </row>
    <row r="10" spans="1:43" x14ac:dyDescent="0.2">
      <c r="A10" s="897">
        <v>3</v>
      </c>
      <c r="B10" s="909" t="s">
        <v>451</v>
      </c>
      <c r="C10" s="900">
        <v>13</v>
      </c>
      <c r="D10" s="901" t="s">
        <v>450</v>
      </c>
      <c r="E10" s="902">
        <v>6</v>
      </c>
      <c r="F10" s="903" t="str">
        <f>B16</f>
        <v>Enn Tokman, Tarmo Bombe</v>
      </c>
      <c r="G10" s="900">
        <v>13</v>
      </c>
      <c r="H10" s="901" t="s">
        <v>450</v>
      </c>
      <c r="I10" s="902">
        <v>12</v>
      </c>
      <c r="J10" s="903" t="str">
        <f>B11</f>
        <v>Meelis Luud, Oleg Rõndenkov</v>
      </c>
      <c r="K10" s="900">
        <v>6</v>
      </c>
      <c r="L10" s="901" t="s">
        <v>450</v>
      </c>
      <c r="M10" s="902">
        <v>13</v>
      </c>
      <c r="N10" s="903" t="str">
        <f>B8</f>
        <v>Kenneth Muusikus, Tõnis Neiland</v>
      </c>
      <c r="O10" s="900">
        <v>13</v>
      </c>
      <c r="P10" s="901" t="s">
        <v>450</v>
      </c>
      <c r="Q10" s="902">
        <v>3</v>
      </c>
      <c r="R10" s="903" t="str">
        <f>B13</f>
        <v>Boriss Klubov, Mait Metsla</v>
      </c>
      <c r="S10" s="900">
        <v>1</v>
      </c>
      <c r="T10" s="901" t="s">
        <v>450</v>
      </c>
      <c r="U10" s="902">
        <v>13</v>
      </c>
      <c r="V10" s="903" t="str">
        <f>B9</f>
        <v>Jaan Sepp, Oskar Sepp</v>
      </c>
      <c r="W10" s="900"/>
      <c r="X10" s="901" t="s">
        <v>450</v>
      </c>
      <c r="Y10" s="902"/>
      <c r="Z10" s="903"/>
      <c r="AA10" s="910">
        <f t="shared" si="0"/>
        <v>3</v>
      </c>
      <c r="AB10" s="905"/>
      <c r="AC10" s="900">
        <f t="shared" si="1"/>
        <v>46</v>
      </c>
      <c r="AD10" s="901" t="s">
        <v>450</v>
      </c>
      <c r="AE10" s="906">
        <f t="shared" si="2"/>
        <v>47</v>
      </c>
      <c r="AF10" s="907">
        <f t="shared" si="3"/>
        <v>-1</v>
      </c>
      <c r="AG10" s="908"/>
      <c r="AH10" s="764">
        <f t="shared" si="4"/>
        <v>201.5</v>
      </c>
      <c r="AI10" s="784">
        <f>IFERROR(INDEX(V!$R:$R,MATCH(AJ10,V!$L:$L,0)),"")</f>
        <v>94</v>
      </c>
      <c r="AJ10" s="783" t="str">
        <f t="shared" si="5"/>
        <v>Johannes Neiland</v>
      </c>
      <c r="AK10" s="784">
        <f>IFERROR(INDEX(V!$R:$R,MATCH(AL10,V!$L:$L,0)),"")</f>
        <v>107.5</v>
      </c>
      <c r="AL10" s="783" t="str">
        <f t="shared" si="6"/>
        <v>Vladimir Ogneštšikov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</row>
    <row r="11" spans="1:43" x14ac:dyDescent="0.2">
      <c r="A11" s="897">
        <v>4</v>
      </c>
      <c r="B11" s="909" t="s">
        <v>452</v>
      </c>
      <c r="C11" s="900">
        <v>13</v>
      </c>
      <c r="D11" s="901" t="s">
        <v>450</v>
      </c>
      <c r="E11" s="902">
        <v>5</v>
      </c>
      <c r="F11" s="903" t="str">
        <f>B12</f>
        <v>Einar Juhkam, Illar Tõnurist, Jaan Saar</v>
      </c>
      <c r="G11" s="900">
        <v>12</v>
      </c>
      <c r="H11" s="901" t="s">
        <v>450</v>
      </c>
      <c r="I11" s="902">
        <v>13</v>
      </c>
      <c r="J11" s="903" t="str">
        <f>B10</f>
        <v>Johannes Neiland, Vladimir Ogneštšikov</v>
      </c>
      <c r="K11" s="900">
        <v>13</v>
      </c>
      <c r="L11" s="901" t="s">
        <v>450</v>
      </c>
      <c r="M11" s="902">
        <v>3</v>
      </c>
      <c r="N11" s="903" t="str">
        <f>B15</f>
        <v>Elmo Lageda, Tõnu Piik</v>
      </c>
      <c r="O11" s="900">
        <v>3</v>
      </c>
      <c r="P11" s="901" t="s">
        <v>450</v>
      </c>
      <c r="Q11" s="902">
        <v>13</v>
      </c>
      <c r="R11" s="903" t="str">
        <f>B8</f>
        <v>Kenneth Muusikus, Tõnis Neiland</v>
      </c>
      <c r="S11" s="900">
        <v>13</v>
      </c>
      <c r="T11" s="901" t="s">
        <v>450</v>
      </c>
      <c r="U11" s="902">
        <v>2</v>
      </c>
      <c r="V11" s="903" t="str">
        <f>B17</f>
        <v>Karla Purgats, Lemmit Toomra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00">
        <f t="shared" si="1"/>
        <v>54</v>
      </c>
      <c r="AD11" s="901" t="s">
        <v>450</v>
      </c>
      <c r="AE11" s="906">
        <f t="shared" si="2"/>
        <v>36</v>
      </c>
      <c r="AF11" s="907">
        <f t="shared" si="3"/>
        <v>18</v>
      </c>
      <c r="AG11" s="908"/>
      <c r="AH11" s="764">
        <f t="shared" si="4"/>
        <v>191.5</v>
      </c>
      <c r="AI11" s="784">
        <f>IFERROR(INDEX(V!$R:$R,MATCH(AJ11,V!$L:$L,0)),"")</f>
        <v>125</v>
      </c>
      <c r="AJ11" s="783" t="str">
        <f t="shared" si="5"/>
        <v>Meelis Luud</v>
      </c>
      <c r="AK11" s="784">
        <f>IFERROR(INDEX(V!$R:$R,MATCH(AL11,V!$L:$L,0)),"")</f>
        <v>66.5</v>
      </c>
      <c r="AL11" s="783" t="str">
        <f t="shared" si="6"/>
        <v>Oleg Rõndenkov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</row>
    <row r="12" spans="1:43" x14ac:dyDescent="0.2">
      <c r="A12" s="897">
        <v>5</v>
      </c>
      <c r="B12" s="909" t="s">
        <v>453</v>
      </c>
      <c r="C12" s="900">
        <v>5</v>
      </c>
      <c r="D12" s="901" t="s">
        <v>450</v>
      </c>
      <c r="E12" s="902">
        <v>13</v>
      </c>
      <c r="F12" s="903" t="str">
        <f>B11</f>
        <v>Meelis Luud, Oleg Rõndenkov</v>
      </c>
      <c r="G12" s="900">
        <v>9</v>
      </c>
      <c r="H12" s="901" t="s">
        <v>450</v>
      </c>
      <c r="I12" s="902">
        <v>13</v>
      </c>
      <c r="J12" s="903" t="str">
        <f>B16</f>
        <v>Enn Tokman, Tarmo Bombe</v>
      </c>
      <c r="K12" s="900">
        <v>8</v>
      </c>
      <c r="L12" s="901" t="s">
        <v>450</v>
      </c>
      <c r="M12" s="902">
        <v>13</v>
      </c>
      <c r="N12" s="903" t="str">
        <f>B17</f>
        <v>Karla Purgats, Lemmit Toomra</v>
      </c>
      <c r="O12" s="900">
        <v>13</v>
      </c>
      <c r="P12" s="901" t="s">
        <v>450</v>
      </c>
      <c r="Q12" s="902">
        <v>3</v>
      </c>
      <c r="R12" s="903" t="str">
        <f>B15</f>
        <v>Elmo Lageda, Tõnu Piik</v>
      </c>
      <c r="S12" s="900">
        <v>13</v>
      </c>
      <c r="T12" s="901" t="s">
        <v>450</v>
      </c>
      <c r="U12" s="902">
        <v>2</v>
      </c>
      <c r="V12" s="903" t="str">
        <f>B14</f>
        <v>Klavdia Piik, Ülo Piik</v>
      </c>
      <c r="W12" s="900"/>
      <c r="X12" s="901" t="s">
        <v>450</v>
      </c>
      <c r="Y12" s="902"/>
      <c r="Z12" s="903"/>
      <c r="AA12" s="904">
        <f t="shared" si="0"/>
        <v>2</v>
      </c>
      <c r="AB12" s="905"/>
      <c r="AC12" s="900">
        <f t="shared" si="1"/>
        <v>48</v>
      </c>
      <c r="AD12" s="901" t="s">
        <v>450</v>
      </c>
      <c r="AE12" s="906">
        <f t="shared" si="2"/>
        <v>44</v>
      </c>
      <c r="AF12" s="907">
        <f t="shared" si="3"/>
        <v>4</v>
      </c>
      <c r="AG12" s="908"/>
      <c r="AH12" s="764">
        <f t="shared" si="4"/>
        <v>220.5</v>
      </c>
      <c r="AI12" s="784">
        <f>IFERROR(INDEX(V!$R:$R,MATCH(AJ12,V!$L:$L,0)),"")</f>
        <v>30</v>
      </c>
      <c r="AJ12" s="783" t="str">
        <f t="shared" si="5"/>
        <v>Einar Juhkam</v>
      </c>
      <c r="AK12" s="784" t="str">
        <f>IFERROR(INDEX(V!$R:$R,MATCH(AL12,V!$L:$L,0)),"")</f>
        <v/>
      </c>
      <c r="AL12" s="783" t="str">
        <f t="shared" si="6"/>
        <v>Illar Tõnurist, Jaan Saar</v>
      </c>
      <c r="AM12" s="784">
        <f>IFERROR(INDEX(V!$R:$R,MATCH(AN12,V!$L:$L,0)),"")</f>
        <v>98.5</v>
      </c>
      <c r="AN12" s="785" t="str">
        <f t="shared" si="7"/>
        <v>Illar Tõnurist</v>
      </c>
      <c r="AO12" s="784">
        <f>IFERROR(INDEX(V!$R:$R,MATCH(AP12,V!$L:$L,0)),"")</f>
        <v>92</v>
      </c>
      <c r="AP12" s="785" t="str">
        <f t="shared" si="8"/>
        <v>Jaan Saar</v>
      </c>
      <c r="AQ12" s="760"/>
    </row>
    <row r="13" spans="1:43" x14ac:dyDescent="0.2">
      <c r="A13" s="897">
        <v>6</v>
      </c>
      <c r="B13" s="909" t="s">
        <v>397</v>
      </c>
      <c r="C13" s="900">
        <v>13</v>
      </c>
      <c r="D13" s="901" t="s">
        <v>450</v>
      </c>
      <c r="E13" s="902">
        <v>11</v>
      </c>
      <c r="F13" s="903" t="str">
        <f>B15</f>
        <v>Elmo Lageda, Tõnu Piik</v>
      </c>
      <c r="G13" s="900">
        <v>10</v>
      </c>
      <c r="H13" s="901" t="s">
        <v>450</v>
      </c>
      <c r="I13" s="902">
        <v>13</v>
      </c>
      <c r="J13" s="903" t="str">
        <f>B9</f>
        <v>Jaan Sepp, Oskar Sepp</v>
      </c>
      <c r="K13" s="900">
        <v>13</v>
      </c>
      <c r="L13" s="901" t="s">
        <v>450</v>
      </c>
      <c r="M13" s="902">
        <v>7</v>
      </c>
      <c r="N13" s="903" t="str">
        <f>B16</f>
        <v>Enn Tokman, Tarmo Bombe</v>
      </c>
      <c r="O13" s="900">
        <v>3</v>
      </c>
      <c r="P13" s="901" t="s">
        <v>450</v>
      </c>
      <c r="Q13" s="902">
        <v>13</v>
      </c>
      <c r="R13" s="903" t="str">
        <f>B10</f>
        <v>Johannes Neiland, Vladimir Ogneštšikov</v>
      </c>
      <c r="S13" s="900">
        <v>10</v>
      </c>
      <c r="T13" s="901" t="s">
        <v>450</v>
      </c>
      <c r="U13" s="902">
        <v>13</v>
      </c>
      <c r="V13" s="903" t="str">
        <f>B8</f>
        <v>Kenneth Muusikus, Tõnis Neiland</v>
      </c>
      <c r="W13" s="900"/>
      <c r="X13" s="901" t="s">
        <v>450</v>
      </c>
      <c r="Y13" s="902"/>
      <c r="Z13" s="903"/>
      <c r="AA13" s="904">
        <f t="shared" si="0"/>
        <v>2</v>
      </c>
      <c r="AB13" s="905"/>
      <c r="AC13" s="900">
        <f t="shared" si="1"/>
        <v>49</v>
      </c>
      <c r="AD13" s="901" t="s">
        <v>450</v>
      </c>
      <c r="AE13" s="906">
        <f t="shared" si="2"/>
        <v>57</v>
      </c>
      <c r="AF13" s="907">
        <f t="shared" si="3"/>
        <v>-8</v>
      </c>
      <c r="AG13" s="908"/>
      <c r="AH13" s="764">
        <f t="shared" si="4"/>
        <v>143</v>
      </c>
      <c r="AI13" s="784">
        <f>IFERROR(INDEX(V!$R:$R,MATCH(AJ13,V!$L:$L,0)),"")</f>
        <v>37.5</v>
      </c>
      <c r="AJ13" s="783" t="str">
        <f t="shared" si="5"/>
        <v>Boriss Klubov</v>
      </c>
      <c r="AK13" s="784">
        <f>IFERROR(INDEX(V!$R:$R,MATCH(AL13,V!$L:$L,0)),"")</f>
        <v>105.5</v>
      </c>
      <c r="AL13" s="783" t="str">
        <f t="shared" si="6"/>
        <v>Mait Metsla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</row>
    <row r="14" spans="1:43" x14ac:dyDescent="0.2">
      <c r="A14" s="897">
        <v>7</v>
      </c>
      <c r="B14" s="909" t="s">
        <v>406</v>
      </c>
      <c r="C14" s="900">
        <v>13</v>
      </c>
      <c r="D14" s="901" t="s">
        <v>450</v>
      </c>
      <c r="E14" s="902">
        <v>9</v>
      </c>
      <c r="F14" s="903" t="str">
        <f>B17</f>
        <v>Karla Purgats, Lemmit Toomra</v>
      </c>
      <c r="G14" s="900">
        <v>10</v>
      </c>
      <c r="H14" s="901" t="s">
        <v>450</v>
      </c>
      <c r="I14" s="902">
        <v>13</v>
      </c>
      <c r="J14" s="903" t="str">
        <f>B8</f>
        <v>Kenneth Muusikus, Tõnis Neiland</v>
      </c>
      <c r="K14" s="900">
        <v>10</v>
      </c>
      <c r="L14" s="901" t="s">
        <v>450</v>
      </c>
      <c r="M14" s="902">
        <v>13</v>
      </c>
      <c r="N14" s="903" t="str">
        <f>B9</f>
        <v>Jaan Sepp, Oskar Sepp</v>
      </c>
      <c r="O14" s="900">
        <v>13</v>
      </c>
      <c r="P14" s="901" t="s">
        <v>450</v>
      </c>
      <c r="Q14" s="902">
        <v>5</v>
      </c>
      <c r="R14" s="903" t="str">
        <f>B16</f>
        <v>Enn Tokman, Tarmo Bombe</v>
      </c>
      <c r="S14" s="900">
        <v>2</v>
      </c>
      <c r="T14" s="901" t="s">
        <v>450</v>
      </c>
      <c r="U14" s="902">
        <v>13</v>
      </c>
      <c r="V14" s="903" t="str">
        <f>B12</f>
        <v>Einar Juhkam, Illar Tõnurist, Jaan Saar</v>
      </c>
      <c r="W14" s="900"/>
      <c r="X14" s="901" t="s">
        <v>450</v>
      </c>
      <c r="Y14" s="902"/>
      <c r="Z14" s="903"/>
      <c r="AA14" s="904">
        <f t="shared" si="0"/>
        <v>2</v>
      </c>
      <c r="AB14" s="905"/>
      <c r="AC14" s="900">
        <f t="shared" si="1"/>
        <v>48</v>
      </c>
      <c r="AD14" s="901" t="s">
        <v>450</v>
      </c>
      <c r="AE14" s="906">
        <f t="shared" si="2"/>
        <v>53</v>
      </c>
      <c r="AF14" s="907">
        <f t="shared" si="3"/>
        <v>-5</v>
      </c>
      <c r="AG14" s="908"/>
      <c r="AH14" s="764">
        <f t="shared" si="4"/>
        <v>204</v>
      </c>
      <c r="AI14" s="784">
        <f>IFERROR(INDEX(V!$R:$R,MATCH(AJ14,V!$L:$L,0)),"")</f>
        <v>97.5</v>
      </c>
      <c r="AJ14" s="783" t="str">
        <f t="shared" si="5"/>
        <v>Klavdia Piik</v>
      </c>
      <c r="AK14" s="784">
        <f>IFERROR(INDEX(V!$R:$R,MATCH(AL14,V!$L:$L,0)),"")</f>
        <v>106.5</v>
      </c>
      <c r="AL14" s="783" t="str">
        <f t="shared" si="6"/>
        <v>Ülo Piik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</row>
    <row r="15" spans="1:43" x14ac:dyDescent="0.2">
      <c r="A15" s="897">
        <v>8</v>
      </c>
      <c r="B15" s="909" t="s">
        <v>370</v>
      </c>
      <c r="C15" s="900">
        <v>11</v>
      </c>
      <c r="D15" s="901" t="s">
        <v>450</v>
      </c>
      <c r="E15" s="902">
        <v>13</v>
      </c>
      <c r="F15" s="903" t="str">
        <f>B13</f>
        <v>Boriss Klubov, Mait Metsla</v>
      </c>
      <c r="G15" s="900">
        <v>13</v>
      </c>
      <c r="H15" s="901" t="s">
        <v>450</v>
      </c>
      <c r="I15" s="902">
        <v>8</v>
      </c>
      <c r="J15" s="903" t="str">
        <f>B17</f>
        <v>Karla Purgats, Lemmit Toomra</v>
      </c>
      <c r="K15" s="900">
        <v>3</v>
      </c>
      <c r="L15" s="901" t="s">
        <v>450</v>
      </c>
      <c r="M15" s="902">
        <v>13</v>
      </c>
      <c r="N15" s="903" t="str">
        <f>B11</f>
        <v>Meelis Luud, Oleg Rõndenkov</v>
      </c>
      <c r="O15" s="900">
        <v>3</v>
      </c>
      <c r="P15" s="901" t="s">
        <v>450</v>
      </c>
      <c r="Q15" s="902">
        <v>13</v>
      </c>
      <c r="R15" s="903" t="str">
        <f>B12</f>
        <v>Einar Juhkam, Illar Tõnurist, Jaan Saar</v>
      </c>
      <c r="S15" s="900">
        <v>13</v>
      </c>
      <c r="T15" s="901" t="s">
        <v>450</v>
      </c>
      <c r="U15" s="902">
        <v>11</v>
      </c>
      <c r="V15" s="903" t="str">
        <f>B16</f>
        <v>Enn Tokman, Tarmo Bombe</v>
      </c>
      <c r="W15" s="900"/>
      <c r="X15" s="901" t="s">
        <v>450</v>
      </c>
      <c r="Y15" s="902"/>
      <c r="Z15" s="903"/>
      <c r="AA15" s="904">
        <f t="shared" si="0"/>
        <v>2</v>
      </c>
      <c r="AB15" s="905"/>
      <c r="AC15" s="900">
        <f t="shared" si="1"/>
        <v>43</v>
      </c>
      <c r="AD15" s="901" t="s">
        <v>450</v>
      </c>
      <c r="AE15" s="906">
        <f t="shared" si="2"/>
        <v>58</v>
      </c>
      <c r="AF15" s="907">
        <f t="shared" si="3"/>
        <v>-15</v>
      </c>
      <c r="AG15" s="908"/>
      <c r="AH15" s="764">
        <f t="shared" si="4"/>
        <v>240</v>
      </c>
      <c r="AI15" s="784">
        <f>IFERROR(INDEX(V!$R:$R,MATCH(AJ15,V!$L:$L,0)),"")</f>
        <v>117</v>
      </c>
      <c r="AJ15" s="783" t="str">
        <f t="shared" si="5"/>
        <v>Elmo Lageda</v>
      </c>
      <c r="AK15" s="784">
        <f>IFERROR(INDEX(V!$R:$R,MATCH(AL15,V!$L:$L,0)),"")</f>
        <v>123</v>
      </c>
      <c r="AL15" s="783" t="str">
        <f t="shared" si="6"/>
        <v>Tõnu Piik</v>
      </c>
      <c r="AM15" s="784" t="str">
        <f>IFERROR(INDEX(V!$R:$R,MATCH(AN15,V!$L:$L,0)),"")</f>
        <v/>
      </c>
      <c r="AN15" s="785" t="str">
        <f t="shared" si="7"/>
        <v/>
      </c>
      <c r="AO15" s="784" t="str">
        <f>IFERROR(INDEX(V!$R:$R,MATCH(AP15,V!$L:$L,0)),"")</f>
        <v/>
      </c>
      <c r="AP15" s="785" t="str">
        <f t="shared" si="8"/>
        <v/>
      </c>
      <c r="AQ15" s="760"/>
    </row>
    <row r="16" spans="1:43" x14ac:dyDescent="0.2">
      <c r="A16" s="897">
        <v>9</v>
      </c>
      <c r="B16" s="909" t="s">
        <v>369</v>
      </c>
      <c r="C16" s="900">
        <v>6</v>
      </c>
      <c r="D16" s="901" t="s">
        <v>450</v>
      </c>
      <c r="E16" s="902">
        <v>13</v>
      </c>
      <c r="F16" s="903" t="str">
        <f>B10</f>
        <v>Johannes Neiland, Vladimir Ogneštšikov</v>
      </c>
      <c r="G16" s="900">
        <v>13</v>
      </c>
      <c r="H16" s="901" t="s">
        <v>450</v>
      </c>
      <c r="I16" s="902">
        <v>9</v>
      </c>
      <c r="J16" s="903" t="str">
        <f>B12</f>
        <v>Einar Juhkam, Illar Tõnurist, Jaan Saar</v>
      </c>
      <c r="K16" s="900">
        <v>7</v>
      </c>
      <c r="L16" s="901" t="s">
        <v>450</v>
      </c>
      <c r="M16" s="902">
        <v>13</v>
      </c>
      <c r="N16" s="903" t="str">
        <f>B13</f>
        <v>Boriss Klubov, Mait Metsla</v>
      </c>
      <c r="O16" s="900">
        <v>5</v>
      </c>
      <c r="P16" s="901" t="s">
        <v>450</v>
      </c>
      <c r="Q16" s="902">
        <v>13</v>
      </c>
      <c r="R16" s="903" t="str">
        <f>B10</f>
        <v>Johannes Neiland, Vladimir Ogneštšikov</v>
      </c>
      <c r="S16" s="900">
        <v>11</v>
      </c>
      <c r="T16" s="901" t="s">
        <v>450</v>
      </c>
      <c r="U16" s="902">
        <v>13</v>
      </c>
      <c r="V16" s="903" t="str">
        <f>B15</f>
        <v>Elmo Lageda, Tõnu Piik</v>
      </c>
      <c r="W16" s="900"/>
      <c r="X16" s="901" t="s">
        <v>450</v>
      </c>
      <c r="Y16" s="902"/>
      <c r="Z16" s="903"/>
      <c r="AA16" s="910">
        <f t="shared" si="0"/>
        <v>1</v>
      </c>
      <c r="AB16" s="905"/>
      <c r="AC16" s="900">
        <f t="shared" si="1"/>
        <v>42</v>
      </c>
      <c r="AD16" s="901" t="s">
        <v>450</v>
      </c>
      <c r="AE16" s="906">
        <f t="shared" si="2"/>
        <v>61</v>
      </c>
      <c r="AF16" s="907">
        <f t="shared" si="3"/>
        <v>-19</v>
      </c>
      <c r="AG16" s="908"/>
      <c r="AH16" s="764">
        <f t="shared" si="4"/>
        <v>164</v>
      </c>
      <c r="AI16" s="784">
        <f>IFERROR(INDEX(V!$R:$R,MATCH(AJ16,V!$L:$L,0)),"")</f>
        <v>88</v>
      </c>
      <c r="AJ16" s="783" t="str">
        <f t="shared" si="5"/>
        <v>Enn Tokman</v>
      </c>
      <c r="AK16" s="784">
        <f>IFERROR(INDEX(V!$R:$R,MATCH(AL16,V!$L:$L,0)),"")</f>
        <v>76</v>
      </c>
      <c r="AL16" s="783" t="str">
        <f t="shared" si="6"/>
        <v>Tarmo Bombe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</row>
    <row r="17" spans="1:43" x14ac:dyDescent="0.2">
      <c r="A17" s="897">
        <v>9</v>
      </c>
      <c r="B17" s="775" t="s">
        <v>399</v>
      </c>
      <c r="C17" s="900">
        <v>9</v>
      </c>
      <c r="D17" s="901" t="s">
        <v>450</v>
      </c>
      <c r="E17" s="902">
        <v>13</v>
      </c>
      <c r="F17" s="903" t="str">
        <f>B14</f>
        <v>Klavdia Piik, Ülo Piik</v>
      </c>
      <c r="G17" s="900">
        <v>8</v>
      </c>
      <c r="H17" s="901" t="s">
        <v>450</v>
      </c>
      <c r="I17" s="902">
        <v>13</v>
      </c>
      <c r="J17" s="903" t="str">
        <f>B15</f>
        <v>Elmo Lageda, Tõnu Piik</v>
      </c>
      <c r="K17" s="900">
        <v>13</v>
      </c>
      <c r="L17" s="901" t="s">
        <v>450</v>
      </c>
      <c r="M17" s="902">
        <v>8</v>
      </c>
      <c r="N17" s="903" t="str">
        <f>B12</f>
        <v>Einar Juhkam, Illar Tõnurist, Jaan Saar</v>
      </c>
      <c r="O17" s="900">
        <v>4</v>
      </c>
      <c r="P17" s="901" t="s">
        <v>450</v>
      </c>
      <c r="Q17" s="902">
        <v>13</v>
      </c>
      <c r="R17" s="903" t="str">
        <f>B9</f>
        <v>Jaan Sepp, Oskar Sepp</v>
      </c>
      <c r="S17" s="900">
        <v>2</v>
      </c>
      <c r="T17" s="901" t="s">
        <v>450</v>
      </c>
      <c r="U17" s="902">
        <v>13</v>
      </c>
      <c r="V17" s="903" t="str">
        <f>B11</f>
        <v>Meelis Luud, Oleg Rõndenkov</v>
      </c>
      <c r="W17" s="900"/>
      <c r="X17" s="901" t="s">
        <v>450</v>
      </c>
      <c r="Y17" s="902"/>
      <c r="Z17" s="903"/>
      <c r="AA17" s="910">
        <f t="shared" si="0"/>
        <v>1</v>
      </c>
      <c r="AB17" s="905"/>
      <c r="AC17" s="900">
        <f t="shared" si="1"/>
        <v>36</v>
      </c>
      <c r="AD17" s="901" t="s">
        <v>450</v>
      </c>
      <c r="AE17" s="906">
        <f t="shared" si="2"/>
        <v>60</v>
      </c>
      <c r="AF17" s="907">
        <f t="shared" si="3"/>
        <v>-24</v>
      </c>
      <c r="AG17" s="908"/>
      <c r="AH17" s="764">
        <f t="shared" si="4"/>
        <v>200</v>
      </c>
      <c r="AI17" s="784">
        <f>IFERROR(INDEX(V!$R:$R,MATCH(AJ17,V!$L:$L,0)),"")</f>
        <v>123.5</v>
      </c>
      <c r="AJ17" s="783" t="str">
        <f t="shared" si="5"/>
        <v>Karla Purgats</v>
      </c>
      <c r="AK17" s="784">
        <f>IFERROR(INDEX(V!$R:$R,MATCH(AL17,V!$L:$L,0)),"")</f>
        <v>76.5</v>
      </c>
      <c r="AL17" s="783" t="str">
        <f t="shared" si="6"/>
        <v>Lemmit Toomra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</row>
    <row r="18" spans="1:43" hidden="1" x14ac:dyDescent="0.2">
      <c r="A18" s="760"/>
      <c r="B18" s="760"/>
      <c r="C18" s="760"/>
      <c r="D18" s="760"/>
      <c r="E18" s="760"/>
      <c r="F18" s="760"/>
      <c r="G18" s="760"/>
      <c r="H18" s="760"/>
      <c r="I18" s="760"/>
      <c r="J18" s="760"/>
      <c r="K18" s="760"/>
      <c r="L18" s="760"/>
      <c r="M18" s="760"/>
      <c r="N18" s="760"/>
      <c r="O18" s="760"/>
      <c r="P18" s="760"/>
      <c r="Q18" s="760"/>
      <c r="R18" s="760"/>
      <c r="S18" s="760"/>
      <c r="T18" s="760"/>
      <c r="U18" s="760"/>
      <c r="V18" s="760"/>
      <c r="W18" s="760"/>
      <c r="X18" s="760"/>
      <c r="Y18" s="760"/>
      <c r="Z18" s="760"/>
      <c r="AA18" s="760"/>
      <c r="AB18" s="760"/>
      <c r="AC18" s="760"/>
      <c r="AD18" s="760"/>
      <c r="AE18" s="760"/>
      <c r="AF18" s="760"/>
      <c r="AG18" s="760"/>
      <c r="AH18" s="764">
        <f t="shared" si="4"/>
        <v>0</v>
      </c>
      <c r="AI18" s="784" t="str">
        <f>IFERROR(INDEX(V!$R:$R,MATCH(AJ18,V!$L:$L,0)),"")</f>
        <v/>
      </c>
      <c r="AJ18" s="783" t="str">
        <f t="shared" si="5"/>
        <v/>
      </c>
      <c r="AK18" s="784" t="str">
        <f>IFERROR(INDEX(V!$R:$R,MATCH(AL18,V!$L:$L,0)),"")</f>
        <v/>
      </c>
      <c r="AL18" s="783" t="str">
        <f t="shared" si="6"/>
        <v/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</row>
    <row r="19" spans="1:43" hidden="1" x14ac:dyDescent="0.2">
      <c r="A19" s="760"/>
      <c r="B19" s="760"/>
      <c r="C19" s="760"/>
      <c r="D19" s="760"/>
      <c r="E19" s="760"/>
      <c r="F19" s="760"/>
      <c r="G19" s="760"/>
      <c r="H19" s="760"/>
      <c r="I19" s="760"/>
      <c r="J19" s="760"/>
      <c r="K19" s="760"/>
      <c r="L19" s="880"/>
      <c r="M19" s="880"/>
      <c r="N19" s="880"/>
      <c r="O19" s="760"/>
      <c r="P19" s="760"/>
      <c r="Q19" s="760"/>
      <c r="R19" s="760"/>
      <c r="S19" s="760"/>
      <c r="T19" s="880"/>
      <c r="U19" s="880"/>
      <c r="V19" s="880"/>
      <c r="W19" s="880"/>
      <c r="X19" s="760"/>
      <c r="Y19" s="760"/>
      <c r="Z19" s="760"/>
      <c r="AA19" s="760"/>
      <c r="AB19" s="760"/>
      <c r="AC19" s="760"/>
      <c r="AD19" s="760"/>
      <c r="AE19" s="760"/>
      <c r="AF19" s="760"/>
      <c r="AG19" s="760"/>
      <c r="AH19" s="764">
        <f t="shared" si="4"/>
        <v>0</v>
      </c>
      <c r="AI19" s="784" t="str">
        <f>IFERROR(INDEX(V!$R:$R,MATCH(AJ19,V!$L:$L,0)),"")</f>
        <v/>
      </c>
      <c r="AJ19" s="783" t="str">
        <f t="shared" si="5"/>
        <v/>
      </c>
      <c r="AK19" s="784" t="str">
        <f>IFERROR(INDEX(V!$R:$R,MATCH(AL19,V!$L:$L,0)),"")</f>
        <v/>
      </c>
      <c r="AL19" s="783" t="str">
        <f t="shared" si="6"/>
        <v/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</row>
    <row r="20" spans="1:43" hidden="1" x14ac:dyDescent="0.2">
      <c r="A20" s="760"/>
      <c r="B20" s="760"/>
      <c r="C20" s="760"/>
      <c r="D20" s="760"/>
      <c r="E20" s="760"/>
      <c r="F20" s="760"/>
      <c r="G20" s="760"/>
      <c r="H20" s="760"/>
      <c r="I20" s="760"/>
      <c r="J20" s="760"/>
      <c r="K20" s="760"/>
      <c r="L20" s="880"/>
      <c r="M20" s="880"/>
      <c r="N20" s="880"/>
      <c r="O20" s="760"/>
      <c r="P20" s="760"/>
      <c r="Q20" s="760"/>
      <c r="R20" s="760"/>
      <c r="S20" s="760"/>
      <c r="T20" s="880"/>
      <c r="U20" s="880"/>
      <c r="V20" s="880"/>
      <c r="W20" s="880"/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4">
        <f t="shared" si="4"/>
        <v>0</v>
      </c>
      <c r="AI20" s="784" t="str">
        <f>IFERROR(INDEX(V!$R:$R,MATCH(AJ20,V!$L:$L,0)),"")</f>
        <v/>
      </c>
      <c r="AJ20" s="783" t="str">
        <f t="shared" si="5"/>
        <v/>
      </c>
      <c r="AK20" s="784" t="str">
        <f>IFERROR(INDEX(V!$R:$R,MATCH(AL20,V!$L:$L,0)),"")</f>
        <v/>
      </c>
      <c r="AL20" s="783" t="str">
        <f t="shared" si="6"/>
        <v/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</row>
    <row r="21" spans="1:43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</row>
    <row r="22" spans="1:43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</row>
    <row r="23" spans="1:43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</row>
    <row r="24" spans="1:43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</row>
    <row r="25" spans="1:43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</row>
    <row r="26" spans="1:43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</row>
    <row r="27" spans="1:43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</row>
    <row r="28" spans="1:43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</row>
    <row r="29" spans="1:43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</row>
    <row r="30" spans="1:43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</row>
    <row r="31" spans="1:43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</row>
    <row r="32" spans="1:43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</row>
    <row r="33" spans="1:43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</row>
    <row r="34" spans="1:43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</row>
    <row r="35" spans="1:43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</row>
    <row r="36" spans="1:43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</row>
    <row r="37" spans="1:43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</row>
    <row r="38" spans="1:43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</row>
    <row r="39" spans="1:43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</row>
    <row r="40" spans="1:43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</row>
    <row r="41" spans="1:43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</row>
    <row r="42" spans="1:43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</row>
    <row r="43" spans="1:43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</row>
    <row r="44" spans="1:43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</row>
    <row r="45" spans="1:43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</row>
    <row r="46" spans="1:43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</row>
    <row r="47" spans="1:43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</row>
    <row r="48" spans="1:43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</row>
    <row r="49" spans="1:43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</row>
    <row r="50" spans="1:43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</row>
    <row r="51" spans="1:43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</row>
    <row r="52" spans="1:43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</row>
    <row r="53" spans="1:43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</row>
    <row r="54" spans="1:43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</row>
    <row r="55" spans="1:43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</row>
    <row r="56" spans="1:43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</row>
    <row r="57" spans="1:43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</row>
    <row r="58" spans="1:43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</row>
    <row r="59" spans="1:43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</row>
    <row r="60" spans="1:43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</row>
    <row r="61" spans="1:43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</row>
    <row r="62" spans="1:43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</row>
    <row r="63" spans="1:43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</row>
    <row r="64" spans="1:43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</row>
    <row r="65" spans="1:43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</row>
    <row r="66" spans="1:43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</row>
    <row r="67" spans="1:43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</row>
    <row r="68" spans="1:43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</row>
    <row r="69" spans="1:43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</row>
    <row r="70" spans="1:43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</row>
    <row r="71" spans="1:43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</row>
    <row r="72" spans="1:43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</row>
    <row r="73" spans="1:43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</row>
    <row r="74" spans="1:43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</row>
    <row r="75" spans="1:43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</row>
    <row r="76" spans="1:43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</row>
    <row r="77" spans="1:43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</row>
    <row r="78" spans="1:43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</row>
    <row r="79" spans="1:43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</row>
    <row r="80" spans="1:43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</row>
    <row r="81" spans="1:43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</row>
    <row r="82" spans="1:43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</row>
    <row r="83" spans="1:43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</row>
    <row r="84" spans="1:43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</row>
    <row r="85" spans="1:43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</row>
    <row r="86" spans="1:43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</row>
    <row r="87" spans="1:43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</row>
    <row r="88" spans="1:43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</row>
    <row r="89" spans="1:43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</row>
    <row r="90" spans="1:43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</row>
    <row r="91" spans="1:43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</row>
    <row r="92" spans="1:43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</row>
    <row r="93" spans="1:43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</row>
    <row r="94" spans="1:43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</row>
    <row r="95" spans="1:43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</row>
    <row r="96" spans="1:43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</row>
    <row r="97" spans="1:43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</row>
    <row r="98" spans="1:43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</row>
    <row r="99" spans="1:43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</row>
    <row r="100" spans="1:43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</row>
    <row r="101" spans="1:43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</row>
    <row r="102" spans="1:43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</row>
    <row r="103" spans="1:43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</row>
    <row r="104" spans="1:43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</row>
    <row r="105" spans="1:43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</row>
    <row r="106" spans="1:43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</row>
    <row r="107" spans="1:43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</row>
    <row r="108" spans="1:43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</row>
    <row r="109" spans="1:43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</row>
    <row r="110" spans="1:43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</row>
    <row r="111" spans="1:43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</row>
    <row r="112" spans="1:43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</row>
    <row r="113" spans="1:43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</row>
    <row r="114" spans="1:43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</row>
    <row r="115" spans="1:43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</row>
    <row r="116" spans="1:43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</row>
    <row r="117" spans="1:43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</row>
    <row r="118" spans="1:43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</row>
    <row r="119" spans="1:43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</row>
    <row r="120" spans="1:43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</row>
    <row r="121" spans="1:43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</row>
    <row r="122" spans="1:43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</row>
    <row r="123" spans="1:43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</row>
    <row r="124" spans="1:43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</row>
    <row r="125" spans="1:43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</row>
    <row r="126" spans="1:43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</row>
    <row r="127" spans="1:43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</row>
    <row r="128" spans="1:43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</row>
    <row r="129" spans="1:43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</row>
    <row r="130" spans="1:43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</row>
    <row r="131" spans="1:43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</row>
    <row r="132" spans="1:43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</row>
    <row r="133" spans="1:43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</row>
    <row r="134" spans="1:43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</row>
    <row r="135" spans="1:43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</row>
    <row r="136" spans="1:43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</row>
    <row r="137" spans="1:43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</row>
    <row r="138" spans="1:43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</row>
    <row r="139" spans="1:43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</row>
    <row r="140" spans="1:43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</row>
    <row r="141" spans="1:43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</row>
    <row r="142" spans="1:43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</row>
    <row r="143" spans="1:43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</row>
    <row r="144" spans="1:43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</row>
    <row r="145" spans="1:43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</row>
    <row r="146" spans="1:43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</row>
    <row r="147" spans="1:43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</row>
    <row r="148" spans="1:43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</row>
    <row r="149" spans="1:43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</row>
    <row r="150" spans="1:43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</row>
    <row r="151" spans="1:43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</row>
    <row r="152" spans="1:43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</row>
    <row r="153" spans="1:43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</row>
    <row r="154" spans="1:43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</row>
    <row r="155" spans="1:43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</row>
    <row r="156" spans="1:43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</row>
    <row r="157" spans="1:43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</row>
    <row r="158" spans="1:43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</row>
    <row r="159" spans="1:43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</row>
    <row r="160" spans="1:43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</row>
    <row r="161" spans="1:43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</row>
    <row r="162" spans="1:43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</row>
    <row r="163" spans="1:43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</row>
    <row r="164" spans="1:43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</row>
    <row r="165" spans="1:43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</row>
    <row r="166" spans="1:43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</row>
    <row r="167" spans="1:43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</row>
    <row r="168" spans="1:43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</row>
    <row r="169" spans="1:43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</row>
    <row r="170" spans="1:43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</row>
    <row r="171" spans="1:43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</row>
    <row r="172" spans="1:43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</row>
    <row r="173" spans="1:43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</row>
    <row r="174" spans="1:43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</row>
    <row r="175" spans="1:43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</row>
    <row r="176" spans="1:43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</row>
    <row r="177" spans="1:43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</row>
    <row r="178" spans="1:43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</row>
    <row r="179" spans="1:43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</row>
    <row r="180" spans="1:43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</row>
    <row r="181" spans="1:43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</row>
    <row r="182" spans="1:43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</row>
    <row r="183" spans="1:43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</row>
    <row r="184" spans="1:43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</row>
    <row r="185" spans="1:43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</row>
    <row r="186" spans="1:43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</row>
    <row r="187" spans="1:43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</row>
    <row r="188" spans="1:43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</row>
    <row r="189" spans="1:43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</row>
    <row r="190" spans="1:43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</row>
    <row r="191" spans="1:43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</row>
    <row r="192" spans="1:43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</row>
    <row r="193" spans="1:43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</row>
    <row r="194" spans="1:43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</row>
    <row r="195" spans="1:43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</row>
    <row r="196" spans="1:43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</row>
    <row r="197" spans="1:43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</row>
    <row r="198" spans="1:43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</row>
    <row r="199" spans="1:43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</row>
    <row r="200" spans="1:43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</row>
    <row r="201" spans="1:43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</row>
    <row r="202" spans="1:43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</row>
    <row r="203" spans="1:43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</row>
    <row r="204" spans="1:43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</row>
    <row r="205" spans="1:43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</row>
    <row r="206" spans="1:43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</row>
    <row r="207" spans="1:43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</row>
    <row r="208" spans="1:43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</row>
    <row r="209" spans="1:43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</row>
    <row r="210" spans="1:43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</row>
    <row r="211" spans="1:43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</row>
    <row r="212" spans="1:43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</row>
    <row r="213" spans="1:43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</row>
    <row r="214" spans="1:43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</row>
    <row r="215" spans="1:43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</row>
    <row r="216" spans="1:43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</row>
    <row r="217" spans="1:43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</row>
    <row r="218" spans="1:43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</row>
    <row r="219" spans="1:43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</row>
    <row r="220" spans="1:43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</row>
    <row r="221" spans="1:43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</row>
    <row r="222" spans="1:43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</row>
    <row r="223" spans="1:43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</row>
    <row r="224" spans="1:43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</row>
    <row r="225" spans="1:43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</row>
    <row r="226" spans="1:43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</row>
    <row r="227" spans="1:43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</row>
    <row r="228" spans="1:43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</row>
    <row r="229" spans="1:43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</row>
    <row r="230" spans="1:43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</row>
    <row r="231" spans="1:43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</row>
    <row r="232" spans="1:43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</row>
    <row r="233" spans="1:43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</row>
    <row r="234" spans="1:43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</row>
    <row r="235" spans="1:43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</row>
    <row r="236" spans="1:43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</row>
    <row r="237" spans="1:43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</row>
    <row r="238" spans="1:43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</row>
    <row r="239" spans="1:43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</row>
    <row r="240" spans="1:43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</row>
    <row r="241" spans="1:43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</row>
    <row r="242" spans="1:43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</row>
    <row r="243" spans="1:43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</row>
    <row r="244" spans="1:43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</row>
    <row r="245" spans="1:43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</row>
    <row r="246" spans="1:43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</row>
    <row r="247" spans="1:43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</row>
    <row r="248" spans="1:43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</row>
    <row r="249" spans="1:43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</row>
    <row r="250" spans="1:43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</row>
    <row r="251" spans="1:43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</row>
    <row r="252" spans="1:43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</row>
    <row r="253" spans="1:43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</row>
    <row r="254" spans="1:43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</row>
    <row r="255" spans="1:43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</row>
    <row r="256" spans="1:43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</row>
    <row r="257" spans="1:43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</row>
    <row r="258" spans="1:43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</row>
    <row r="259" spans="1:43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</row>
    <row r="260" spans="1:43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</row>
    <row r="261" spans="1:43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</row>
    <row r="262" spans="1:43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</row>
    <row r="263" spans="1:43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</row>
    <row r="264" spans="1:43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</row>
    <row r="265" spans="1:43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</row>
    <row r="266" spans="1:43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</row>
    <row r="267" spans="1:43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</row>
    <row r="268" spans="1:43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</row>
    <row r="269" spans="1:43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</row>
    <row r="270" spans="1:43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</row>
    <row r="271" spans="1:43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</row>
    <row r="272" spans="1:43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</row>
    <row r="273" spans="1:43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</row>
    <row r="274" spans="1:43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</row>
    <row r="275" spans="1:43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</row>
    <row r="276" spans="1:43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</row>
    <row r="277" spans="1:43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</row>
    <row r="278" spans="1:43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</row>
    <row r="279" spans="1:43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</row>
    <row r="280" spans="1:43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</row>
    <row r="281" spans="1:43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</row>
    <row r="282" spans="1:43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</row>
    <row r="283" spans="1:43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</row>
    <row r="284" spans="1:43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</row>
    <row r="285" spans="1:43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</row>
    <row r="286" spans="1:43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</row>
    <row r="287" spans="1:43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</row>
    <row r="288" spans="1:43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</row>
    <row r="289" spans="1:43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</row>
    <row r="290" spans="1:43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</row>
    <row r="291" spans="1:43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</row>
    <row r="292" spans="1:43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</row>
    <row r="293" spans="1:43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</row>
    <row r="294" spans="1:43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</row>
    <row r="295" spans="1:43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</row>
    <row r="296" spans="1:43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</row>
    <row r="297" spans="1:43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</row>
    <row r="298" spans="1:43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</row>
    <row r="299" spans="1:43" x14ac:dyDescent="0.2">
      <c r="A299" s="760"/>
      <c r="B299" s="760"/>
      <c r="C299" s="912" t="s">
        <v>232</v>
      </c>
      <c r="D299" s="814"/>
      <c r="E299" s="814"/>
      <c r="F299" s="760"/>
      <c r="G299" s="760"/>
      <c r="H299" s="760"/>
      <c r="I299" s="760"/>
      <c r="J299" s="760"/>
      <c r="K299" s="760"/>
      <c r="L299" s="880"/>
      <c r="M299" s="880"/>
      <c r="N299" s="880"/>
      <c r="O299" s="760"/>
      <c r="P299" s="760"/>
      <c r="Q299" s="760"/>
      <c r="R299" s="760"/>
      <c r="S299" s="760"/>
      <c r="T299" s="880"/>
      <c r="U299" s="880"/>
      <c r="V299" s="88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</row>
    <row r="300" spans="1:43" x14ac:dyDescent="0.2">
      <c r="A300" s="815">
        <v>1</v>
      </c>
      <c r="B300" s="816" t="str">
        <f>IFERROR(INDEX(B$1:B$100,MATCH(A300,A$1:A$100,0)),"")</f>
        <v>Kenneth Muusikus, Tõnis Neiland</v>
      </c>
      <c r="C300" s="755">
        <f>IF(16-A300&gt;0,16-A300,1)</f>
        <v>15</v>
      </c>
      <c r="D300" s="755"/>
      <c r="E300" s="755"/>
      <c r="F300" s="760"/>
      <c r="G300" s="760"/>
      <c r="H300" s="760"/>
      <c r="I300" s="760"/>
      <c r="J300" s="760"/>
      <c r="K300" s="760"/>
      <c r="L300" s="880"/>
      <c r="M300" s="880"/>
      <c r="N300" s="880"/>
      <c r="O300" s="760"/>
      <c r="P300" s="760"/>
      <c r="Q300" s="760"/>
      <c r="R300" s="760"/>
      <c r="S300" s="760"/>
      <c r="T300" s="880"/>
      <c r="U300" s="880"/>
      <c r="V300" s="88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</row>
    <row r="301" spans="1:43" x14ac:dyDescent="0.2">
      <c r="A301" s="815">
        <v>2</v>
      </c>
      <c r="B301" s="816" t="str">
        <f t="shared" ref="B301:B308" si="9">IFERROR(INDEX(B$1:B$100,MATCH(A301,A$1:A$100,0)),"")</f>
        <v>Jaan Sepp, Oskar Sepp</v>
      </c>
      <c r="C301" s="755">
        <f t="shared" ref="C301:C307" si="10">IF(16-A301&gt;0,16-A301,1)</f>
        <v>14</v>
      </c>
      <c r="D301" s="817"/>
      <c r="E301" s="817"/>
      <c r="F301" s="760"/>
      <c r="G301" s="760"/>
      <c r="H301" s="760"/>
      <c r="I301" s="760"/>
      <c r="J301" s="760"/>
      <c r="K301" s="760"/>
      <c r="L301" s="880"/>
      <c r="M301" s="880"/>
      <c r="N301" s="880"/>
      <c r="O301" s="885"/>
      <c r="P301" s="760"/>
      <c r="Q301" s="760"/>
      <c r="R301" s="760"/>
      <c r="S301" s="760"/>
      <c r="T301" s="880"/>
      <c r="U301" s="880"/>
      <c r="V301" s="880"/>
      <c r="W301" s="88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</row>
    <row r="302" spans="1:43" x14ac:dyDescent="0.2">
      <c r="A302" s="815">
        <v>3</v>
      </c>
      <c r="B302" s="816" t="str">
        <f t="shared" si="9"/>
        <v>Johannes Neiland, Vladimir Ogneštšikov</v>
      </c>
      <c r="C302" s="755">
        <f t="shared" si="10"/>
        <v>13</v>
      </c>
      <c r="D302" s="817"/>
      <c r="E302" s="817"/>
      <c r="F302" s="760"/>
      <c r="G302" s="760"/>
      <c r="H302" s="760"/>
      <c r="I302" s="760"/>
      <c r="J302" s="760"/>
      <c r="K302" s="760"/>
      <c r="L302" s="880"/>
      <c r="M302" s="880"/>
      <c r="N302" s="880"/>
      <c r="O302" s="885"/>
      <c r="P302" s="760"/>
      <c r="Q302" s="760"/>
      <c r="R302" s="760"/>
      <c r="S302" s="760"/>
      <c r="T302" s="880"/>
      <c r="U302" s="880"/>
      <c r="V302" s="88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</row>
    <row r="303" spans="1:43" x14ac:dyDescent="0.2">
      <c r="A303" s="815">
        <v>4</v>
      </c>
      <c r="B303" s="816" t="str">
        <f t="shared" si="9"/>
        <v>Meelis Luud, Oleg Rõndenkov</v>
      </c>
      <c r="C303" s="755">
        <f t="shared" si="10"/>
        <v>12</v>
      </c>
      <c r="D303" s="817"/>
      <c r="E303" s="817"/>
      <c r="F303" s="760"/>
      <c r="G303" s="760"/>
      <c r="H303" s="760"/>
      <c r="I303" s="760"/>
      <c r="J303" s="760"/>
      <c r="K303" s="760"/>
      <c r="L303" s="880"/>
      <c r="M303" s="880"/>
      <c r="N303" s="880"/>
      <c r="O303" s="885"/>
      <c r="P303" s="760"/>
      <c r="Q303" s="760"/>
      <c r="R303" s="760"/>
      <c r="S303" s="760"/>
      <c r="T303" s="880"/>
      <c r="U303" s="880"/>
      <c r="V303" s="88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</row>
    <row r="304" spans="1:43" x14ac:dyDescent="0.2">
      <c r="A304" s="815">
        <v>5</v>
      </c>
      <c r="B304" s="816" t="str">
        <f t="shared" si="9"/>
        <v>Einar Juhkam, Illar Tõnurist, Jaan Saar</v>
      </c>
      <c r="C304" s="755">
        <f t="shared" si="10"/>
        <v>11</v>
      </c>
      <c r="D304" s="817"/>
      <c r="E304" s="817"/>
      <c r="F304" s="760"/>
      <c r="G304" s="760"/>
      <c r="H304" s="760"/>
      <c r="I304" s="760"/>
      <c r="J304" s="760"/>
      <c r="K304" s="760"/>
      <c r="L304" s="880"/>
      <c r="M304" s="880"/>
      <c r="N304" s="880"/>
      <c r="O304" s="885"/>
      <c r="P304" s="760"/>
      <c r="Q304" s="760"/>
      <c r="R304" s="760"/>
      <c r="S304" s="760"/>
      <c r="T304" s="880"/>
      <c r="U304" s="880"/>
      <c r="V304" s="88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</row>
    <row r="305" spans="1:43" x14ac:dyDescent="0.2">
      <c r="A305" s="815">
        <v>6</v>
      </c>
      <c r="B305" s="816" t="str">
        <f t="shared" si="9"/>
        <v>Boriss Klubov, Mait Metsla</v>
      </c>
      <c r="C305" s="755">
        <f t="shared" si="10"/>
        <v>10</v>
      </c>
      <c r="D305" s="817"/>
      <c r="E305" s="817"/>
      <c r="F305" s="760"/>
      <c r="G305" s="760"/>
      <c r="H305" s="760"/>
      <c r="I305" s="760"/>
      <c r="J305" s="760"/>
      <c r="K305" s="760"/>
      <c r="L305" s="880"/>
      <c r="M305" s="880"/>
      <c r="N305" s="880"/>
      <c r="O305" s="760"/>
      <c r="P305" s="760"/>
      <c r="Q305" s="760"/>
      <c r="R305" s="760"/>
      <c r="S305" s="760"/>
      <c r="T305" s="880"/>
      <c r="U305" s="880"/>
      <c r="V305" s="88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</row>
    <row r="306" spans="1:43" x14ac:dyDescent="0.2">
      <c r="A306" s="815">
        <v>7</v>
      </c>
      <c r="B306" s="816" t="str">
        <f t="shared" si="9"/>
        <v>Klavdia Piik, Ülo Piik</v>
      </c>
      <c r="C306" s="755">
        <f t="shared" si="10"/>
        <v>9</v>
      </c>
      <c r="D306" s="817"/>
      <c r="E306" s="817"/>
      <c r="F306" s="760"/>
      <c r="G306" s="760"/>
      <c r="H306" s="760"/>
      <c r="I306" s="760"/>
      <c r="J306" s="760"/>
      <c r="K306" s="760"/>
      <c r="L306" s="880"/>
      <c r="M306" s="880"/>
      <c r="N306" s="880"/>
      <c r="O306" s="760"/>
      <c r="P306" s="760"/>
      <c r="Q306" s="760"/>
      <c r="R306" s="760"/>
      <c r="S306" s="760"/>
      <c r="T306" s="880"/>
      <c r="U306" s="880"/>
      <c r="V306" s="880"/>
      <c r="W306" s="88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</row>
    <row r="307" spans="1:43" x14ac:dyDescent="0.2">
      <c r="A307" s="815">
        <v>8</v>
      </c>
      <c r="B307" s="816" t="str">
        <f t="shared" si="9"/>
        <v>Elmo Lageda, Tõnu Piik</v>
      </c>
      <c r="C307" s="755">
        <f t="shared" si="10"/>
        <v>8</v>
      </c>
      <c r="D307" s="817"/>
      <c r="E307" s="817"/>
      <c r="F307" s="760"/>
      <c r="G307" s="760"/>
      <c r="H307" s="760"/>
      <c r="I307" s="760"/>
      <c r="J307" s="760"/>
      <c r="K307" s="760"/>
      <c r="L307" s="880"/>
      <c r="M307" s="880"/>
      <c r="N307" s="880"/>
      <c r="O307" s="885"/>
      <c r="P307" s="760"/>
      <c r="Q307" s="760"/>
      <c r="R307" s="760"/>
      <c r="S307" s="760"/>
      <c r="T307" s="880"/>
      <c r="U307" s="880"/>
      <c r="V307" s="88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</row>
    <row r="308" spans="1:43" x14ac:dyDescent="0.2">
      <c r="A308" s="815">
        <v>9</v>
      </c>
      <c r="B308" s="816" t="str">
        <f t="shared" si="9"/>
        <v>Enn Tokman, Tarmo Bombe</v>
      </c>
      <c r="C308" s="755">
        <v>6.5</v>
      </c>
      <c r="D308" s="817"/>
      <c r="E308" s="817"/>
      <c r="F308" s="760"/>
      <c r="G308" s="760"/>
      <c r="H308" s="760"/>
      <c r="I308" s="760"/>
      <c r="J308" s="760"/>
      <c r="K308" s="760"/>
      <c r="L308" s="880"/>
      <c r="M308" s="880"/>
      <c r="N308" s="880"/>
      <c r="O308" s="885"/>
      <c r="P308" s="760"/>
      <c r="Q308" s="760"/>
      <c r="R308" s="760"/>
      <c r="S308" s="760"/>
      <c r="T308" s="880"/>
      <c r="U308" s="880"/>
      <c r="V308" s="88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</row>
    <row r="309" spans="1:43" x14ac:dyDescent="0.2">
      <c r="A309" s="815">
        <v>9</v>
      </c>
      <c r="B309" s="816" t="str">
        <f>B17</f>
        <v>Karla Purgats, Lemmit Toomra</v>
      </c>
      <c r="C309" s="755">
        <v>6.5</v>
      </c>
      <c r="D309" s="817"/>
      <c r="E309" s="817"/>
      <c r="F309" s="760"/>
      <c r="G309" s="760"/>
      <c r="H309" s="760"/>
      <c r="I309" s="760"/>
      <c r="J309" s="760"/>
      <c r="K309" s="760"/>
      <c r="L309" s="880"/>
      <c r="M309" s="880"/>
      <c r="N309" s="880"/>
      <c r="O309" s="885"/>
      <c r="P309" s="760"/>
      <c r="Q309" s="760"/>
      <c r="R309" s="760"/>
      <c r="S309" s="760"/>
      <c r="T309" s="880"/>
      <c r="U309" s="880"/>
      <c r="V309" s="88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</row>
    <row r="310" spans="1:43" x14ac:dyDescent="0.2">
      <c r="A310" s="760"/>
      <c r="B310" s="760"/>
      <c r="C310" s="760"/>
      <c r="D310" s="760"/>
      <c r="E310" s="760"/>
      <c r="F310" s="760"/>
      <c r="G310" s="760"/>
      <c r="H310" s="760"/>
      <c r="I310" s="760"/>
      <c r="J310" s="760"/>
      <c r="K310" s="760"/>
      <c r="L310" s="880"/>
      <c r="M310" s="880"/>
      <c r="N310" s="880"/>
      <c r="O310" s="760"/>
      <c r="P310" s="760"/>
      <c r="Q310" s="760"/>
      <c r="R310" s="760"/>
      <c r="S310" s="760"/>
      <c r="T310" s="880"/>
      <c r="U310" s="880"/>
      <c r="V310" s="88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</row>
  </sheetData>
  <conditionalFormatting sqref="A300:A309">
    <cfRule type="duplicateValues" dxfId="3131" priority="48"/>
  </conditionalFormatting>
  <conditionalFormatting sqref="B300:B309">
    <cfRule type="expression" dxfId="3130" priority="40">
      <formula>A300=3</formula>
    </cfRule>
    <cfRule type="expression" dxfId="3129" priority="41">
      <formula>A300=2</formula>
    </cfRule>
    <cfRule type="expression" dxfId="3128" priority="42">
      <formula>A300=1</formula>
    </cfRule>
    <cfRule type="containsBlanks" dxfId="3127" priority="43">
      <formula>LEN(TRIM(B300))=0</formula>
    </cfRule>
    <cfRule type="duplicateValues" dxfId="3126" priority="44"/>
  </conditionalFormatting>
  <conditionalFormatting sqref="A8:A17">
    <cfRule type="duplicateValues" dxfId="3125" priority="39"/>
  </conditionalFormatting>
  <conditionalFormatting sqref="C8:C17">
    <cfRule type="expression" dxfId="3124" priority="21">
      <formula>IF($C8&gt;$E8,TRUE)</formula>
    </cfRule>
  </conditionalFormatting>
  <conditionalFormatting sqref="E8:E17">
    <cfRule type="expression" dxfId="3123" priority="22">
      <formula>IF($C8&lt;$E8,TRUE)</formula>
    </cfRule>
  </conditionalFormatting>
  <conditionalFormatting sqref="K8:K17">
    <cfRule type="expression" dxfId="3122" priority="29">
      <formula>IF($K8&gt;$M8,TRUE)</formula>
    </cfRule>
  </conditionalFormatting>
  <conditionalFormatting sqref="M8:M17">
    <cfRule type="expression" dxfId="3121" priority="30">
      <formula>IF($K8&lt;$M8,TRUE)</formula>
    </cfRule>
  </conditionalFormatting>
  <conditionalFormatting sqref="O8:O17">
    <cfRule type="expression" dxfId="3120" priority="33">
      <formula>IF($O8&gt;$Q8,TRUE)</formula>
    </cfRule>
  </conditionalFormatting>
  <conditionalFormatting sqref="Q8:Q17">
    <cfRule type="expression" dxfId="3119" priority="34">
      <formula>IF($O8&lt;$Q8,TRUE)</formula>
    </cfRule>
  </conditionalFormatting>
  <conditionalFormatting sqref="S8:S17">
    <cfRule type="expression" dxfId="3118" priority="37">
      <formula>IF($S8&gt;$U8,TRUE)</formula>
    </cfRule>
  </conditionalFormatting>
  <conditionalFormatting sqref="U8:U17">
    <cfRule type="expression" dxfId="3117" priority="38">
      <formula>IF($S8&lt;$U8,TRUE)</formula>
    </cfRule>
  </conditionalFormatting>
  <conditionalFormatting sqref="G8:G17">
    <cfRule type="expression" dxfId="3116" priority="25">
      <formula>IF($G8&gt;$I8,TRUE)</formula>
    </cfRule>
  </conditionalFormatting>
  <conditionalFormatting sqref="I8:I17">
    <cfRule type="expression" dxfId="3115" priority="26">
      <formula>IF($G8&lt;$I8,TRUE)</formula>
    </cfRule>
  </conditionalFormatting>
  <conditionalFormatting sqref="F8:F17">
    <cfRule type="containsText" dxfId="3114" priority="7" operator="containsText" text="vaba voor">
      <formula>NOT(ISERROR(SEARCH("vaba voor",F8)))</formula>
    </cfRule>
  </conditionalFormatting>
  <conditionalFormatting sqref="N8:N17">
    <cfRule type="containsText" dxfId="3113" priority="5" operator="containsText" text="vaba voor">
      <formula>NOT(ISERROR(SEARCH("vaba voor",N8)))</formula>
    </cfRule>
  </conditionalFormatting>
  <conditionalFormatting sqref="R8:R17">
    <cfRule type="containsText" dxfId="3112" priority="8" operator="containsText" text="vaba voor">
      <formula>NOT(ISERROR(SEARCH("vaba voor",R8)))</formula>
    </cfRule>
  </conditionalFormatting>
  <conditionalFormatting sqref="V8:V17">
    <cfRule type="containsText" dxfId="3111" priority="4" operator="containsText" text="vaba voor">
      <formula>NOT(ISERROR(SEARCH("vaba voor",V8)))</formula>
    </cfRule>
  </conditionalFormatting>
  <conditionalFormatting sqref="Z8:Z17">
    <cfRule type="containsText" dxfId="3110" priority="3" operator="containsText" text="vaba voor">
      <formula>NOT(ISERROR(SEARCH("vaba voor",Z8)))</formula>
    </cfRule>
  </conditionalFormatting>
  <conditionalFormatting sqref="W8:W17">
    <cfRule type="expression" dxfId="3109" priority="12">
      <formula>IF($W8&gt;$Y8,TRUE)</formula>
    </cfRule>
  </conditionalFormatting>
  <conditionalFormatting sqref="Y8:Y17">
    <cfRule type="expression" dxfId="3108" priority="13">
      <formula>IF($W8&lt;$Y8,TRUE)</formula>
    </cfRule>
  </conditionalFormatting>
  <conditionalFormatting sqref="J8:J17">
    <cfRule type="containsText" dxfId="3107" priority="6" operator="containsText" text="vaba voor">
      <formula>NOT(ISERROR(SEARCH("vaba voor",J8)))</formula>
    </cfRule>
  </conditionalFormatting>
  <conditionalFormatting sqref="C8:F17">
    <cfRule type="expression" dxfId="3106" priority="17">
      <formula>IF(AND(ISNUMBER($C8),$C8=$E8),TRUE)</formula>
    </cfRule>
    <cfRule type="expression" dxfId="3105" priority="19">
      <formula>IF($C8&gt;$E8,TRUE)</formula>
    </cfRule>
    <cfRule type="expression" dxfId="3104" priority="20">
      <formula>IF($C8&lt;$E8,TRUE)</formula>
    </cfRule>
  </conditionalFormatting>
  <conditionalFormatting sqref="G8:J17">
    <cfRule type="expression" dxfId="3103" priority="18">
      <formula>IF(AND(ISNUMBER($G8),$G8=$I8),TRUE)</formula>
    </cfRule>
    <cfRule type="expression" dxfId="3102" priority="23">
      <formula>IF($G8&gt;$I8,TRUE)</formula>
    </cfRule>
    <cfRule type="expression" dxfId="3101" priority="24">
      <formula>IF($G8&lt;$I8,TRUE)</formula>
    </cfRule>
  </conditionalFormatting>
  <conditionalFormatting sqref="K8:N17">
    <cfRule type="expression" dxfId="3100" priority="16">
      <formula>IF(AND(ISNUMBER($K8),$K8=$M8),TRUE)</formula>
    </cfRule>
    <cfRule type="expression" dxfId="3099" priority="27">
      <formula>IF($K8&gt;$M8,TRUE)</formula>
    </cfRule>
    <cfRule type="expression" dxfId="3098" priority="28">
      <formula>IF($K8&lt;$M8,TRUE)</formula>
    </cfRule>
  </conditionalFormatting>
  <conditionalFormatting sqref="O8:R17">
    <cfRule type="expression" dxfId="3097" priority="15">
      <formula>IF(AND(ISNUMBER($O8),$O8=$Q8),TRUE)</formula>
    </cfRule>
    <cfRule type="expression" dxfId="3096" priority="31">
      <formula>IF($O8&gt;$Q8,TRUE)</formula>
    </cfRule>
    <cfRule type="expression" dxfId="3095" priority="32">
      <formula>IF($O8&lt;$Q8,TRUE)</formula>
    </cfRule>
  </conditionalFormatting>
  <conditionalFormatting sqref="S8:V17">
    <cfRule type="expression" dxfId="3094" priority="14">
      <formula>IF(AND(ISNUMBER($S8),$S8=$U8),TRUE)</formula>
    </cfRule>
    <cfRule type="expression" dxfId="3093" priority="35">
      <formula>IF($S8&gt;$U8,TRUE)</formula>
    </cfRule>
    <cfRule type="expression" dxfId="3092" priority="36">
      <formula>IF($S8&lt;$U8,TRUE)</formula>
    </cfRule>
  </conditionalFormatting>
  <conditionalFormatting sqref="W8:Z17">
    <cfRule type="expression" dxfId="3091" priority="9">
      <formula>IF(AND(ISNUMBER($W8),$W8=$Y8),TRUE)</formula>
    </cfRule>
    <cfRule type="expression" dxfId="3090" priority="10">
      <formula>IF($W8&gt;$Y8,TRUE)</formula>
    </cfRule>
    <cfRule type="expression" dxfId="3089" priority="11">
      <formula>IF($W8&lt;$Y8,TRUE)</formula>
    </cfRule>
  </conditionalFormatting>
  <conditionalFormatting sqref="C8:C17 G8:G17 K8:K17 O8:O17 S8:S17 W8:W17">
    <cfRule type="expression" dxfId="3088" priority="1">
      <formula>AND(C8=0,E8=13)</formula>
    </cfRule>
  </conditionalFormatting>
  <conditionalFormatting sqref="E8:E17 I8:I17 M8:M17 Q8:Q17 U8:U17 Y8:Y17">
    <cfRule type="expression" dxfId="3087" priority="2">
      <formula>AND(E8=0,C8=13)</formula>
    </cfRule>
  </conditionalFormatting>
  <conditionalFormatting sqref="AJ8:AJ20 AN8:AN20 AP8:AP20">
    <cfRule type="expression" dxfId="3086" priority="261">
      <formula>AND(AI8="",COUNTIF(AJ8,"*,*")=0)</formula>
    </cfRule>
  </conditionalFormatting>
  <conditionalFormatting sqref="AL8:AL20">
    <cfRule type="expression" dxfId="3085" priority="262">
      <formula>AND(AK8="",FIND(",",AL8))</formula>
    </cfRule>
    <cfRule type="expression" dxfId="3084" priority="263">
      <formula>AND(AK8="",COUNTIF(AL8,"*,*")=0)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AS315"/>
  <sheetViews>
    <sheetView showGridLines="0" showRowColHeaders="0" workbookViewId="0">
      <pane ySplit="2" topLeftCell="A3" activePane="bottomLeft" state="frozen"/>
      <selection pane="bottomLeft" activeCell="N1" sqref="N1"/>
    </sheetView>
  </sheetViews>
  <sheetFormatPr defaultRowHeight="12.75" x14ac:dyDescent="0.2"/>
  <cols>
    <col min="1" max="1" width="3.28515625" style="1" customWidth="1"/>
    <col min="2" max="2" width="35" style="1" customWidth="1"/>
    <col min="3" max="3" width="4.7109375" style="1" customWidth="1"/>
    <col min="4" max="4" width="1.140625" style="1" customWidth="1"/>
    <col min="5" max="5" width="2.7109375" style="1" customWidth="1"/>
    <col min="6" max="6" width="9.140625" style="1"/>
    <col min="7" max="7" width="2.7109375" style="1" customWidth="1"/>
    <col min="8" max="8" width="1.140625" style="1" customWidth="1"/>
    <col min="9" max="9" width="2.7109375" style="1" customWidth="1"/>
    <col min="10" max="10" width="9.140625" style="1"/>
    <col min="11" max="11" width="2.7109375" style="1" customWidth="1"/>
    <col min="12" max="12" width="1.140625" style="1" customWidth="1"/>
    <col min="13" max="13" width="2.7109375" style="1" customWidth="1"/>
    <col min="14" max="14" width="9.140625" style="1"/>
    <col min="15" max="15" width="2.7109375" style="1" customWidth="1"/>
    <col min="16" max="16" width="1.140625" style="1" customWidth="1"/>
    <col min="17" max="17" width="2.7109375" style="1" customWidth="1"/>
    <col min="18" max="18" width="9.140625" style="1"/>
    <col min="19" max="19" width="2.7109375" style="1" customWidth="1"/>
    <col min="20" max="20" width="1.140625" style="1" customWidth="1"/>
    <col min="21" max="21" width="2.7109375" style="1" customWidth="1"/>
    <col min="22" max="22" width="9.140625" style="1"/>
    <col min="23" max="23" width="2.7109375" style="1" hidden="1" customWidth="1"/>
    <col min="24" max="24" width="1.140625" style="1" hidden="1" customWidth="1"/>
    <col min="25" max="25" width="2.7109375" style="1" hidden="1" customWidth="1"/>
    <col min="26" max="26" width="9.140625" style="1" hidden="1" customWidth="1"/>
    <col min="27" max="27" width="5.7109375" style="1" bestFit="1" customWidth="1"/>
    <col min="28" max="28" width="5.5703125" style="1" hidden="1" customWidth="1"/>
    <col min="29" max="29" width="2.7109375" style="1" customWidth="1"/>
    <col min="30" max="30" width="1.140625" style="1" customWidth="1"/>
    <col min="31" max="31" width="2.7109375" style="1" customWidth="1"/>
    <col min="32" max="32" width="4.7109375" style="1" customWidth="1"/>
    <col min="33" max="33" width="9.140625" style="1"/>
    <col min="34" max="34" width="0" style="1" hidden="1" customWidth="1"/>
    <col min="35" max="35" width="6" style="1" hidden="1" customWidth="1"/>
    <col min="36" max="36" width="14.85546875" style="1" hidden="1" customWidth="1"/>
    <col min="37" max="37" width="6" style="1" hidden="1" customWidth="1"/>
    <col min="38" max="38" width="18.7109375" style="1" hidden="1" customWidth="1"/>
    <col min="39" max="39" width="0" style="1" hidden="1" customWidth="1"/>
    <col min="40" max="40" width="17.28515625" style="1" hidden="1" customWidth="1"/>
    <col min="41" max="41" width="0" style="1" hidden="1" customWidth="1"/>
    <col min="42" max="42" width="13.85546875" style="1" hidden="1" customWidth="1"/>
    <col min="43" max="16384" width="9.140625" style="1"/>
  </cols>
  <sheetData>
    <row r="1" spans="1:45" x14ac:dyDescent="0.2">
      <c r="A1" s="753" t="str">
        <f>UPPER((Kalend!E12)&amp;" - "&amp;(Kalend!C12)&amp;" - "&amp;(Kalend!D12))</f>
        <v>V5 - VOKA 2. SISE-KV 5. ETAPP - DUO</v>
      </c>
      <c r="B1" s="760"/>
      <c r="C1" s="817"/>
      <c r="D1" s="760"/>
      <c r="E1" s="760"/>
      <c r="F1" s="877" t="str">
        <f>HYPERLINK("#Kalend!I1","Kalender")</f>
        <v>Kalender</v>
      </c>
      <c r="G1" s="877"/>
      <c r="H1" s="877"/>
      <c r="I1" s="877"/>
      <c r="J1" s="878" t="str">
        <f>HYPERLINK("#V!Y1","Reiting")</f>
        <v>Reiting</v>
      </c>
      <c r="K1" s="879"/>
      <c r="L1" s="183"/>
      <c r="M1" s="880"/>
      <c r="N1" s="880"/>
      <c r="O1" s="760"/>
      <c r="P1" s="760"/>
      <c r="Q1" s="879"/>
      <c r="R1" s="879"/>
      <c r="S1" s="879"/>
      <c r="T1" s="183"/>
      <c r="U1" s="183"/>
      <c r="V1" s="183"/>
      <c r="W1" s="243"/>
      <c r="X1" s="881"/>
      <c r="Y1" s="881"/>
      <c r="Z1" s="881"/>
      <c r="AA1" s="760"/>
      <c r="AB1" s="881"/>
      <c r="AC1" s="760"/>
      <c r="AD1" s="760"/>
      <c r="AE1" s="760"/>
      <c r="AF1" s="760"/>
      <c r="AG1" s="760"/>
      <c r="AH1" s="622" t="s">
        <v>233</v>
      </c>
      <c r="AI1" s="881"/>
      <c r="AJ1" s="881"/>
      <c r="AK1" s="881"/>
      <c r="AL1" s="881"/>
      <c r="AM1" s="881"/>
      <c r="AN1" s="881"/>
      <c r="AO1" s="881"/>
      <c r="AP1" s="881"/>
      <c r="AQ1" s="760"/>
      <c r="AR1" s="760"/>
      <c r="AS1" s="760"/>
    </row>
    <row r="2" spans="1:45" x14ac:dyDescent="0.2">
      <c r="A2" s="757" t="str">
        <f>"Toimumisaeg: "&amp;(Kalend!A12)&amp;" kell "&amp;(Kalend!B12)</f>
        <v>Toimumisaeg: L, 24.11.2018 kell 10:00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880"/>
      <c r="M2" s="880"/>
      <c r="N2" s="880"/>
      <c r="O2" s="760"/>
      <c r="P2" s="760"/>
      <c r="Q2" s="760"/>
      <c r="R2" s="760"/>
      <c r="S2" s="760"/>
      <c r="T2" s="880"/>
      <c r="U2" s="880"/>
      <c r="V2" s="880"/>
      <c r="W2" s="880"/>
      <c r="X2" s="760"/>
      <c r="Y2" s="759" t="s">
        <v>357</v>
      </c>
      <c r="Z2" s="760"/>
      <c r="AA2" s="760"/>
      <c r="AB2" s="760"/>
      <c r="AC2" s="760"/>
      <c r="AD2" s="760"/>
      <c r="AE2" s="759" t="s">
        <v>357</v>
      </c>
      <c r="AF2" s="760"/>
      <c r="AG2" s="760"/>
      <c r="AH2" s="760"/>
      <c r="AI2" s="760"/>
      <c r="AJ2" s="760"/>
      <c r="AK2" s="760"/>
      <c r="AL2" s="760"/>
      <c r="AM2" s="760"/>
      <c r="AN2" s="760"/>
      <c r="AO2" s="760"/>
      <c r="AP2" s="760"/>
      <c r="AQ2" s="760"/>
      <c r="AR2" s="760"/>
      <c r="AS2" s="760"/>
    </row>
    <row r="3" spans="1:45" x14ac:dyDescent="0.2">
      <c r="A3" s="757" t="str">
        <f>"Toimumiskoht: "&amp;(Kalend!F12)</f>
        <v>Toimumiskoht: Voka petangihall</v>
      </c>
      <c r="B3" s="760"/>
      <c r="C3" s="760"/>
      <c r="D3" s="760"/>
      <c r="E3" s="760"/>
      <c r="F3" s="760"/>
      <c r="G3" s="882"/>
      <c r="H3" s="882"/>
      <c r="I3" s="883" t="s">
        <v>441</v>
      </c>
      <c r="J3" s="884">
        <v>1</v>
      </c>
      <c r="K3" s="885" t="s">
        <v>442</v>
      </c>
      <c r="L3" s="880"/>
      <c r="M3" s="880"/>
      <c r="N3" s="880"/>
      <c r="O3" s="760"/>
      <c r="P3" s="760"/>
      <c r="Q3" s="760"/>
      <c r="R3" s="760"/>
      <c r="S3" s="760"/>
      <c r="T3" s="880"/>
      <c r="U3" s="880"/>
      <c r="V3" s="880"/>
      <c r="W3" s="880"/>
      <c r="X3" s="760"/>
      <c r="Y3" s="760"/>
      <c r="Z3" s="760"/>
      <c r="AA3" s="760"/>
      <c r="AB3" s="760"/>
      <c r="AC3" s="760"/>
      <c r="AD3" s="760"/>
      <c r="AE3" s="760"/>
      <c r="AF3" s="760"/>
      <c r="AG3" s="760"/>
      <c r="AH3" s="760"/>
      <c r="AI3" s="760"/>
      <c r="AJ3" s="760"/>
      <c r="AK3" s="760"/>
      <c r="AL3" s="760"/>
      <c r="AM3" s="760"/>
      <c r="AN3" s="760"/>
      <c r="AO3" s="760"/>
      <c r="AP3" s="760"/>
      <c r="AQ3" s="760"/>
      <c r="AR3" s="760"/>
      <c r="AS3" s="760"/>
    </row>
    <row r="4" spans="1:45" x14ac:dyDescent="0.2">
      <c r="A4" s="757" t="str">
        <f>"Korraldaja: "&amp;(Kalend!G12)</f>
        <v>Korraldaja: Johannes Neiland</v>
      </c>
      <c r="B4" s="760"/>
      <c r="C4" s="760"/>
      <c r="D4" s="760"/>
      <c r="E4" s="760"/>
      <c r="F4" s="760"/>
      <c r="G4" s="886"/>
      <c r="H4" s="886"/>
      <c r="I4" s="887" t="s">
        <v>443</v>
      </c>
      <c r="J4" s="884">
        <v>0.5</v>
      </c>
      <c r="K4" s="885" t="s">
        <v>442</v>
      </c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888"/>
      <c r="X4" s="760"/>
      <c r="Y4" s="760"/>
      <c r="Z4" s="760"/>
      <c r="AA4" s="760"/>
      <c r="AB4" s="760"/>
      <c r="AC4" s="760"/>
      <c r="AD4" s="760"/>
      <c r="AE4" s="760"/>
      <c r="AF4" s="760"/>
      <c r="AG4" s="760"/>
      <c r="AH4" s="889" t="s">
        <v>444</v>
      </c>
      <c r="AI4" s="760"/>
      <c r="AJ4" s="760"/>
      <c r="AK4" s="760"/>
      <c r="AL4" s="760"/>
      <c r="AM4" s="760"/>
      <c r="AN4" s="760"/>
      <c r="AO4" s="760"/>
      <c r="AP4" s="760"/>
      <c r="AQ4" s="760"/>
      <c r="AR4" s="760"/>
      <c r="AS4" s="760"/>
    </row>
    <row r="5" spans="1:45" x14ac:dyDescent="0.2">
      <c r="A5" s="760"/>
      <c r="B5" s="760"/>
      <c r="C5" s="760"/>
      <c r="D5" s="760"/>
      <c r="E5" s="760"/>
      <c r="F5" s="760"/>
      <c r="G5" s="890"/>
      <c r="H5" s="890"/>
      <c r="I5" s="891" t="s">
        <v>445</v>
      </c>
      <c r="J5" s="884">
        <v>0</v>
      </c>
      <c r="K5" s="885" t="s">
        <v>442</v>
      </c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888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1" t="s">
        <v>49</v>
      </c>
      <c r="AI5" s="773"/>
      <c r="AJ5" s="772"/>
      <c r="AK5" s="773"/>
      <c r="AL5" s="892"/>
      <c r="AM5" s="773"/>
      <c r="AN5" s="773"/>
      <c r="AO5" s="773"/>
      <c r="AP5" s="773"/>
      <c r="AQ5" s="760"/>
      <c r="AR5" s="760"/>
      <c r="AS5" s="760"/>
    </row>
    <row r="6" spans="1:45" x14ac:dyDescent="0.2">
      <c r="A6" s="760"/>
      <c r="B6" s="760"/>
      <c r="C6" s="760"/>
      <c r="D6" s="760"/>
      <c r="E6" s="760"/>
      <c r="F6" s="760"/>
      <c r="G6" s="760"/>
      <c r="H6" s="760"/>
      <c r="I6" s="760"/>
      <c r="J6" s="760"/>
      <c r="K6" s="760"/>
      <c r="L6" s="880"/>
      <c r="M6" s="880"/>
      <c r="N6" s="880"/>
      <c r="O6" s="760"/>
      <c r="P6" s="760"/>
      <c r="Q6" s="760"/>
      <c r="R6" s="760"/>
      <c r="S6" s="760"/>
      <c r="T6" s="880"/>
      <c r="U6" s="880"/>
      <c r="V6" s="880"/>
      <c r="W6" s="88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1" t="s">
        <v>358</v>
      </c>
      <c r="AI6" s="762"/>
      <c r="AJ6" s="762" t="s">
        <v>359</v>
      </c>
      <c r="AK6" s="762"/>
      <c r="AL6" s="763" t="s">
        <v>360</v>
      </c>
      <c r="AM6" s="762"/>
      <c r="AN6" s="762" t="s">
        <v>361</v>
      </c>
      <c r="AO6" s="764"/>
      <c r="AP6" s="762" t="s">
        <v>362</v>
      </c>
      <c r="AQ6" s="760"/>
      <c r="AR6" s="760"/>
      <c r="AS6" s="760"/>
    </row>
    <row r="7" spans="1:45" x14ac:dyDescent="0.2">
      <c r="A7" s="893" t="s">
        <v>10</v>
      </c>
      <c r="B7" s="893" t="s">
        <v>216</v>
      </c>
      <c r="C7" s="894" t="s">
        <v>373</v>
      </c>
      <c r="D7" s="895"/>
      <c r="E7" s="895"/>
      <c r="F7" s="896"/>
      <c r="G7" s="894" t="s">
        <v>376</v>
      </c>
      <c r="H7" s="895"/>
      <c r="I7" s="895"/>
      <c r="J7" s="896"/>
      <c r="K7" s="894" t="s">
        <v>379</v>
      </c>
      <c r="L7" s="895"/>
      <c r="M7" s="895"/>
      <c r="N7" s="896"/>
      <c r="O7" s="894" t="s">
        <v>382</v>
      </c>
      <c r="P7" s="895"/>
      <c r="Q7" s="895"/>
      <c r="R7" s="896"/>
      <c r="S7" s="894" t="s">
        <v>385</v>
      </c>
      <c r="T7" s="895"/>
      <c r="U7" s="895"/>
      <c r="V7" s="896"/>
      <c r="W7" s="894" t="s">
        <v>446</v>
      </c>
      <c r="X7" s="895"/>
      <c r="Y7" s="895"/>
      <c r="Z7" s="896"/>
      <c r="AA7" s="893" t="s">
        <v>244</v>
      </c>
      <c r="AB7" s="897" t="s">
        <v>447</v>
      </c>
      <c r="AC7" s="897"/>
      <c r="AD7" s="898" t="s">
        <v>448</v>
      </c>
      <c r="AE7" s="899"/>
      <c r="AF7" s="760"/>
      <c r="AH7" s="761" t="s">
        <v>366</v>
      </c>
      <c r="AI7" s="773"/>
      <c r="AJ7" s="772"/>
      <c r="AK7" s="773"/>
      <c r="AL7" s="772"/>
      <c r="AM7" s="774"/>
      <c r="AN7" s="774"/>
      <c r="AO7" s="774"/>
      <c r="AP7" s="774"/>
      <c r="AQ7" s="760"/>
      <c r="AR7" s="760"/>
      <c r="AS7" s="760"/>
    </row>
    <row r="8" spans="1:45" x14ac:dyDescent="0.2">
      <c r="A8" s="897">
        <v>1</v>
      </c>
      <c r="B8" s="775" t="s">
        <v>368</v>
      </c>
      <c r="C8" s="900">
        <v>13</v>
      </c>
      <c r="D8" s="901" t="s">
        <v>450</v>
      </c>
      <c r="E8" s="902">
        <v>3</v>
      </c>
      <c r="F8" s="903" t="str">
        <f>B18</f>
        <v>Ljudmila Varendi, Viktor Švarõgin</v>
      </c>
      <c r="G8" s="900">
        <v>13</v>
      </c>
      <c r="H8" s="901" t="s">
        <v>450</v>
      </c>
      <c r="I8" s="902">
        <v>7</v>
      </c>
      <c r="J8" s="903" t="str">
        <f>B10</f>
        <v>Ivar Viljaste, Kristo Viljaste</v>
      </c>
      <c r="K8" s="900">
        <v>13</v>
      </c>
      <c r="L8" s="901" t="s">
        <v>450</v>
      </c>
      <c r="M8" s="902">
        <v>4</v>
      </c>
      <c r="N8" s="903" t="str">
        <f>B14</f>
        <v>Elmo Lageda, Tõnu Piik</v>
      </c>
      <c r="O8" s="900">
        <v>12</v>
      </c>
      <c r="P8" s="901" t="s">
        <v>450</v>
      </c>
      <c r="Q8" s="902">
        <v>13</v>
      </c>
      <c r="R8" s="903" t="str">
        <f>B11</f>
        <v>Andrei Grintšak, Boriss Klubov</v>
      </c>
      <c r="S8" s="900">
        <v>13</v>
      </c>
      <c r="T8" s="901" t="s">
        <v>450</v>
      </c>
      <c r="U8" s="902">
        <v>5</v>
      </c>
      <c r="V8" s="903" t="str">
        <f>B13</f>
        <v>Meelis Luud, Urmas Randlaine</v>
      </c>
      <c r="W8" s="900"/>
      <c r="X8" s="901" t="s">
        <v>450</v>
      </c>
      <c r="Y8" s="902"/>
      <c r="Z8" s="903"/>
      <c r="AA8" s="904">
        <f t="shared" ref="AA8:AA19" si="0">IF(C8&gt;E8,J$3,IF(C8&lt;E8,J$5,IF(ISNUMBER(C8),J$4,0)))+IF(G8&gt;I8,J$3,IF(G8&lt;I8,J$5,IF(ISNUMBER(G8),J$4,0)))+IF(K8&gt;M8,J$3,IF(K8&lt;M8,J$5,IF(ISNUMBER(K8),J$4,0)))+IF(O8&gt;Q8,J$3,IF(O8&lt;Q8,J$5,IF(ISNUMBER(O8),J$4,0)))+IF(S8&gt;U8,J$3,IF(S8&lt;U8,J$5,IF(ISNUMBER(S8),J$4,0)))+IF(W8&gt;Y8,J$3,IF(W8&lt;Y8,J$5,IF(ISNUMBER(W8),J$4,0)))</f>
        <v>4</v>
      </c>
      <c r="AB8" s="905"/>
      <c r="AC8" s="900">
        <f t="shared" ref="AC8:AC19" si="1">C8+G8+K8+O8+S8+W8</f>
        <v>64</v>
      </c>
      <c r="AD8" s="901" t="s">
        <v>450</v>
      </c>
      <c r="AE8" s="906">
        <f t="shared" ref="AE8:AE19" si="2">E8+I8+M8+Q8+U8+Y8</f>
        <v>32</v>
      </c>
      <c r="AF8" s="908">
        <f t="shared" ref="AF8:AF19" si="3">AC8-AE8</f>
        <v>32</v>
      </c>
      <c r="AH8" s="764">
        <f t="shared" ref="AH8:AH20" si="4">SUM(AI8:AP8)</f>
        <v>317</v>
      </c>
      <c r="AI8" s="784">
        <f>IFERROR(INDEX(V!$R:$R,MATCH(AJ8,V!$L:$L,0)),"")</f>
        <v>159</v>
      </c>
      <c r="AJ8" s="783" t="str">
        <f t="shared" ref="AJ8:AJ20" si="5">IFERROR(LEFT($B8,(FIND(",",$B8,1)-1)),"")</f>
        <v>Jaan Sepp</v>
      </c>
      <c r="AK8" s="784">
        <f>IFERROR(INDEX(V!$R:$R,MATCH(AL8,V!$L:$L,0)),"")</f>
        <v>158</v>
      </c>
      <c r="AL8" s="783" t="str">
        <f t="shared" ref="AL8:AL20" si="6">IFERROR(MID($B8,FIND(", ",$B8)+2,256),"")</f>
        <v>Oskar Sepp</v>
      </c>
      <c r="AM8" s="784" t="str">
        <f>IFERROR(INDEX(V!$R:$R,MATCH(AN8,V!$L:$L,0)),"")</f>
        <v/>
      </c>
      <c r="AN8" s="785" t="str">
        <f t="shared" ref="AN8:AN20" si="7">IFERROR(MID($B8,FIND("^",SUBSTITUTE($B8,", ","^",1))+2,FIND("^",SUBSTITUTE($B8,", ","^",2))-FIND("^",SUBSTITUTE($B8,", ","^",1))-2),"")</f>
        <v/>
      </c>
      <c r="AO8" s="784" t="str">
        <f>IFERROR(INDEX(V!$R:$R,MATCH(AP8,V!$L:$L,0)),"")</f>
        <v/>
      </c>
      <c r="AP8" s="785" t="str">
        <f t="shared" ref="AP8:AP20" si="8">IFERROR(MID($B8,FIND(", ",$B8,FIND(", ",$B8,FIND(", ",$B8))+1)+2,700),"")</f>
        <v/>
      </c>
      <c r="AQ8" s="760"/>
      <c r="AR8" s="760"/>
      <c r="AS8" s="760"/>
    </row>
    <row r="9" spans="1:45" x14ac:dyDescent="0.2">
      <c r="A9" s="897">
        <v>2</v>
      </c>
      <c r="B9" s="775" t="s">
        <v>454</v>
      </c>
      <c r="C9" s="900">
        <v>13</v>
      </c>
      <c r="D9" s="901" t="s">
        <v>450</v>
      </c>
      <c r="E9" s="902">
        <v>10</v>
      </c>
      <c r="F9" s="903" t="str">
        <f>B12</f>
        <v>Karla Purgats, Kenneth Muusikus</v>
      </c>
      <c r="G9" s="900">
        <v>1</v>
      </c>
      <c r="H9" s="901" t="s">
        <v>450</v>
      </c>
      <c r="I9" s="902">
        <v>13</v>
      </c>
      <c r="J9" s="903" t="str">
        <f>B13</f>
        <v>Meelis Luud, Urmas Randlaine</v>
      </c>
      <c r="K9" s="900">
        <v>13</v>
      </c>
      <c r="L9" s="901" t="s">
        <v>450</v>
      </c>
      <c r="M9" s="902">
        <v>7</v>
      </c>
      <c r="N9" s="903" t="str">
        <f>B17</f>
        <v>Enn Tokman, Tarmo Bombe</v>
      </c>
      <c r="O9" s="900">
        <v>13</v>
      </c>
      <c r="P9" s="901" t="s">
        <v>450</v>
      </c>
      <c r="Q9" s="902">
        <v>11</v>
      </c>
      <c r="R9" s="903" t="str">
        <f>B16</f>
        <v>Mait Metsla, Matti Vinni</v>
      </c>
      <c r="S9" s="900">
        <v>13</v>
      </c>
      <c r="T9" s="901" t="s">
        <v>450</v>
      </c>
      <c r="U9" s="902">
        <v>3</v>
      </c>
      <c r="V9" s="903" t="str">
        <f>B15</f>
        <v>Illar Tõnurist, Jaan Saar</v>
      </c>
      <c r="W9" s="900"/>
      <c r="X9" s="901" t="s">
        <v>450</v>
      </c>
      <c r="Y9" s="902"/>
      <c r="Z9" s="903"/>
      <c r="AA9" s="904">
        <f t="shared" si="0"/>
        <v>4</v>
      </c>
      <c r="AB9" s="905"/>
      <c r="AC9" s="900">
        <f t="shared" si="1"/>
        <v>53</v>
      </c>
      <c r="AD9" s="901" t="s">
        <v>450</v>
      </c>
      <c r="AE9" s="906">
        <f t="shared" si="2"/>
        <v>44</v>
      </c>
      <c r="AF9" s="908">
        <f t="shared" si="3"/>
        <v>9</v>
      </c>
      <c r="AH9" s="764">
        <f t="shared" si="4"/>
        <v>134.5</v>
      </c>
      <c r="AI9" s="784">
        <f>IFERROR(INDEX(V!$R:$R,MATCH(AJ9,V!$L:$L,0)),"")</f>
        <v>40.5</v>
      </c>
      <c r="AJ9" s="783" t="str">
        <f t="shared" si="5"/>
        <v>Aigi Orro</v>
      </c>
      <c r="AK9" s="784">
        <f>IFERROR(INDEX(V!$R:$R,MATCH(AL9,V!$L:$L,0)),"")</f>
        <v>94</v>
      </c>
      <c r="AL9" s="783" t="str">
        <f t="shared" si="6"/>
        <v>Johannes Neiland</v>
      </c>
      <c r="AM9" s="784" t="str">
        <f>IFERROR(INDEX(V!$R:$R,MATCH(AN9,V!$L:$L,0)),"")</f>
        <v/>
      </c>
      <c r="AN9" s="785" t="str">
        <f t="shared" si="7"/>
        <v/>
      </c>
      <c r="AO9" s="784" t="str">
        <f>IFERROR(INDEX(V!$R:$R,MATCH(AP9,V!$L:$L,0)),"")</f>
        <v/>
      </c>
      <c r="AP9" s="785" t="str">
        <f t="shared" si="8"/>
        <v/>
      </c>
      <c r="AQ9" s="760"/>
      <c r="AR9" s="760"/>
      <c r="AS9" s="760"/>
    </row>
    <row r="10" spans="1:45" x14ac:dyDescent="0.2">
      <c r="A10" s="897">
        <v>3</v>
      </c>
      <c r="B10" s="909" t="s">
        <v>455</v>
      </c>
      <c r="C10" s="900">
        <v>13</v>
      </c>
      <c r="D10" s="901" t="s">
        <v>450</v>
      </c>
      <c r="E10" s="902">
        <v>4</v>
      </c>
      <c r="F10" s="903" t="str">
        <f>B19</f>
        <v>Klavdia Piik, Vladimir Ogneštšikov</v>
      </c>
      <c r="G10" s="900">
        <v>7</v>
      </c>
      <c r="H10" s="901" t="s">
        <v>450</v>
      </c>
      <c r="I10" s="902">
        <v>13</v>
      </c>
      <c r="J10" s="903" t="str">
        <f>B8</f>
        <v>Jaan Sepp, Oskar Sepp</v>
      </c>
      <c r="K10" s="900">
        <v>13</v>
      </c>
      <c r="L10" s="901" t="s">
        <v>450</v>
      </c>
      <c r="M10" s="902">
        <v>10</v>
      </c>
      <c r="N10" s="903" t="str">
        <f>B16</f>
        <v>Mait Metsla, Matti Vinni</v>
      </c>
      <c r="O10" s="900">
        <v>13</v>
      </c>
      <c r="P10" s="901" t="s">
        <v>450</v>
      </c>
      <c r="Q10" s="902">
        <v>10</v>
      </c>
      <c r="R10" s="903" t="str">
        <f>B14</f>
        <v>Elmo Lageda, Tõnu Piik</v>
      </c>
      <c r="S10" s="900">
        <v>13</v>
      </c>
      <c r="T10" s="901" t="s">
        <v>450</v>
      </c>
      <c r="U10" s="902">
        <v>3</v>
      </c>
      <c r="V10" s="903" t="str">
        <f>B11</f>
        <v>Andrei Grintšak, Boriss Klubov</v>
      </c>
      <c r="W10" s="900"/>
      <c r="X10" s="901" t="s">
        <v>450</v>
      </c>
      <c r="Y10" s="902"/>
      <c r="Z10" s="903"/>
      <c r="AA10" s="904">
        <f t="shared" si="0"/>
        <v>4</v>
      </c>
      <c r="AB10" s="905"/>
      <c r="AC10" s="900">
        <f t="shared" si="1"/>
        <v>59</v>
      </c>
      <c r="AD10" s="901" t="s">
        <v>450</v>
      </c>
      <c r="AE10" s="906">
        <f t="shared" si="2"/>
        <v>40</v>
      </c>
      <c r="AF10" s="908">
        <f t="shared" si="3"/>
        <v>19</v>
      </c>
      <c r="AH10" s="764">
        <f t="shared" si="4"/>
        <v>133</v>
      </c>
      <c r="AI10" s="784">
        <f>IFERROR(INDEX(V!$R:$R,MATCH(AJ10,V!$L:$L,0)),"")</f>
        <v>120</v>
      </c>
      <c r="AJ10" s="783" t="str">
        <f t="shared" si="5"/>
        <v>Ivar Viljaste</v>
      </c>
      <c r="AK10" s="784">
        <f>IFERROR(INDEX(V!$R:$R,MATCH(AL10,V!$L:$L,0)),"")</f>
        <v>13</v>
      </c>
      <c r="AL10" s="783" t="str">
        <f t="shared" si="6"/>
        <v>Kristo Viljaste</v>
      </c>
      <c r="AM10" s="784" t="str">
        <f>IFERROR(INDEX(V!$R:$R,MATCH(AN10,V!$L:$L,0)),"")</f>
        <v/>
      </c>
      <c r="AN10" s="785" t="str">
        <f t="shared" si="7"/>
        <v/>
      </c>
      <c r="AO10" s="784" t="str">
        <f>IFERROR(INDEX(V!$R:$R,MATCH(AP10,V!$L:$L,0)),"")</f>
        <v/>
      </c>
      <c r="AP10" s="785" t="str">
        <f t="shared" si="8"/>
        <v/>
      </c>
      <c r="AQ10" s="760"/>
      <c r="AR10" s="760"/>
      <c r="AS10" s="760"/>
    </row>
    <row r="11" spans="1:45" x14ac:dyDescent="0.2">
      <c r="A11" s="897">
        <v>4</v>
      </c>
      <c r="B11" s="909" t="s">
        <v>456</v>
      </c>
      <c r="C11" s="900">
        <v>7</v>
      </c>
      <c r="D11" s="901" t="s">
        <v>450</v>
      </c>
      <c r="E11" s="902">
        <v>13</v>
      </c>
      <c r="F11" s="903" t="str">
        <f>B14</f>
        <v>Elmo Lageda, Tõnu Piik</v>
      </c>
      <c r="G11" s="900">
        <v>13</v>
      </c>
      <c r="H11" s="901" t="s">
        <v>450</v>
      </c>
      <c r="I11" s="902">
        <v>2</v>
      </c>
      <c r="J11" s="903" t="str">
        <f>B17</f>
        <v>Enn Tokman, Tarmo Bombe</v>
      </c>
      <c r="K11" s="900">
        <v>13</v>
      </c>
      <c r="L11" s="901" t="s">
        <v>450</v>
      </c>
      <c r="M11" s="902">
        <v>3</v>
      </c>
      <c r="N11" s="903" t="str">
        <f>B13</f>
        <v>Meelis Luud, Urmas Randlaine</v>
      </c>
      <c r="O11" s="900">
        <v>13</v>
      </c>
      <c r="P11" s="901" t="s">
        <v>450</v>
      </c>
      <c r="Q11" s="902">
        <v>12</v>
      </c>
      <c r="R11" s="903" t="str">
        <f>B8</f>
        <v>Jaan Sepp, Oskar Sepp</v>
      </c>
      <c r="S11" s="900">
        <v>3</v>
      </c>
      <c r="T11" s="901" t="s">
        <v>450</v>
      </c>
      <c r="U11" s="902">
        <v>13</v>
      </c>
      <c r="V11" s="903" t="str">
        <f>B10</f>
        <v>Ivar Viljaste, Kristo Viljaste</v>
      </c>
      <c r="W11" s="900"/>
      <c r="X11" s="901" t="s">
        <v>450</v>
      </c>
      <c r="Y11" s="902"/>
      <c r="Z11" s="903"/>
      <c r="AA11" s="910">
        <f t="shared" si="0"/>
        <v>3</v>
      </c>
      <c r="AB11" s="905"/>
      <c r="AC11" s="917">
        <f t="shared" si="1"/>
        <v>49</v>
      </c>
      <c r="AD11" s="901" t="s">
        <v>450</v>
      </c>
      <c r="AE11" s="906">
        <f t="shared" si="2"/>
        <v>43</v>
      </c>
      <c r="AF11" s="908">
        <f t="shared" si="3"/>
        <v>6</v>
      </c>
      <c r="AH11" s="764">
        <f t="shared" si="4"/>
        <v>49.5</v>
      </c>
      <c r="AI11" s="784">
        <f>IFERROR(INDEX(V!$R:$R,MATCH(AJ11,V!$L:$L,0)),"")</f>
        <v>12</v>
      </c>
      <c r="AJ11" s="783" t="str">
        <f t="shared" si="5"/>
        <v>Andrei Grintšak</v>
      </c>
      <c r="AK11" s="784">
        <f>IFERROR(INDEX(V!$R:$R,MATCH(AL11,V!$L:$L,0)),"")</f>
        <v>37.5</v>
      </c>
      <c r="AL11" s="783" t="str">
        <f t="shared" si="6"/>
        <v>Boriss Klubov</v>
      </c>
      <c r="AM11" s="784" t="str">
        <f>IFERROR(INDEX(V!$R:$R,MATCH(AN11,V!$L:$L,0)),"")</f>
        <v/>
      </c>
      <c r="AN11" s="785" t="str">
        <f t="shared" si="7"/>
        <v/>
      </c>
      <c r="AO11" s="784" t="str">
        <f>IFERROR(INDEX(V!$R:$R,MATCH(AP11,V!$L:$L,0)),"")</f>
        <v/>
      </c>
      <c r="AP11" s="785" t="str">
        <f t="shared" si="8"/>
        <v/>
      </c>
      <c r="AQ11" s="760"/>
      <c r="AR11" s="760"/>
      <c r="AS11" s="760"/>
    </row>
    <row r="12" spans="1:45" x14ac:dyDescent="0.2">
      <c r="A12" s="897">
        <v>5</v>
      </c>
      <c r="B12" s="909" t="s">
        <v>457</v>
      </c>
      <c r="C12" s="900">
        <v>10</v>
      </c>
      <c r="D12" s="901" t="s">
        <v>450</v>
      </c>
      <c r="E12" s="902">
        <v>13</v>
      </c>
      <c r="F12" s="903" t="str">
        <f>B9</f>
        <v>Aigi Orro, Johannes Neiland</v>
      </c>
      <c r="G12" s="900">
        <v>7</v>
      </c>
      <c r="H12" s="901" t="s">
        <v>450</v>
      </c>
      <c r="I12" s="902">
        <v>13</v>
      </c>
      <c r="J12" s="903" t="str">
        <f>B16</f>
        <v>Mait Metsla, Matti Vinni</v>
      </c>
      <c r="K12" s="900">
        <v>13</v>
      </c>
      <c r="L12" s="901" t="s">
        <v>450</v>
      </c>
      <c r="M12" s="902">
        <v>7</v>
      </c>
      <c r="N12" s="903" t="str">
        <f>B19</f>
        <v>Klavdia Piik, Vladimir Ogneštšikov</v>
      </c>
      <c r="O12" s="900">
        <v>13</v>
      </c>
      <c r="P12" s="901" t="s">
        <v>450</v>
      </c>
      <c r="Q12" s="902">
        <v>9</v>
      </c>
      <c r="R12" s="903" t="str">
        <f>B18</f>
        <v>Ljudmila Varendi, Viktor Švarõgin</v>
      </c>
      <c r="S12" s="900">
        <v>13</v>
      </c>
      <c r="T12" s="901" t="s">
        <v>450</v>
      </c>
      <c r="U12" s="902">
        <v>4</v>
      </c>
      <c r="V12" s="903" t="str">
        <f>B14</f>
        <v>Elmo Lageda, Tõnu Piik</v>
      </c>
      <c r="W12" s="900"/>
      <c r="X12" s="901" t="s">
        <v>450</v>
      </c>
      <c r="Y12" s="902"/>
      <c r="Z12" s="903"/>
      <c r="AA12" s="910">
        <f t="shared" si="0"/>
        <v>3</v>
      </c>
      <c r="AB12" s="905"/>
      <c r="AC12" s="900">
        <f t="shared" si="1"/>
        <v>56</v>
      </c>
      <c r="AD12" s="901" t="s">
        <v>450</v>
      </c>
      <c r="AE12" s="906">
        <f t="shared" si="2"/>
        <v>46</v>
      </c>
      <c r="AF12" s="908">
        <f t="shared" si="3"/>
        <v>10</v>
      </c>
      <c r="AH12" s="764">
        <f t="shared" si="4"/>
        <v>254.5</v>
      </c>
      <c r="AI12" s="784">
        <f>IFERROR(INDEX(V!$R:$R,MATCH(AJ12,V!$L:$L,0)),"")</f>
        <v>123.5</v>
      </c>
      <c r="AJ12" s="783" t="str">
        <f t="shared" si="5"/>
        <v>Karla Purgats</v>
      </c>
      <c r="AK12" s="784">
        <f>IFERROR(INDEX(V!$R:$R,MATCH(AL12,V!$L:$L,0)),"")</f>
        <v>131</v>
      </c>
      <c r="AL12" s="783" t="str">
        <f t="shared" si="6"/>
        <v>Kenneth Muusikus</v>
      </c>
      <c r="AM12" s="784" t="str">
        <f>IFERROR(INDEX(V!$R:$R,MATCH(AN12,V!$L:$L,0)),"")</f>
        <v/>
      </c>
      <c r="AN12" s="785" t="str">
        <f t="shared" si="7"/>
        <v/>
      </c>
      <c r="AO12" s="784" t="str">
        <f>IFERROR(INDEX(V!$R:$R,MATCH(AP12,V!$L:$L,0)),"")</f>
        <v/>
      </c>
      <c r="AP12" s="785" t="str">
        <f t="shared" si="8"/>
        <v/>
      </c>
      <c r="AQ12" s="760"/>
      <c r="AR12" s="760"/>
      <c r="AS12" s="760"/>
    </row>
    <row r="13" spans="1:45" x14ac:dyDescent="0.2">
      <c r="A13" s="897">
        <v>6</v>
      </c>
      <c r="B13" s="909" t="s">
        <v>458</v>
      </c>
      <c r="C13" s="900">
        <v>13</v>
      </c>
      <c r="D13" s="901" t="s">
        <v>450</v>
      </c>
      <c r="E13" s="902">
        <v>10</v>
      </c>
      <c r="F13" s="903" t="str">
        <f>B16</f>
        <v>Mait Metsla, Matti Vinni</v>
      </c>
      <c r="G13" s="900">
        <v>13</v>
      </c>
      <c r="H13" s="901" t="s">
        <v>450</v>
      </c>
      <c r="I13" s="902">
        <v>1</v>
      </c>
      <c r="J13" s="903" t="str">
        <f>B9</f>
        <v>Aigi Orro, Johannes Neiland</v>
      </c>
      <c r="K13" s="900">
        <v>3</v>
      </c>
      <c r="L13" s="901" t="s">
        <v>450</v>
      </c>
      <c r="M13" s="902">
        <v>13</v>
      </c>
      <c r="N13" s="903" t="str">
        <f>B11</f>
        <v>Andrei Grintšak, Boriss Klubov</v>
      </c>
      <c r="O13" s="900">
        <v>13</v>
      </c>
      <c r="P13" s="901" t="s">
        <v>450</v>
      </c>
      <c r="Q13" s="902">
        <v>8</v>
      </c>
      <c r="R13" s="903" t="str">
        <f>B15</f>
        <v>Illar Tõnurist, Jaan Saar</v>
      </c>
      <c r="S13" s="900">
        <v>5</v>
      </c>
      <c r="T13" s="901" t="s">
        <v>450</v>
      </c>
      <c r="U13" s="902">
        <v>13</v>
      </c>
      <c r="V13" s="903" t="str">
        <f>B8</f>
        <v>Jaan Sepp, Oskar Sepp</v>
      </c>
      <c r="W13" s="900"/>
      <c r="X13" s="901" t="s">
        <v>450</v>
      </c>
      <c r="Y13" s="902"/>
      <c r="Z13" s="903"/>
      <c r="AA13" s="910">
        <f t="shared" si="0"/>
        <v>3</v>
      </c>
      <c r="AB13" s="905"/>
      <c r="AC13" s="900">
        <f t="shared" si="1"/>
        <v>47</v>
      </c>
      <c r="AD13" s="901" t="s">
        <v>450</v>
      </c>
      <c r="AE13" s="906">
        <f t="shared" si="2"/>
        <v>45</v>
      </c>
      <c r="AF13" s="908">
        <f t="shared" si="3"/>
        <v>2</v>
      </c>
      <c r="AH13" s="764">
        <f t="shared" si="4"/>
        <v>142</v>
      </c>
      <c r="AI13" s="784">
        <f>IFERROR(INDEX(V!$R:$R,MATCH(AJ13,V!$L:$L,0)),"")</f>
        <v>125</v>
      </c>
      <c r="AJ13" s="783" t="str">
        <f t="shared" si="5"/>
        <v>Meelis Luud</v>
      </c>
      <c r="AK13" s="784">
        <f>IFERROR(INDEX(V!$R:$R,MATCH(AL13,V!$L:$L,0)),"")</f>
        <v>17</v>
      </c>
      <c r="AL13" s="783" t="str">
        <f t="shared" si="6"/>
        <v>Urmas Randlaine</v>
      </c>
      <c r="AM13" s="784" t="str">
        <f>IFERROR(INDEX(V!$R:$R,MATCH(AN13,V!$L:$L,0)),"")</f>
        <v/>
      </c>
      <c r="AN13" s="785" t="str">
        <f t="shared" si="7"/>
        <v/>
      </c>
      <c r="AO13" s="784" t="str">
        <f>IFERROR(INDEX(V!$R:$R,MATCH(AP13,V!$L:$L,0)),"")</f>
        <v/>
      </c>
      <c r="AP13" s="785" t="str">
        <f t="shared" si="8"/>
        <v/>
      </c>
      <c r="AQ13" s="760"/>
      <c r="AR13" s="760"/>
      <c r="AS13" s="760"/>
    </row>
    <row r="14" spans="1:45" x14ac:dyDescent="0.2">
      <c r="A14" s="897">
        <v>7</v>
      </c>
      <c r="B14" s="909" t="s">
        <v>370</v>
      </c>
      <c r="C14" s="900">
        <v>13</v>
      </c>
      <c r="D14" s="901" t="s">
        <v>450</v>
      </c>
      <c r="E14" s="902">
        <v>7</v>
      </c>
      <c r="F14" s="903" t="str">
        <f>B11</f>
        <v>Andrei Grintšak, Boriss Klubov</v>
      </c>
      <c r="G14" s="900">
        <v>13</v>
      </c>
      <c r="H14" s="901" t="s">
        <v>450</v>
      </c>
      <c r="I14" s="902">
        <v>3</v>
      </c>
      <c r="J14" s="903" t="str">
        <f>B15</f>
        <v>Illar Tõnurist, Jaan Saar</v>
      </c>
      <c r="K14" s="900">
        <v>4</v>
      </c>
      <c r="L14" s="901" t="s">
        <v>450</v>
      </c>
      <c r="M14" s="902">
        <v>13</v>
      </c>
      <c r="N14" s="903" t="str">
        <f>B8</f>
        <v>Jaan Sepp, Oskar Sepp</v>
      </c>
      <c r="O14" s="900">
        <v>10</v>
      </c>
      <c r="P14" s="901" t="s">
        <v>450</v>
      </c>
      <c r="Q14" s="902">
        <v>13</v>
      </c>
      <c r="R14" s="903" t="str">
        <f>B10</f>
        <v>Ivar Viljaste, Kristo Viljaste</v>
      </c>
      <c r="S14" s="900">
        <v>4</v>
      </c>
      <c r="T14" s="901" t="s">
        <v>450</v>
      </c>
      <c r="U14" s="902">
        <v>13</v>
      </c>
      <c r="V14" s="903" t="str">
        <f>B12</f>
        <v>Karla Purgats, Kenneth Muusikus</v>
      </c>
      <c r="W14" s="900"/>
      <c r="X14" s="901" t="s">
        <v>450</v>
      </c>
      <c r="Y14" s="902"/>
      <c r="Z14" s="903"/>
      <c r="AA14" s="904">
        <f t="shared" si="0"/>
        <v>2</v>
      </c>
      <c r="AB14" s="905"/>
      <c r="AC14" s="900">
        <f t="shared" si="1"/>
        <v>44</v>
      </c>
      <c r="AD14" s="901" t="s">
        <v>450</v>
      </c>
      <c r="AE14" s="906">
        <f t="shared" si="2"/>
        <v>49</v>
      </c>
      <c r="AF14" s="908">
        <f t="shared" si="3"/>
        <v>-5</v>
      </c>
      <c r="AH14" s="764">
        <f t="shared" si="4"/>
        <v>240</v>
      </c>
      <c r="AI14" s="784">
        <f>IFERROR(INDEX(V!$R:$R,MATCH(AJ14,V!$L:$L,0)),"")</f>
        <v>117</v>
      </c>
      <c r="AJ14" s="783" t="str">
        <f t="shared" si="5"/>
        <v>Elmo Lageda</v>
      </c>
      <c r="AK14" s="784">
        <f>IFERROR(INDEX(V!$R:$R,MATCH(AL14,V!$L:$L,0)),"")</f>
        <v>123</v>
      </c>
      <c r="AL14" s="783" t="str">
        <f t="shared" si="6"/>
        <v>Tõnu Piik</v>
      </c>
      <c r="AM14" s="784" t="str">
        <f>IFERROR(INDEX(V!$R:$R,MATCH(AN14,V!$L:$L,0)),"")</f>
        <v/>
      </c>
      <c r="AN14" s="785" t="str">
        <f t="shared" si="7"/>
        <v/>
      </c>
      <c r="AO14" s="784" t="str">
        <f>IFERROR(INDEX(V!$R:$R,MATCH(AP14,V!$L:$L,0)),"")</f>
        <v/>
      </c>
      <c r="AP14" s="785" t="str">
        <f t="shared" si="8"/>
        <v/>
      </c>
      <c r="AQ14" s="760"/>
      <c r="AR14" s="760"/>
      <c r="AS14" s="760"/>
    </row>
    <row r="15" spans="1:45" x14ac:dyDescent="0.2">
      <c r="A15" s="897">
        <v>8</v>
      </c>
      <c r="B15" s="909" t="s">
        <v>404</v>
      </c>
      <c r="C15" s="900">
        <v>13</v>
      </c>
      <c r="D15" s="901" t="s">
        <v>450</v>
      </c>
      <c r="E15" s="902">
        <v>7</v>
      </c>
      <c r="F15" s="903" t="str">
        <f>B17</f>
        <v>Enn Tokman, Tarmo Bombe</v>
      </c>
      <c r="G15" s="900">
        <v>3</v>
      </c>
      <c r="H15" s="901" t="s">
        <v>450</v>
      </c>
      <c r="I15" s="902">
        <v>13</v>
      </c>
      <c r="J15" s="903" t="str">
        <f>B14</f>
        <v>Elmo Lageda, Tõnu Piik</v>
      </c>
      <c r="K15" s="900">
        <v>13</v>
      </c>
      <c r="L15" s="901" t="s">
        <v>450</v>
      </c>
      <c r="M15" s="902">
        <v>10</v>
      </c>
      <c r="N15" s="903" t="str">
        <f>B18</f>
        <v>Ljudmila Varendi, Viktor Švarõgin</v>
      </c>
      <c r="O15" s="900">
        <v>8</v>
      </c>
      <c r="P15" s="901" t="s">
        <v>450</v>
      </c>
      <c r="Q15" s="902">
        <v>13</v>
      </c>
      <c r="R15" s="903" t="str">
        <f>B13</f>
        <v>Meelis Luud, Urmas Randlaine</v>
      </c>
      <c r="S15" s="900">
        <v>3</v>
      </c>
      <c r="T15" s="901" t="s">
        <v>450</v>
      </c>
      <c r="U15" s="902">
        <v>13</v>
      </c>
      <c r="V15" s="903" t="str">
        <f>B9</f>
        <v>Aigi Orro, Johannes Neiland</v>
      </c>
      <c r="W15" s="900"/>
      <c r="X15" s="901" t="s">
        <v>450</v>
      </c>
      <c r="Y15" s="902"/>
      <c r="Z15" s="903"/>
      <c r="AA15" s="904">
        <f t="shared" si="0"/>
        <v>2</v>
      </c>
      <c r="AB15" s="905"/>
      <c r="AC15" s="900">
        <f t="shared" si="1"/>
        <v>40</v>
      </c>
      <c r="AD15" s="901" t="s">
        <v>450</v>
      </c>
      <c r="AE15" s="918">
        <f t="shared" si="2"/>
        <v>56</v>
      </c>
      <c r="AF15" s="908">
        <f t="shared" si="3"/>
        <v>-16</v>
      </c>
      <c r="AH15" s="764">
        <f t="shared" si="4"/>
        <v>190.5</v>
      </c>
      <c r="AI15" s="784">
        <f>IFERROR(INDEX(V!$R:$R,MATCH(AJ15,V!$L:$L,0)),"")</f>
        <v>98.5</v>
      </c>
      <c r="AJ15" s="783" t="str">
        <f t="shared" si="5"/>
        <v>Illar Tõnurist</v>
      </c>
      <c r="AK15" s="784">
        <f>IFERROR(INDEX(V!$R:$R,MATCH(AL15,V!$L:$L,0)),"")</f>
        <v>92</v>
      </c>
      <c r="AL15" s="783" t="str">
        <f t="shared" si="6"/>
        <v>Jaan Saar</v>
      </c>
      <c r="AM15" s="784" t="str">
        <f>IFERROR(INDEX(V!$R:$R,MATCH(AN15,V!$L:$L,0)),"")</f>
        <v/>
      </c>
      <c r="AN15" s="785" t="str">
        <f t="shared" si="7"/>
        <v/>
      </c>
      <c r="AO15" s="784" t="str">
        <f>IFERROR(INDEX(V!$R:$R,MATCH(AP15,V!$L:$L,0)),"")</f>
        <v/>
      </c>
      <c r="AP15" s="785" t="str">
        <f t="shared" si="8"/>
        <v/>
      </c>
      <c r="AQ15" s="760"/>
      <c r="AR15" s="760"/>
      <c r="AS15" s="760"/>
    </row>
    <row r="16" spans="1:45" x14ac:dyDescent="0.2">
      <c r="A16" s="897">
        <v>9</v>
      </c>
      <c r="B16" s="909" t="s">
        <v>459</v>
      </c>
      <c r="C16" s="900">
        <v>10</v>
      </c>
      <c r="D16" s="901" t="s">
        <v>450</v>
      </c>
      <c r="E16" s="902">
        <v>13</v>
      </c>
      <c r="F16" s="903" t="str">
        <f>B13</f>
        <v>Meelis Luud, Urmas Randlaine</v>
      </c>
      <c r="G16" s="900">
        <v>13</v>
      </c>
      <c r="H16" s="901" t="s">
        <v>450</v>
      </c>
      <c r="I16" s="902">
        <v>7</v>
      </c>
      <c r="J16" s="903" t="str">
        <f>B12</f>
        <v>Karla Purgats, Kenneth Muusikus</v>
      </c>
      <c r="K16" s="900">
        <v>10</v>
      </c>
      <c r="L16" s="901" t="s">
        <v>450</v>
      </c>
      <c r="M16" s="902">
        <v>13</v>
      </c>
      <c r="N16" s="903" t="str">
        <f>B10</f>
        <v>Ivar Viljaste, Kristo Viljaste</v>
      </c>
      <c r="O16" s="900">
        <v>11</v>
      </c>
      <c r="P16" s="901" t="s">
        <v>450</v>
      </c>
      <c r="Q16" s="902">
        <v>13</v>
      </c>
      <c r="R16" s="903" t="str">
        <f>B9</f>
        <v>Aigi Orro, Johannes Neiland</v>
      </c>
      <c r="S16" s="900">
        <v>13</v>
      </c>
      <c r="T16" s="901" t="s">
        <v>450</v>
      </c>
      <c r="U16" s="902">
        <v>10</v>
      </c>
      <c r="V16" s="903" t="str">
        <f>B19</f>
        <v>Klavdia Piik, Vladimir Ogneštšikov</v>
      </c>
      <c r="W16" s="900"/>
      <c r="X16" s="901" t="s">
        <v>450</v>
      </c>
      <c r="Y16" s="902"/>
      <c r="Z16" s="903"/>
      <c r="AA16" s="904">
        <f t="shared" si="0"/>
        <v>2</v>
      </c>
      <c r="AB16" s="905"/>
      <c r="AC16" s="900">
        <f t="shared" si="1"/>
        <v>57</v>
      </c>
      <c r="AD16" s="901" t="s">
        <v>450</v>
      </c>
      <c r="AE16" s="906">
        <f t="shared" si="2"/>
        <v>56</v>
      </c>
      <c r="AF16" s="908">
        <f t="shared" si="3"/>
        <v>1</v>
      </c>
      <c r="AH16" s="764">
        <f t="shared" si="4"/>
        <v>215.5</v>
      </c>
      <c r="AI16" s="784">
        <f>IFERROR(INDEX(V!$R:$R,MATCH(AJ16,V!$L:$L,0)),"")</f>
        <v>105.5</v>
      </c>
      <c r="AJ16" s="783" t="str">
        <f t="shared" si="5"/>
        <v>Mait Metsla</v>
      </c>
      <c r="AK16" s="784">
        <f>IFERROR(INDEX(V!$R:$R,MATCH(AL16,V!$L:$L,0)),"")</f>
        <v>110</v>
      </c>
      <c r="AL16" s="783" t="str">
        <f t="shared" si="6"/>
        <v>Matti Vinni</v>
      </c>
      <c r="AM16" s="784" t="str">
        <f>IFERROR(INDEX(V!$R:$R,MATCH(AN16,V!$L:$L,0)),"")</f>
        <v/>
      </c>
      <c r="AN16" s="785" t="str">
        <f t="shared" si="7"/>
        <v/>
      </c>
      <c r="AO16" s="784" t="str">
        <f>IFERROR(INDEX(V!$R:$R,MATCH(AP16,V!$L:$L,0)),"")</f>
        <v/>
      </c>
      <c r="AP16" s="785" t="str">
        <f t="shared" si="8"/>
        <v/>
      </c>
      <c r="AQ16" s="760"/>
      <c r="AR16" s="760"/>
      <c r="AS16" s="760"/>
    </row>
    <row r="17" spans="1:45" x14ac:dyDescent="0.2">
      <c r="A17" s="897">
        <v>10</v>
      </c>
      <c r="B17" s="909" t="s">
        <v>369</v>
      </c>
      <c r="C17" s="900">
        <v>7</v>
      </c>
      <c r="D17" s="901" t="s">
        <v>450</v>
      </c>
      <c r="E17" s="902">
        <v>13</v>
      </c>
      <c r="F17" s="903" t="str">
        <f>B15</f>
        <v>Illar Tõnurist, Jaan Saar</v>
      </c>
      <c r="G17" s="900">
        <v>2</v>
      </c>
      <c r="H17" s="901" t="s">
        <v>450</v>
      </c>
      <c r="I17" s="902">
        <v>13</v>
      </c>
      <c r="J17" s="903" t="str">
        <f>B11</f>
        <v>Andrei Grintšak, Boriss Klubov</v>
      </c>
      <c r="K17" s="900">
        <v>7</v>
      </c>
      <c r="L17" s="901" t="s">
        <v>450</v>
      </c>
      <c r="M17" s="902">
        <v>13</v>
      </c>
      <c r="N17" s="903" t="str">
        <f>B9</f>
        <v>Aigi Orro, Johannes Neiland</v>
      </c>
      <c r="O17" s="900">
        <v>13</v>
      </c>
      <c r="P17" s="901" t="s">
        <v>450</v>
      </c>
      <c r="Q17" s="902">
        <v>10</v>
      </c>
      <c r="R17" s="903" t="str">
        <f>B19</f>
        <v>Klavdia Piik, Vladimir Ogneštšikov</v>
      </c>
      <c r="S17" s="900">
        <v>13</v>
      </c>
      <c r="T17" s="901" t="s">
        <v>450</v>
      </c>
      <c r="U17" s="902">
        <v>7</v>
      </c>
      <c r="V17" s="903" t="str">
        <f>B18</f>
        <v>Ljudmila Varendi, Viktor Švarõgin</v>
      </c>
      <c r="W17" s="900"/>
      <c r="X17" s="901" t="s">
        <v>450</v>
      </c>
      <c r="Y17" s="902"/>
      <c r="Z17" s="903"/>
      <c r="AA17" s="904">
        <f t="shared" si="0"/>
        <v>2</v>
      </c>
      <c r="AB17" s="905"/>
      <c r="AC17" s="900">
        <f t="shared" si="1"/>
        <v>42</v>
      </c>
      <c r="AD17" s="901" t="s">
        <v>450</v>
      </c>
      <c r="AE17" s="906">
        <f t="shared" si="2"/>
        <v>56</v>
      </c>
      <c r="AF17" s="908">
        <f t="shared" si="3"/>
        <v>-14</v>
      </c>
      <c r="AH17" s="764">
        <f t="shared" si="4"/>
        <v>164</v>
      </c>
      <c r="AI17" s="784">
        <f>IFERROR(INDEX(V!$R:$R,MATCH(AJ17,V!$L:$L,0)),"")</f>
        <v>88</v>
      </c>
      <c r="AJ17" s="783" t="str">
        <f t="shared" si="5"/>
        <v>Enn Tokman</v>
      </c>
      <c r="AK17" s="784">
        <f>IFERROR(INDEX(V!$R:$R,MATCH(AL17,V!$L:$L,0)),"")</f>
        <v>76</v>
      </c>
      <c r="AL17" s="783" t="str">
        <f t="shared" si="6"/>
        <v>Tarmo Bombe</v>
      </c>
      <c r="AM17" s="784" t="str">
        <f>IFERROR(INDEX(V!$R:$R,MATCH(AN17,V!$L:$L,0)),"")</f>
        <v/>
      </c>
      <c r="AN17" s="785" t="str">
        <f t="shared" si="7"/>
        <v/>
      </c>
      <c r="AO17" s="784" t="str">
        <f>IFERROR(INDEX(V!$R:$R,MATCH(AP17,V!$L:$L,0)),"")</f>
        <v/>
      </c>
      <c r="AP17" s="785" t="str">
        <f t="shared" si="8"/>
        <v/>
      </c>
      <c r="AQ17" s="760"/>
      <c r="AR17" s="760"/>
      <c r="AS17" s="760"/>
    </row>
    <row r="18" spans="1:45" x14ac:dyDescent="0.2">
      <c r="A18" s="897">
        <v>11</v>
      </c>
      <c r="B18" s="909" t="s">
        <v>460</v>
      </c>
      <c r="C18" s="900">
        <v>3</v>
      </c>
      <c r="D18" s="901" t="s">
        <v>450</v>
      </c>
      <c r="E18" s="902">
        <v>13</v>
      </c>
      <c r="F18" s="903" t="str">
        <f>B8</f>
        <v>Jaan Sepp, Oskar Sepp</v>
      </c>
      <c r="G18" s="900">
        <v>13</v>
      </c>
      <c r="H18" s="901" t="s">
        <v>450</v>
      </c>
      <c r="I18" s="902">
        <v>1</v>
      </c>
      <c r="J18" s="903" t="str">
        <f>B19</f>
        <v>Klavdia Piik, Vladimir Ogneštšikov</v>
      </c>
      <c r="K18" s="900">
        <v>10</v>
      </c>
      <c r="L18" s="901" t="s">
        <v>450</v>
      </c>
      <c r="M18" s="902">
        <v>13</v>
      </c>
      <c r="N18" s="903" t="str">
        <f>B15</f>
        <v>Illar Tõnurist, Jaan Saar</v>
      </c>
      <c r="O18" s="900">
        <v>9</v>
      </c>
      <c r="P18" s="901" t="s">
        <v>450</v>
      </c>
      <c r="Q18" s="902">
        <v>13</v>
      </c>
      <c r="R18" s="903" t="str">
        <f>B12</f>
        <v>Karla Purgats, Kenneth Muusikus</v>
      </c>
      <c r="S18" s="900">
        <v>7</v>
      </c>
      <c r="T18" s="901" t="s">
        <v>450</v>
      </c>
      <c r="U18" s="902">
        <v>13</v>
      </c>
      <c r="V18" s="903" t="str">
        <f>B17</f>
        <v>Enn Tokman, Tarmo Bombe</v>
      </c>
      <c r="W18" s="900"/>
      <c r="X18" s="901" t="s">
        <v>450</v>
      </c>
      <c r="Y18" s="902"/>
      <c r="Z18" s="903"/>
      <c r="AA18" s="910">
        <f t="shared" si="0"/>
        <v>1</v>
      </c>
      <c r="AB18" s="905"/>
      <c r="AC18" s="900">
        <f t="shared" si="1"/>
        <v>42</v>
      </c>
      <c r="AD18" s="901" t="s">
        <v>450</v>
      </c>
      <c r="AE18" s="906">
        <f t="shared" si="2"/>
        <v>53</v>
      </c>
      <c r="AF18" s="908">
        <f t="shared" si="3"/>
        <v>-11</v>
      </c>
      <c r="AH18" s="764">
        <f t="shared" si="4"/>
        <v>93</v>
      </c>
      <c r="AI18" s="784">
        <f>IFERROR(INDEX(V!$R:$R,MATCH(AJ18,V!$L:$L,0)),"")</f>
        <v>46.5</v>
      </c>
      <c r="AJ18" s="783" t="str">
        <f t="shared" si="5"/>
        <v>Ljudmila Varendi</v>
      </c>
      <c r="AK18" s="784">
        <f>IFERROR(INDEX(V!$R:$R,MATCH(AL18,V!$L:$L,0)),"")</f>
        <v>46.5</v>
      </c>
      <c r="AL18" s="783" t="str">
        <f t="shared" si="6"/>
        <v>Viktor Švarõgin</v>
      </c>
      <c r="AM18" s="784" t="str">
        <f>IFERROR(INDEX(V!$R:$R,MATCH(AN18,V!$L:$L,0)),"")</f>
        <v/>
      </c>
      <c r="AN18" s="785" t="str">
        <f t="shared" si="7"/>
        <v/>
      </c>
      <c r="AO18" s="784" t="str">
        <f>IFERROR(INDEX(V!$R:$R,MATCH(AP18,V!$L:$L,0)),"")</f>
        <v/>
      </c>
      <c r="AP18" s="785" t="str">
        <f t="shared" si="8"/>
        <v/>
      </c>
      <c r="AQ18" s="760"/>
      <c r="AR18" s="760"/>
      <c r="AS18" s="760"/>
    </row>
    <row r="19" spans="1:45" x14ac:dyDescent="0.2">
      <c r="A19" s="897">
        <v>12</v>
      </c>
      <c r="B19" s="909" t="s">
        <v>461</v>
      </c>
      <c r="C19" s="900">
        <v>4</v>
      </c>
      <c r="D19" s="901" t="s">
        <v>450</v>
      </c>
      <c r="E19" s="902">
        <v>13</v>
      </c>
      <c r="F19" s="903" t="str">
        <f>B10</f>
        <v>Ivar Viljaste, Kristo Viljaste</v>
      </c>
      <c r="G19" s="900">
        <v>1</v>
      </c>
      <c r="H19" s="901" t="s">
        <v>450</v>
      </c>
      <c r="I19" s="902">
        <v>13</v>
      </c>
      <c r="J19" s="903" t="str">
        <f>B18</f>
        <v>Ljudmila Varendi, Viktor Švarõgin</v>
      </c>
      <c r="K19" s="900">
        <v>7</v>
      </c>
      <c r="L19" s="901" t="s">
        <v>450</v>
      </c>
      <c r="M19" s="902">
        <v>13</v>
      </c>
      <c r="N19" s="903" t="str">
        <f>B12</f>
        <v>Karla Purgats, Kenneth Muusikus</v>
      </c>
      <c r="O19" s="900">
        <v>10</v>
      </c>
      <c r="P19" s="901" t="s">
        <v>450</v>
      </c>
      <c r="Q19" s="902">
        <v>13</v>
      </c>
      <c r="R19" s="903" t="str">
        <f>B17</f>
        <v>Enn Tokman, Tarmo Bombe</v>
      </c>
      <c r="S19" s="900">
        <v>10</v>
      </c>
      <c r="T19" s="901" t="s">
        <v>450</v>
      </c>
      <c r="U19" s="902">
        <v>13</v>
      </c>
      <c r="V19" s="903" t="str">
        <f>B16</f>
        <v>Mait Metsla, Matti Vinni</v>
      </c>
      <c r="W19" s="900"/>
      <c r="X19" s="901" t="s">
        <v>450</v>
      </c>
      <c r="Y19" s="902"/>
      <c r="Z19" s="903"/>
      <c r="AA19" s="904">
        <f t="shared" si="0"/>
        <v>0</v>
      </c>
      <c r="AB19" s="905"/>
      <c r="AC19" s="900">
        <f t="shared" si="1"/>
        <v>32</v>
      </c>
      <c r="AD19" s="901" t="s">
        <v>450</v>
      </c>
      <c r="AE19" s="918">
        <f t="shared" si="2"/>
        <v>65</v>
      </c>
      <c r="AF19" s="908">
        <f t="shared" si="3"/>
        <v>-33</v>
      </c>
      <c r="AH19" s="764">
        <f t="shared" si="4"/>
        <v>205</v>
      </c>
      <c r="AI19" s="784">
        <f>IFERROR(INDEX(V!$R:$R,MATCH(AJ19,V!$L:$L,0)),"")</f>
        <v>97.5</v>
      </c>
      <c r="AJ19" s="783" t="str">
        <f t="shared" si="5"/>
        <v>Klavdia Piik</v>
      </c>
      <c r="AK19" s="784">
        <f>IFERROR(INDEX(V!$R:$R,MATCH(AL19,V!$L:$L,0)),"")</f>
        <v>107.5</v>
      </c>
      <c r="AL19" s="783" t="str">
        <f t="shared" si="6"/>
        <v>Vladimir Ogneštšikov</v>
      </c>
      <c r="AM19" s="784" t="str">
        <f>IFERROR(INDEX(V!$R:$R,MATCH(AN19,V!$L:$L,0)),"")</f>
        <v/>
      </c>
      <c r="AN19" s="785" t="str">
        <f t="shared" si="7"/>
        <v/>
      </c>
      <c r="AO19" s="784" t="str">
        <f>IFERROR(INDEX(V!$R:$R,MATCH(AP19,V!$L:$L,0)),"")</f>
        <v/>
      </c>
      <c r="AP19" s="785" t="str">
        <f t="shared" si="8"/>
        <v/>
      </c>
      <c r="AQ19" s="760"/>
      <c r="AR19" s="760"/>
      <c r="AS19" s="760"/>
    </row>
    <row r="20" spans="1:45" hidden="1" x14ac:dyDescent="0.2">
      <c r="A20" s="760"/>
      <c r="B20" s="760"/>
      <c r="C20" s="760"/>
      <c r="D20" s="760"/>
      <c r="E20" s="760"/>
      <c r="F20" s="760"/>
      <c r="G20" s="760"/>
      <c r="H20" s="760"/>
      <c r="I20" s="760"/>
      <c r="J20" s="760"/>
      <c r="K20" s="760"/>
      <c r="L20" s="880"/>
      <c r="M20" s="880"/>
      <c r="N20" s="880"/>
      <c r="O20" s="760"/>
      <c r="P20" s="760"/>
      <c r="Q20" s="760"/>
      <c r="R20" s="760"/>
      <c r="S20" s="760"/>
      <c r="T20" s="880"/>
      <c r="U20" s="880"/>
      <c r="V20" s="880"/>
      <c r="W20" s="880"/>
      <c r="X20" s="760"/>
      <c r="Y20" s="760"/>
      <c r="Z20" s="760"/>
      <c r="AA20" s="760"/>
      <c r="AB20" s="760"/>
      <c r="AC20" s="760"/>
      <c r="AD20" s="760"/>
      <c r="AE20" s="760"/>
      <c r="AF20" s="760"/>
      <c r="AG20" s="154"/>
      <c r="AH20" s="764">
        <f t="shared" si="4"/>
        <v>0</v>
      </c>
      <c r="AI20" s="784" t="str">
        <f>IFERROR(INDEX(V!$R:$R,MATCH(AJ20,V!$L:$L,0)),"")</f>
        <v/>
      </c>
      <c r="AJ20" s="783" t="str">
        <f t="shared" si="5"/>
        <v/>
      </c>
      <c r="AK20" s="784" t="str">
        <f>IFERROR(INDEX(V!$R:$R,MATCH(AL20,V!$L:$L,0)),"")</f>
        <v/>
      </c>
      <c r="AL20" s="783" t="str">
        <f t="shared" si="6"/>
        <v/>
      </c>
      <c r="AM20" s="784" t="str">
        <f>IFERROR(INDEX(V!$R:$R,MATCH(AN20,V!$L:$L,0)),"")</f>
        <v/>
      </c>
      <c r="AN20" s="785" t="str">
        <f t="shared" si="7"/>
        <v/>
      </c>
      <c r="AO20" s="784" t="str">
        <f>IFERROR(INDEX(V!$R:$R,MATCH(AP20,V!$L:$L,0)),"")</f>
        <v/>
      </c>
      <c r="AP20" s="785" t="str">
        <f t="shared" si="8"/>
        <v/>
      </c>
      <c r="AQ20" s="760"/>
      <c r="AR20" s="760"/>
      <c r="AS20" s="760"/>
    </row>
    <row r="21" spans="1:45" hidden="1" x14ac:dyDescent="0.2">
      <c r="A21" s="760"/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911"/>
      <c r="X21" s="760"/>
      <c r="Y21" s="760"/>
      <c r="Z21" s="760"/>
      <c r="AA21" s="760"/>
      <c r="AB21" s="760"/>
      <c r="AC21" s="760"/>
      <c r="AD21" s="760"/>
      <c r="AE21" s="760"/>
      <c r="AF21" s="760"/>
      <c r="AG21" s="154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  <c r="AR21" s="760"/>
      <c r="AS21" s="760"/>
    </row>
    <row r="22" spans="1:45" hidden="1" x14ac:dyDescent="0.2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911"/>
      <c r="X22" s="760"/>
      <c r="Y22" s="760"/>
      <c r="Z22" s="760"/>
      <c r="AA22" s="760"/>
      <c r="AB22" s="760"/>
      <c r="AC22" s="760"/>
      <c r="AD22" s="760"/>
      <c r="AE22" s="760"/>
      <c r="AF22" s="760"/>
      <c r="AG22" s="154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  <c r="AR22" s="760"/>
      <c r="AS22" s="760"/>
    </row>
    <row r="23" spans="1:45" hidden="1" x14ac:dyDescent="0.2">
      <c r="A23" s="760"/>
      <c r="B23" s="760"/>
      <c r="C23" s="760"/>
      <c r="D23" s="760"/>
      <c r="E23" s="760"/>
      <c r="F23" s="760"/>
      <c r="G23" s="760"/>
      <c r="H23" s="760"/>
      <c r="I23" s="760"/>
      <c r="J23" s="760"/>
      <c r="K23" s="88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911"/>
      <c r="X23" s="760"/>
      <c r="Y23" s="760"/>
      <c r="Z23" s="760"/>
      <c r="AA23" s="760"/>
      <c r="AB23" s="760"/>
      <c r="AC23" s="760"/>
      <c r="AD23" s="760"/>
      <c r="AE23" s="760"/>
      <c r="AF23" s="760"/>
      <c r="AG23" s="154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  <c r="AR23" s="760"/>
      <c r="AS23" s="760"/>
    </row>
    <row r="24" spans="1:45" hidden="1" x14ac:dyDescent="0.2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88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911"/>
      <c r="X24" s="760"/>
      <c r="Y24" s="760"/>
      <c r="Z24" s="760"/>
      <c r="AA24" s="760"/>
      <c r="AB24" s="760"/>
      <c r="AC24" s="760"/>
      <c r="AD24" s="760"/>
      <c r="AE24" s="760"/>
      <c r="AF24" s="760"/>
      <c r="AG24" s="154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</row>
    <row r="25" spans="1:45" hidden="1" x14ac:dyDescent="0.2">
      <c r="A25" s="760"/>
      <c r="B25" s="760"/>
      <c r="C25" s="760"/>
      <c r="D25" s="760"/>
      <c r="E25" s="760"/>
      <c r="F25" s="760"/>
      <c r="G25" s="760"/>
      <c r="H25" s="760"/>
      <c r="I25" s="760"/>
      <c r="J25" s="760"/>
      <c r="K25" s="88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911"/>
      <c r="X25" s="760"/>
      <c r="Y25" s="760"/>
      <c r="Z25" s="760"/>
      <c r="AA25" s="760"/>
      <c r="AB25" s="760"/>
      <c r="AC25" s="760"/>
      <c r="AD25" s="760"/>
      <c r="AE25" s="760"/>
      <c r="AF25" s="760"/>
      <c r="AG25" s="154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  <c r="AR25" s="760"/>
      <c r="AS25" s="760"/>
    </row>
    <row r="26" spans="1:45" hidden="1" x14ac:dyDescent="0.2">
      <c r="A26" s="760"/>
      <c r="B26" s="760"/>
      <c r="C26" s="760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911"/>
      <c r="X26" s="760"/>
      <c r="Y26" s="760"/>
      <c r="Z26" s="760"/>
      <c r="AA26" s="760"/>
      <c r="AB26" s="760"/>
      <c r="AC26" s="760"/>
      <c r="AD26" s="760"/>
      <c r="AE26" s="760"/>
      <c r="AF26" s="760"/>
      <c r="AG26" s="154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  <c r="AS26" s="760"/>
    </row>
    <row r="27" spans="1:45" hidden="1" x14ac:dyDescent="0.2">
      <c r="A27" s="760"/>
      <c r="B27" s="760"/>
      <c r="C27" s="760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911"/>
      <c r="X27" s="760"/>
      <c r="Y27" s="760"/>
      <c r="Z27" s="760"/>
      <c r="AA27" s="760"/>
      <c r="AB27" s="760"/>
      <c r="AC27" s="760"/>
      <c r="AD27" s="760"/>
      <c r="AE27" s="760"/>
      <c r="AF27" s="760"/>
      <c r="AG27" s="154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  <c r="AS27" s="760"/>
    </row>
    <row r="28" spans="1:45" hidden="1" x14ac:dyDescent="0.2">
      <c r="A28" s="760"/>
      <c r="B28" s="760"/>
      <c r="C28" s="760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911"/>
      <c r="X28" s="760"/>
      <c r="Y28" s="760"/>
      <c r="Z28" s="760"/>
      <c r="AA28" s="760"/>
      <c r="AB28" s="760"/>
      <c r="AC28" s="760"/>
      <c r="AD28" s="760"/>
      <c r="AE28" s="760"/>
      <c r="AF28" s="760"/>
      <c r="AG28" s="154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  <c r="AR28" s="760"/>
      <c r="AS28" s="760"/>
    </row>
    <row r="29" spans="1:45" hidden="1" x14ac:dyDescent="0.2">
      <c r="A29" s="760"/>
      <c r="B29" s="760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911"/>
      <c r="X29" s="760"/>
      <c r="Y29" s="760"/>
      <c r="Z29" s="760"/>
      <c r="AA29" s="760"/>
      <c r="AB29" s="760"/>
      <c r="AC29" s="760"/>
      <c r="AD29" s="760"/>
      <c r="AE29" s="760"/>
      <c r="AF29" s="760"/>
      <c r="AG29" s="154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  <c r="AS29" s="760"/>
    </row>
    <row r="30" spans="1:45" hidden="1" x14ac:dyDescent="0.2">
      <c r="A30" s="760"/>
      <c r="B30" s="760"/>
      <c r="C30" s="760"/>
      <c r="D30" s="760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911"/>
      <c r="X30" s="760"/>
      <c r="Y30" s="760"/>
      <c r="Z30" s="760"/>
      <c r="AA30" s="760"/>
      <c r="AB30" s="760"/>
      <c r="AC30" s="760"/>
      <c r="AD30" s="760"/>
      <c r="AE30" s="760"/>
      <c r="AF30" s="760"/>
      <c r="AG30" s="154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  <c r="AS30" s="760"/>
    </row>
    <row r="31" spans="1:45" hidden="1" x14ac:dyDescent="0.2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911"/>
      <c r="X31" s="760"/>
      <c r="Y31" s="760"/>
      <c r="Z31" s="760"/>
      <c r="AA31" s="760"/>
      <c r="AB31" s="760"/>
      <c r="AC31" s="760"/>
      <c r="AD31" s="760"/>
      <c r="AE31" s="760"/>
      <c r="AF31" s="760"/>
      <c r="AG31" s="154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  <c r="AR31" s="760"/>
      <c r="AS31" s="760"/>
    </row>
    <row r="32" spans="1:45" hidden="1" x14ac:dyDescent="0.2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911"/>
      <c r="X32" s="760"/>
      <c r="Y32" s="760"/>
      <c r="Z32" s="760"/>
      <c r="AA32" s="760"/>
      <c r="AB32" s="760"/>
      <c r="AC32" s="760"/>
      <c r="AD32" s="760"/>
      <c r="AE32" s="760"/>
      <c r="AF32" s="760"/>
      <c r="AG32" s="154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  <c r="AR32" s="760"/>
      <c r="AS32" s="760"/>
    </row>
    <row r="33" spans="1:45" hidden="1" x14ac:dyDescent="0.2">
      <c r="A33" s="760"/>
      <c r="B33" s="760"/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911"/>
      <c r="X33" s="760"/>
      <c r="Y33" s="760"/>
      <c r="Z33" s="760"/>
      <c r="AA33" s="760"/>
      <c r="AB33" s="760"/>
      <c r="AC33" s="760"/>
      <c r="AD33" s="760"/>
      <c r="AE33" s="760"/>
      <c r="AF33" s="760"/>
      <c r="AG33" s="154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</row>
    <row r="34" spans="1:45" hidden="1" x14ac:dyDescent="0.2">
      <c r="A34" s="760"/>
      <c r="B34" s="760"/>
      <c r="C34" s="760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911"/>
      <c r="X34" s="760"/>
      <c r="Y34" s="760"/>
      <c r="Z34" s="760"/>
      <c r="AA34" s="760"/>
      <c r="AB34" s="760"/>
      <c r="AC34" s="760"/>
      <c r="AD34" s="760"/>
      <c r="AE34" s="760"/>
      <c r="AF34" s="760"/>
      <c r="AG34" s="154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  <c r="AR34" s="760"/>
      <c r="AS34" s="760"/>
    </row>
    <row r="35" spans="1:45" hidden="1" x14ac:dyDescent="0.2">
      <c r="A35" s="760"/>
      <c r="B35" s="760"/>
      <c r="C35" s="760"/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911"/>
      <c r="X35" s="760"/>
      <c r="Y35" s="760"/>
      <c r="Z35" s="760"/>
      <c r="AA35" s="760"/>
      <c r="AB35" s="760"/>
      <c r="AC35" s="760"/>
      <c r="AD35" s="760"/>
      <c r="AE35" s="760"/>
      <c r="AF35" s="760"/>
      <c r="AG35" s="154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</row>
    <row r="36" spans="1:45" hidden="1" x14ac:dyDescent="0.2">
      <c r="A36" s="760"/>
      <c r="B36" s="760"/>
      <c r="C36" s="760"/>
      <c r="D36" s="760"/>
      <c r="E36" s="760"/>
      <c r="F36" s="760"/>
      <c r="G36" s="760"/>
      <c r="H36" s="760"/>
      <c r="I36" s="760"/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911"/>
      <c r="X36" s="760"/>
      <c r="Y36" s="760"/>
      <c r="Z36" s="760"/>
      <c r="AA36" s="760"/>
      <c r="AB36" s="760"/>
      <c r="AC36" s="760"/>
      <c r="AD36" s="760"/>
      <c r="AE36" s="760"/>
      <c r="AF36" s="760"/>
      <c r="AG36" s="154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  <c r="AR36" s="760"/>
      <c r="AS36" s="760"/>
    </row>
    <row r="37" spans="1:45" hidden="1" x14ac:dyDescent="0.2">
      <c r="A37" s="760"/>
      <c r="B37" s="76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911"/>
      <c r="X37" s="760"/>
      <c r="Y37" s="760"/>
      <c r="Z37" s="760"/>
      <c r="AA37" s="760"/>
      <c r="AB37" s="760"/>
      <c r="AC37" s="760"/>
      <c r="AD37" s="760"/>
      <c r="AE37" s="760"/>
      <c r="AF37" s="760"/>
      <c r="AG37" s="154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  <c r="AR37" s="760"/>
      <c r="AS37" s="760"/>
    </row>
    <row r="38" spans="1:45" hidden="1" x14ac:dyDescent="0.2">
      <c r="A38" s="760"/>
      <c r="B38" s="760"/>
      <c r="C38" s="760"/>
      <c r="D38" s="760"/>
      <c r="E38" s="760"/>
      <c r="F38" s="760"/>
      <c r="G38" s="760"/>
      <c r="H38" s="760"/>
      <c r="I38" s="760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911"/>
      <c r="X38" s="760"/>
      <c r="Y38" s="760"/>
      <c r="Z38" s="760"/>
      <c r="AA38" s="760"/>
      <c r="AB38" s="760"/>
      <c r="AC38" s="760"/>
      <c r="AD38" s="760"/>
      <c r="AE38" s="760"/>
      <c r="AF38" s="760"/>
      <c r="AG38" s="154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  <c r="AS38" s="760"/>
    </row>
    <row r="39" spans="1:45" hidden="1" x14ac:dyDescent="0.2">
      <c r="A39" s="760"/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911"/>
      <c r="X39" s="760"/>
      <c r="Y39" s="760"/>
      <c r="Z39" s="760"/>
      <c r="AA39" s="760"/>
      <c r="AB39" s="760"/>
      <c r="AC39" s="760"/>
      <c r="AD39" s="760"/>
      <c r="AE39" s="760"/>
      <c r="AF39" s="760"/>
      <c r="AG39" s="154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  <c r="AS39" s="760"/>
    </row>
    <row r="40" spans="1:45" hidden="1" x14ac:dyDescent="0.2">
      <c r="A40" s="760"/>
      <c r="B40" s="760"/>
      <c r="C40" s="760"/>
      <c r="D40" s="760"/>
      <c r="E40" s="760"/>
      <c r="F40" s="760"/>
      <c r="G40" s="760"/>
      <c r="H40" s="760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911"/>
      <c r="X40" s="760"/>
      <c r="Y40" s="760"/>
      <c r="Z40" s="760"/>
      <c r="AA40" s="760"/>
      <c r="AB40" s="760"/>
      <c r="AC40" s="760"/>
      <c r="AD40" s="760"/>
      <c r="AE40" s="760"/>
      <c r="AF40" s="760"/>
      <c r="AG40" s="154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  <c r="AR40" s="760"/>
      <c r="AS40" s="760"/>
    </row>
    <row r="41" spans="1:45" hidden="1" x14ac:dyDescent="0.2">
      <c r="A41" s="760"/>
      <c r="B41" s="760"/>
      <c r="C41" s="760"/>
      <c r="D41" s="760"/>
      <c r="E41" s="760"/>
      <c r="F41" s="760"/>
      <c r="G41" s="760"/>
      <c r="H41" s="760"/>
      <c r="I41" s="760"/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911"/>
      <c r="X41" s="760"/>
      <c r="Y41" s="760"/>
      <c r="Z41" s="760"/>
      <c r="AA41" s="760"/>
      <c r="AB41" s="760"/>
      <c r="AC41" s="760"/>
      <c r="AD41" s="760"/>
      <c r="AE41" s="760"/>
      <c r="AF41" s="760"/>
      <c r="AG41" s="154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  <c r="AS41" s="760"/>
    </row>
    <row r="42" spans="1:45" hidden="1" x14ac:dyDescent="0.2">
      <c r="A42" s="760"/>
      <c r="B42" s="760"/>
      <c r="C42" s="760"/>
      <c r="D42" s="760"/>
      <c r="E42" s="760"/>
      <c r="F42" s="760"/>
      <c r="G42" s="760"/>
      <c r="H42" s="760"/>
      <c r="I42" s="760"/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911"/>
      <c r="X42" s="760"/>
      <c r="Y42" s="760"/>
      <c r="Z42" s="760"/>
      <c r="AA42" s="760"/>
      <c r="AB42" s="760"/>
      <c r="AC42" s="760"/>
      <c r="AD42" s="760"/>
      <c r="AE42" s="760"/>
      <c r="AF42" s="760"/>
      <c r="AG42" s="154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  <c r="AR42" s="760"/>
      <c r="AS42" s="760"/>
    </row>
    <row r="43" spans="1:45" hidden="1" x14ac:dyDescent="0.2">
      <c r="A43" s="760"/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911"/>
      <c r="X43" s="760"/>
      <c r="Y43" s="760"/>
      <c r="Z43" s="760"/>
      <c r="AA43" s="760"/>
      <c r="AB43" s="760"/>
      <c r="AC43" s="760"/>
      <c r="AD43" s="760"/>
      <c r="AE43" s="760"/>
      <c r="AF43" s="760"/>
      <c r="AG43" s="154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  <c r="AR43" s="760"/>
      <c r="AS43" s="760"/>
    </row>
    <row r="44" spans="1:45" hidden="1" x14ac:dyDescent="0.2">
      <c r="A44" s="760"/>
      <c r="B44" s="760"/>
      <c r="C44" s="760"/>
      <c r="D44" s="760"/>
      <c r="E44" s="760"/>
      <c r="F44" s="760"/>
      <c r="G44" s="760"/>
      <c r="H44" s="760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911"/>
      <c r="X44" s="760"/>
      <c r="Y44" s="760"/>
      <c r="Z44" s="760"/>
      <c r="AA44" s="760"/>
      <c r="AB44" s="760"/>
      <c r="AC44" s="760"/>
      <c r="AD44" s="760"/>
      <c r="AE44" s="760"/>
      <c r="AF44" s="760"/>
      <c r="AG44" s="154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</row>
    <row r="45" spans="1:45" hidden="1" x14ac:dyDescent="0.2">
      <c r="A45" s="760"/>
      <c r="B45" s="760"/>
      <c r="C45" s="760"/>
      <c r="D45" s="760"/>
      <c r="E45" s="760"/>
      <c r="F45" s="760"/>
      <c r="G45" s="760"/>
      <c r="H45" s="760"/>
      <c r="I45" s="760"/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911"/>
      <c r="X45" s="760"/>
      <c r="Y45" s="760"/>
      <c r="Z45" s="760"/>
      <c r="AA45" s="760"/>
      <c r="AB45" s="760"/>
      <c r="AC45" s="760"/>
      <c r="AD45" s="760"/>
      <c r="AE45" s="760"/>
      <c r="AF45" s="760"/>
      <c r="AG45" s="154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  <c r="AR45" s="760"/>
      <c r="AS45" s="760"/>
    </row>
    <row r="46" spans="1:45" hidden="1" x14ac:dyDescent="0.2">
      <c r="A46" s="760"/>
      <c r="B46" s="760"/>
      <c r="C46" s="760"/>
      <c r="D46" s="760"/>
      <c r="E46" s="760"/>
      <c r="F46" s="760"/>
      <c r="G46" s="760"/>
      <c r="H46" s="760"/>
      <c r="I46" s="760"/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911"/>
      <c r="X46" s="760"/>
      <c r="Y46" s="760"/>
      <c r="Z46" s="760"/>
      <c r="AA46" s="760"/>
      <c r="AB46" s="760"/>
      <c r="AC46" s="760"/>
      <c r="AD46" s="760"/>
      <c r="AE46" s="760"/>
      <c r="AF46" s="760"/>
      <c r="AG46" s="154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  <c r="AS46" s="760"/>
    </row>
    <row r="47" spans="1:45" hidden="1" x14ac:dyDescent="0.2">
      <c r="A47" s="760"/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911"/>
      <c r="X47" s="760"/>
      <c r="Y47" s="760"/>
      <c r="Z47" s="760"/>
      <c r="AA47" s="760"/>
      <c r="AB47" s="760"/>
      <c r="AC47" s="760"/>
      <c r="AD47" s="760"/>
      <c r="AE47" s="760"/>
      <c r="AF47" s="760"/>
      <c r="AG47" s="154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  <c r="AS47" s="760"/>
    </row>
    <row r="48" spans="1:45" hidden="1" x14ac:dyDescent="0.2">
      <c r="A48" s="760"/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911"/>
      <c r="X48" s="760"/>
      <c r="Y48" s="760"/>
      <c r="Z48" s="760"/>
      <c r="AA48" s="760"/>
      <c r="AB48" s="760"/>
      <c r="AC48" s="760"/>
      <c r="AD48" s="760"/>
      <c r="AE48" s="760"/>
      <c r="AF48" s="760"/>
      <c r="AG48" s="154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  <c r="AS48" s="760"/>
    </row>
    <row r="49" spans="1:45" hidden="1" x14ac:dyDescent="0.2">
      <c r="A49" s="760"/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911"/>
      <c r="X49" s="760"/>
      <c r="Y49" s="760"/>
      <c r="Z49" s="760"/>
      <c r="AA49" s="760"/>
      <c r="AB49" s="760"/>
      <c r="AC49" s="760"/>
      <c r="AD49" s="760"/>
      <c r="AE49" s="760"/>
      <c r="AF49" s="760"/>
      <c r="AG49" s="154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</row>
    <row r="50" spans="1:45" hidden="1" x14ac:dyDescent="0.2">
      <c r="A50" s="760"/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911"/>
      <c r="X50" s="760"/>
      <c r="Y50" s="760"/>
      <c r="Z50" s="760"/>
      <c r="AA50" s="760"/>
      <c r="AB50" s="760"/>
      <c r="AC50" s="760"/>
      <c r="AD50" s="760"/>
      <c r="AE50" s="760"/>
      <c r="AF50" s="760"/>
      <c r="AG50" s="154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</row>
    <row r="51" spans="1:45" hidden="1" x14ac:dyDescent="0.2">
      <c r="A51" s="760"/>
      <c r="B51" s="760"/>
      <c r="C51" s="760"/>
      <c r="D51" s="760"/>
      <c r="E51" s="760"/>
      <c r="F51" s="760"/>
      <c r="G51" s="760"/>
      <c r="H51" s="760"/>
      <c r="I51" s="760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911"/>
      <c r="X51" s="760"/>
      <c r="Y51" s="760"/>
      <c r="Z51" s="760"/>
      <c r="AA51" s="760"/>
      <c r="AB51" s="760"/>
      <c r="AC51" s="760"/>
      <c r="AD51" s="760"/>
      <c r="AE51" s="760"/>
      <c r="AF51" s="760"/>
      <c r="AG51" s="154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  <c r="AR51" s="760"/>
      <c r="AS51" s="760"/>
    </row>
    <row r="52" spans="1:45" hidden="1" x14ac:dyDescent="0.2">
      <c r="A52" s="760"/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911"/>
      <c r="X52" s="760"/>
      <c r="Y52" s="760"/>
      <c r="Z52" s="760"/>
      <c r="AA52" s="760"/>
      <c r="AB52" s="760"/>
      <c r="AC52" s="760"/>
      <c r="AD52" s="760"/>
      <c r="AE52" s="760"/>
      <c r="AF52" s="760"/>
      <c r="AG52" s="154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  <c r="AS52" s="760"/>
    </row>
    <row r="53" spans="1:45" hidden="1" x14ac:dyDescent="0.2">
      <c r="A53" s="760"/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911"/>
      <c r="X53" s="760"/>
      <c r="Y53" s="760"/>
      <c r="Z53" s="760"/>
      <c r="AA53" s="760"/>
      <c r="AB53" s="760"/>
      <c r="AC53" s="760"/>
      <c r="AD53" s="760"/>
      <c r="AE53" s="760"/>
      <c r="AF53" s="760"/>
      <c r="AG53" s="154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</row>
    <row r="54" spans="1:45" hidden="1" x14ac:dyDescent="0.2">
      <c r="A54" s="760"/>
      <c r="B54" s="760"/>
      <c r="C54" s="760"/>
      <c r="D54" s="760"/>
      <c r="E54" s="760"/>
      <c r="F54" s="760"/>
      <c r="G54" s="760"/>
      <c r="H54" s="760"/>
      <c r="I54" s="760"/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911"/>
      <c r="X54" s="760"/>
      <c r="Y54" s="760"/>
      <c r="Z54" s="760"/>
      <c r="AA54" s="760"/>
      <c r="AB54" s="760"/>
      <c r="AC54" s="760"/>
      <c r="AD54" s="760"/>
      <c r="AE54" s="760"/>
      <c r="AF54" s="760"/>
      <c r="AG54" s="154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  <c r="AS54" s="760"/>
    </row>
    <row r="55" spans="1:45" hidden="1" x14ac:dyDescent="0.2">
      <c r="A55" s="760"/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911"/>
      <c r="X55" s="760"/>
      <c r="Y55" s="760"/>
      <c r="Z55" s="760"/>
      <c r="AA55" s="760"/>
      <c r="AB55" s="760"/>
      <c r="AC55" s="760"/>
      <c r="AD55" s="760"/>
      <c r="AE55" s="760"/>
      <c r="AF55" s="760"/>
      <c r="AG55" s="154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  <c r="AR55" s="760"/>
      <c r="AS55" s="760"/>
    </row>
    <row r="56" spans="1:45" hidden="1" x14ac:dyDescent="0.2">
      <c r="A56" s="760"/>
      <c r="B56" s="760"/>
      <c r="C56" s="760"/>
      <c r="D56" s="760"/>
      <c r="E56" s="760"/>
      <c r="F56" s="760"/>
      <c r="G56" s="760"/>
      <c r="H56" s="760"/>
      <c r="I56" s="760"/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911"/>
      <c r="X56" s="760"/>
      <c r="Y56" s="760"/>
      <c r="Z56" s="760"/>
      <c r="AA56" s="760"/>
      <c r="AB56" s="760"/>
      <c r="AC56" s="760"/>
      <c r="AD56" s="760"/>
      <c r="AE56" s="760"/>
      <c r="AF56" s="760"/>
      <c r="AG56" s="154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  <c r="AR56" s="760"/>
      <c r="AS56" s="760"/>
    </row>
    <row r="57" spans="1:45" hidden="1" x14ac:dyDescent="0.2">
      <c r="A57" s="760"/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911"/>
      <c r="X57" s="760"/>
      <c r="Y57" s="760"/>
      <c r="Z57" s="760"/>
      <c r="AA57" s="760"/>
      <c r="AB57" s="760"/>
      <c r="AC57" s="760"/>
      <c r="AD57" s="760"/>
      <c r="AE57" s="760"/>
      <c r="AF57" s="760"/>
      <c r="AG57" s="154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</row>
    <row r="58" spans="1:45" hidden="1" x14ac:dyDescent="0.2">
      <c r="A58" s="760"/>
      <c r="B58" s="760"/>
      <c r="C58" s="760"/>
      <c r="D58" s="760"/>
      <c r="E58" s="760"/>
      <c r="F58" s="760"/>
      <c r="G58" s="760"/>
      <c r="H58" s="760"/>
      <c r="I58" s="760"/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911"/>
      <c r="X58" s="760"/>
      <c r="Y58" s="760"/>
      <c r="Z58" s="760"/>
      <c r="AA58" s="760"/>
      <c r="AB58" s="760"/>
      <c r="AC58" s="760"/>
      <c r="AD58" s="760"/>
      <c r="AE58" s="760"/>
      <c r="AF58" s="760"/>
      <c r="AG58" s="154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  <c r="AR58" s="760"/>
      <c r="AS58" s="760"/>
    </row>
    <row r="59" spans="1:45" hidden="1" x14ac:dyDescent="0.2">
      <c r="A59" s="760"/>
      <c r="B59" s="760"/>
      <c r="C59" s="760"/>
      <c r="D59" s="760"/>
      <c r="E59" s="760"/>
      <c r="F59" s="760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911"/>
      <c r="X59" s="760"/>
      <c r="Y59" s="760"/>
      <c r="Z59" s="760"/>
      <c r="AA59" s="760"/>
      <c r="AB59" s="760"/>
      <c r="AC59" s="760"/>
      <c r="AD59" s="760"/>
      <c r="AE59" s="760"/>
      <c r="AF59" s="760"/>
      <c r="AG59" s="154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  <c r="AR59" s="760"/>
      <c r="AS59" s="760"/>
    </row>
    <row r="60" spans="1:45" hidden="1" x14ac:dyDescent="0.2">
      <c r="A60" s="760"/>
      <c r="B60" s="760"/>
      <c r="C60" s="760"/>
      <c r="D60" s="760"/>
      <c r="E60" s="760"/>
      <c r="F60" s="760"/>
      <c r="G60" s="760"/>
      <c r="H60" s="760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911"/>
      <c r="X60" s="760"/>
      <c r="Y60" s="760"/>
      <c r="Z60" s="760"/>
      <c r="AA60" s="760"/>
      <c r="AB60" s="760"/>
      <c r="AC60" s="760"/>
      <c r="AD60" s="760"/>
      <c r="AE60" s="760"/>
      <c r="AF60" s="760"/>
      <c r="AG60" s="154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</row>
    <row r="61" spans="1:45" hidden="1" x14ac:dyDescent="0.2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911"/>
      <c r="X61" s="760"/>
      <c r="Y61" s="760"/>
      <c r="Z61" s="760"/>
      <c r="AA61" s="760"/>
      <c r="AB61" s="760"/>
      <c r="AC61" s="760"/>
      <c r="AD61" s="760"/>
      <c r="AE61" s="760"/>
      <c r="AF61" s="760"/>
      <c r="AG61" s="154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  <c r="AR61" s="760"/>
      <c r="AS61" s="760"/>
    </row>
    <row r="62" spans="1:45" hidden="1" x14ac:dyDescent="0.2">
      <c r="A62" s="760"/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911"/>
      <c r="X62" s="760"/>
      <c r="Y62" s="760"/>
      <c r="Z62" s="760"/>
      <c r="AA62" s="760"/>
      <c r="AB62" s="760"/>
      <c r="AC62" s="760"/>
      <c r="AD62" s="760"/>
      <c r="AE62" s="760"/>
      <c r="AF62" s="760"/>
      <c r="AG62" s="154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  <c r="AS62" s="760"/>
    </row>
    <row r="63" spans="1:45" hidden="1" x14ac:dyDescent="0.2">
      <c r="A63" s="760"/>
      <c r="B63" s="760"/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911"/>
      <c r="X63" s="760"/>
      <c r="Y63" s="760"/>
      <c r="Z63" s="760"/>
      <c r="AA63" s="760"/>
      <c r="AB63" s="760"/>
      <c r="AC63" s="760"/>
      <c r="AD63" s="760"/>
      <c r="AE63" s="760"/>
      <c r="AF63" s="760"/>
      <c r="AG63" s="154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  <c r="AS63" s="760"/>
    </row>
    <row r="64" spans="1:45" hidden="1" x14ac:dyDescent="0.2">
      <c r="A64" s="760"/>
      <c r="B64" s="760"/>
      <c r="C64" s="760"/>
      <c r="D64" s="760"/>
      <c r="E64" s="760"/>
      <c r="F64" s="760"/>
      <c r="G64" s="760"/>
      <c r="H64" s="760"/>
      <c r="I64" s="760"/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911"/>
      <c r="X64" s="760"/>
      <c r="Y64" s="760"/>
      <c r="Z64" s="760"/>
      <c r="AA64" s="760"/>
      <c r="AB64" s="760"/>
      <c r="AC64" s="760"/>
      <c r="AD64" s="760"/>
      <c r="AE64" s="760"/>
      <c r="AF64" s="760"/>
      <c r="AG64" s="154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  <c r="AS64" s="760"/>
    </row>
    <row r="65" spans="1:45" hidden="1" x14ac:dyDescent="0.2">
      <c r="A65" s="760"/>
      <c r="B65" s="760"/>
      <c r="C65" s="760"/>
      <c r="D65" s="760"/>
      <c r="E65" s="760"/>
      <c r="F65" s="760"/>
      <c r="G65" s="760"/>
      <c r="H65" s="760"/>
      <c r="I65" s="760"/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911"/>
      <c r="X65" s="760"/>
      <c r="Y65" s="760"/>
      <c r="Z65" s="760"/>
      <c r="AA65" s="760"/>
      <c r="AB65" s="760"/>
      <c r="AC65" s="760"/>
      <c r="AD65" s="760"/>
      <c r="AE65" s="760"/>
      <c r="AF65" s="760"/>
      <c r="AG65" s="154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  <c r="AR65" s="760"/>
      <c r="AS65" s="760"/>
    </row>
    <row r="66" spans="1:45" hidden="1" x14ac:dyDescent="0.2">
      <c r="A66" s="760"/>
      <c r="B66" s="760"/>
      <c r="C66" s="760"/>
      <c r="D66" s="760"/>
      <c r="E66" s="760"/>
      <c r="F66" s="760"/>
      <c r="G66" s="760"/>
      <c r="H66" s="760"/>
      <c r="I66" s="760"/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911"/>
      <c r="X66" s="760"/>
      <c r="Y66" s="760"/>
      <c r="Z66" s="760"/>
      <c r="AA66" s="760"/>
      <c r="AB66" s="760"/>
      <c r="AC66" s="760"/>
      <c r="AD66" s="760"/>
      <c r="AE66" s="760"/>
      <c r="AF66" s="760"/>
      <c r="AG66" s="154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  <c r="AR66" s="760"/>
      <c r="AS66" s="760"/>
    </row>
    <row r="67" spans="1:45" hidden="1" x14ac:dyDescent="0.2">
      <c r="A67" s="760"/>
      <c r="B67" s="760"/>
      <c r="C67" s="760"/>
      <c r="D67" s="760"/>
      <c r="E67" s="760"/>
      <c r="F67" s="760"/>
      <c r="G67" s="760"/>
      <c r="H67" s="760"/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911"/>
      <c r="X67" s="760"/>
      <c r="Y67" s="760"/>
      <c r="Z67" s="760"/>
      <c r="AA67" s="760"/>
      <c r="AB67" s="760"/>
      <c r="AC67" s="760"/>
      <c r="AD67" s="760"/>
      <c r="AE67" s="760"/>
      <c r="AF67" s="760"/>
      <c r="AG67" s="154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  <c r="AR67" s="760"/>
      <c r="AS67" s="760"/>
    </row>
    <row r="68" spans="1:45" hidden="1" x14ac:dyDescent="0.2">
      <c r="A68" s="760"/>
      <c r="B68" s="760"/>
      <c r="C68" s="760"/>
      <c r="D68" s="760"/>
      <c r="E68" s="760"/>
      <c r="F68" s="760"/>
      <c r="G68" s="760"/>
      <c r="H68" s="7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911"/>
      <c r="X68" s="760"/>
      <c r="Y68" s="760"/>
      <c r="Z68" s="760"/>
      <c r="AA68" s="760"/>
      <c r="AB68" s="760"/>
      <c r="AC68" s="760"/>
      <c r="AD68" s="760"/>
      <c r="AE68" s="760"/>
      <c r="AF68" s="760"/>
      <c r="AG68" s="154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  <c r="AS68" s="760"/>
    </row>
    <row r="69" spans="1:45" hidden="1" x14ac:dyDescent="0.2">
      <c r="A69" s="760"/>
      <c r="B69" s="760"/>
      <c r="C69" s="760"/>
      <c r="D69" s="760"/>
      <c r="E69" s="760"/>
      <c r="F69" s="760"/>
      <c r="G69" s="760"/>
      <c r="H69" s="7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911"/>
      <c r="X69" s="760"/>
      <c r="Y69" s="760"/>
      <c r="Z69" s="760"/>
      <c r="AA69" s="760"/>
      <c r="AB69" s="760"/>
      <c r="AC69" s="760"/>
      <c r="AD69" s="760"/>
      <c r="AE69" s="760"/>
      <c r="AF69" s="760"/>
      <c r="AG69" s="154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  <c r="AR69" s="760"/>
      <c r="AS69" s="760"/>
    </row>
    <row r="70" spans="1:45" hidden="1" x14ac:dyDescent="0.2">
      <c r="A70" s="760"/>
      <c r="B70" s="760"/>
      <c r="C70" s="760"/>
      <c r="D70" s="760"/>
      <c r="E70" s="760"/>
      <c r="F70" s="760"/>
      <c r="G70" s="760"/>
      <c r="H70" s="7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911"/>
      <c r="X70" s="760"/>
      <c r="Y70" s="760"/>
      <c r="Z70" s="760"/>
      <c r="AA70" s="760"/>
      <c r="AB70" s="760"/>
      <c r="AC70" s="760"/>
      <c r="AD70" s="760"/>
      <c r="AE70" s="760"/>
      <c r="AF70" s="760"/>
      <c r="AG70" s="154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  <c r="AR70" s="760"/>
      <c r="AS70" s="760"/>
    </row>
    <row r="71" spans="1:45" hidden="1" x14ac:dyDescent="0.2">
      <c r="A71" s="760"/>
      <c r="B71" s="760"/>
      <c r="C71" s="760"/>
      <c r="D71" s="760"/>
      <c r="E71" s="760"/>
      <c r="F71" s="760"/>
      <c r="G71" s="760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911"/>
      <c r="X71" s="760"/>
      <c r="Y71" s="760"/>
      <c r="Z71" s="760"/>
      <c r="AA71" s="760"/>
      <c r="AB71" s="760"/>
      <c r="AC71" s="760"/>
      <c r="AD71" s="760"/>
      <c r="AE71" s="760"/>
      <c r="AF71" s="760"/>
      <c r="AG71" s="154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</row>
    <row r="72" spans="1:45" hidden="1" x14ac:dyDescent="0.2">
      <c r="A72" s="760"/>
      <c r="B72" s="760"/>
      <c r="C72" s="760"/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0"/>
      <c r="P72" s="760"/>
      <c r="Q72" s="760"/>
      <c r="R72" s="760"/>
      <c r="S72" s="760"/>
      <c r="T72" s="760"/>
      <c r="U72" s="760"/>
      <c r="V72" s="760"/>
      <c r="W72" s="911"/>
      <c r="X72" s="760"/>
      <c r="Y72" s="760"/>
      <c r="Z72" s="760"/>
      <c r="AA72" s="760"/>
      <c r="AB72" s="760"/>
      <c r="AC72" s="760"/>
      <c r="AD72" s="760"/>
      <c r="AE72" s="760"/>
      <c r="AF72" s="760"/>
      <c r="AG72" s="154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  <c r="AR72" s="760"/>
      <c r="AS72" s="760"/>
    </row>
    <row r="73" spans="1:45" hidden="1" x14ac:dyDescent="0.2">
      <c r="A73" s="760"/>
      <c r="B73" s="760"/>
      <c r="C73" s="760"/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0"/>
      <c r="P73" s="760"/>
      <c r="Q73" s="760"/>
      <c r="R73" s="760"/>
      <c r="S73" s="760"/>
      <c r="T73" s="760"/>
      <c r="U73" s="760"/>
      <c r="V73" s="760"/>
      <c r="W73" s="911"/>
      <c r="X73" s="760"/>
      <c r="Y73" s="760"/>
      <c r="Z73" s="760"/>
      <c r="AA73" s="760"/>
      <c r="AB73" s="760"/>
      <c r="AC73" s="760"/>
      <c r="AD73" s="760"/>
      <c r="AE73" s="760"/>
      <c r="AF73" s="760"/>
      <c r="AG73" s="154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  <c r="AR73" s="760"/>
      <c r="AS73" s="760"/>
    </row>
    <row r="74" spans="1:45" hidden="1" x14ac:dyDescent="0.2">
      <c r="A74" s="760"/>
      <c r="B74" s="760"/>
      <c r="C74" s="760"/>
      <c r="D74" s="760"/>
      <c r="E74" s="760"/>
      <c r="F74" s="760"/>
      <c r="G74" s="760"/>
      <c r="H74" s="760"/>
      <c r="I74" s="760"/>
      <c r="J74" s="760"/>
      <c r="K74" s="760"/>
      <c r="L74" s="760"/>
      <c r="M74" s="760"/>
      <c r="N74" s="760"/>
      <c r="O74" s="760"/>
      <c r="P74" s="760"/>
      <c r="Q74" s="760"/>
      <c r="R74" s="760"/>
      <c r="S74" s="760"/>
      <c r="T74" s="760"/>
      <c r="U74" s="760"/>
      <c r="V74" s="760"/>
      <c r="W74" s="911"/>
      <c r="X74" s="760"/>
      <c r="Y74" s="760"/>
      <c r="Z74" s="760"/>
      <c r="AA74" s="760"/>
      <c r="AB74" s="760"/>
      <c r="AC74" s="760"/>
      <c r="AD74" s="760"/>
      <c r="AE74" s="760"/>
      <c r="AF74" s="760"/>
      <c r="AG74" s="154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  <c r="AR74" s="760"/>
      <c r="AS74" s="760"/>
    </row>
    <row r="75" spans="1:45" hidden="1" x14ac:dyDescent="0.2">
      <c r="A75" s="760"/>
      <c r="B75" s="760"/>
      <c r="C75" s="760"/>
      <c r="D75" s="760"/>
      <c r="E75" s="760"/>
      <c r="F75" s="760"/>
      <c r="G75" s="760"/>
      <c r="H75" s="760"/>
      <c r="I75" s="760"/>
      <c r="J75" s="760"/>
      <c r="K75" s="760"/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911"/>
      <c r="X75" s="760"/>
      <c r="Y75" s="760"/>
      <c r="Z75" s="760"/>
      <c r="AA75" s="760"/>
      <c r="AB75" s="760"/>
      <c r="AC75" s="760"/>
      <c r="AD75" s="760"/>
      <c r="AE75" s="760"/>
      <c r="AF75" s="760"/>
      <c r="AG75" s="154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  <c r="AR75" s="760"/>
      <c r="AS75" s="760"/>
    </row>
    <row r="76" spans="1:45" hidden="1" x14ac:dyDescent="0.2">
      <c r="A76" s="760"/>
      <c r="B76" s="760"/>
      <c r="C76" s="760"/>
      <c r="D76" s="760"/>
      <c r="E76" s="760"/>
      <c r="F76" s="760"/>
      <c r="G76" s="760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760"/>
      <c r="V76" s="760"/>
      <c r="W76" s="911"/>
      <c r="X76" s="760"/>
      <c r="Y76" s="760"/>
      <c r="Z76" s="760"/>
      <c r="AA76" s="760"/>
      <c r="AB76" s="760"/>
      <c r="AC76" s="760"/>
      <c r="AD76" s="760"/>
      <c r="AE76" s="760"/>
      <c r="AF76" s="760"/>
      <c r="AG76" s="154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  <c r="AR76" s="760"/>
      <c r="AS76" s="760"/>
    </row>
    <row r="77" spans="1:45" hidden="1" x14ac:dyDescent="0.2">
      <c r="A77" s="760"/>
      <c r="B77" s="760"/>
      <c r="C77" s="760"/>
      <c r="D77" s="760"/>
      <c r="E77" s="760"/>
      <c r="F77" s="760"/>
      <c r="G77" s="760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760"/>
      <c r="V77" s="760"/>
      <c r="W77" s="911"/>
      <c r="X77" s="760"/>
      <c r="Y77" s="760"/>
      <c r="Z77" s="760"/>
      <c r="AA77" s="760"/>
      <c r="AB77" s="760"/>
      <c r="AC77" s="760"/>
      <c r="AD77" s="760"/>
      <c r="AE77" s="760"/>
      <c r="AF77" s="760"/>
      <c r="AG77" s="154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  <c r="AR77" s="760"/>
      <c r="AS77" s="760"/>
    </row>
    <row r="78" spans="1:45" hidden="1" x14ac:dyDescent="0.2">
      <c r="A78" s="760"/>
      <c r="B78" s="760"/>
      <c r="C78" s="760"/>
      <c r="D78" s="760"/>
      <c r="E78" s="760"/>
      <c r="F78" s="760"/>
      <c r="G78" s="760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760"/>
      <c r="V78" s="760"/>
      <c r="W78" s="911"/>
      <c r="X78" s="760"/>
      <c r="Y78" s="760"/>
      <c r="Z78" s="760"/>
      <c r="AA78" s="760"/>
      <c r="AB78" s="760"/>
      <c r="AC78" s="760"/>
      <c r="AD78" s="760"/>
      <c r="AE78" s="760"/>
      <c r="AF78" s="760"/>
      <c r="AG78" s="154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  <c r="AR78" s="760"/>
      <c r="AS78" s="760"/>
    </row>
    <row r="79" spans="1:45" hidden="1" x14ac:dyDescent="0.2">
      <c r="A79" s="760"/>
      <c r="B79" s="760"/>
      <c r="C79" s="760"/>
      <c r="D79" s="760"/>
      <c r="E79" s="760"/>
      <c r="F79" s="760"/>
      <c r="G79" s="760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911"/>
      <c r="X79" s="760"/>
      <c r="Y79" s="760"/>
      <c r="Z79" s="760"/>
      <c r="AA79" s="760"/>
      <c r="AB79" s="760"/>
      <c r="AC79" s="760"/>
      <c r="AD79" s="760"/>
      <c r="AE79" s="760"/>
      <c r="AF79" s="760"/>
      <c r="AG79" s="154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  <c r="AR79" s="760"/>
      <c r="AS79" s="760"/>
    </row>
    <row r="80" spans="1:45" hidden="1" x14ac:dyDescent="0.2">
      <c r="A80" s="760"/>
      <c r="B80" s="760"/>
      <c r="C80" s="760"/>
      <c r="D80" s="760"/>
      <c r="E80" s="760"/>
      <c r="F80" s="760"/>
      <c r="G80" s="760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760"/>
      <c r="V80" s="760"/>
      <c r="W80" s="911"/>
      <c r="X80" s="760"/>
      <c r="Y80" s="760"/>
      <c r="Z80" s="760"/>
      <c r="AA80" s="760"/>
      <c r="AB80" s="760"/>
      <c r="AC80" s="760"/>
      <c r="AD80" s="760"/>
      <c r="AE80" s="760"/>
      <c r="AF80" s="760"/>
      <c r="AG80" s="154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  <c r="AR80" s="760"/>
      <c r="AS80" s="760"/>
    </row>
    <row r="81" spans="1:45" hidden="1" x14ac:dyDescent="0.2">
      <c r="A81" s="760"/>
      <c r="B81" s="760"/>
      <c r="C81" s="760"/>
      <c r="D81" s="760"/>
      <c r="E81" s="760"/>
      <c r="F81" s="760"/>
      <c r="G81" s="760"/>
      <c r="H81" s="760"/>
      <c r="I81" s="760"/>
      <c r="J81" s="760"/>
      <c r="K81" s="760"/>
      <c r="L81" s="760"/>
      <c r="M81" s="760"/>
      <c r="N81" s="760"/>
      <c r="O81" s="760"/>
      <c r="P81" s="760"/>
      <c r="Q81" s="760"/>
      <c r="R81" s="760"/>
      <c r="S81" s="760"/>
      <c r="T81" s="760"/>
      <c r="U81" s="760"/>
      <c r="V81" s="760"/>
      <c r="W81" s="911"/>
      <c r="X81" s="760"/>
      <c r="Y81" s="760"/>
      <c r="Z81" s="760"/>
      <c r="AA81" s="760"/>
      <c r="AB81" s="760"/>
      <c r="AC81" s="760"/>
      <c r="AD81" s="760"/>
      <c r="AE81" s="760"/>
      <c r="AF81" s="760"/>
      <c r="AG81" s="154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  <c r="AR81" s="760"/>
      <c r="AS81" s="760"/>
    </row>
    <row r="82" spans="1:45" hidden="1" x14ac:dyDescent="0.2">
      <c r="A82" s="760"/>
      <c r="B82" s="760"/>
      <c r="C82" s="760"/>
      <c r="D82" s="760"/>
      <c r="E82" s="760"/>
      <c r="F82" s="760"/>
      <c r="G82" s="760"/>
      <c r="H82" s="760"/>
      <c r="I82" s="760"/>
      <c r="J82" s="760"/>
      <c r="K82" s="760"/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911"/>
      <c r="X82" s="760"/>
      <c r="Y82" s="760"/>
      <c r="Z82" s="760"/>
      <c r="AA82" s="760"/>
      <c r="AB82" s="760"/>
      <c r="AC82" s="760"/>
      <c r="AD82" s="760"/>
      <c r="AE82" s="760"/>
      <c r="AF82" s="760"/>
      <c r="AG82" s="154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  <c r="AR82" s="760"/>
      <c r="AS82" s="760"/>
    </row>
    <row r="83" spans="1:45" hidden="1" x14ac:dyDescent="0.2">
      <c r="A83" s="760"/>
      <c r="B83" s="760"/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760"/>
      <c r="S83" s="760"/>
      <c r="T83" s="760"/>
      <c r="U83" s="760"/>
      <c r="V83" s="760"/>
      <c r="W83" s="911"/>
      <c r="X83" s="760"/>
      <c r="Y83" s="760"/>
      <c r="Z83" s="760"/>
      <c r="AA83" s="760"/>
      <c r="AB83" s="760"/>
      <c r="AC83" s="760"/>
      <c r="AD83" s="760"/>
      <c r="AE83" s="760"/>
      <c r="AF83" s="760"/>
      <c r="AG83" s="154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  <c r="AR83" s="760"/>
      <c r="AS83" s="760"/>
    </row>
    <row r="84" spans="1:45" hidden="1" x14ac:dyDescent="0.2">
      <c r="A84" s="760"/>
      <c r="B84" s="760"/>
      <c r="C84" s="760"/>
      <c r="D84" s="760"/>
      <c r="E84" s="760"/>
      <c r="F84" s="760"/>
      <c r="G84" s="760"/>
      <c r="H84" s="760"/>
      <c r="I84" s="760"/>
      <c r="J84" s="760"/>
      <c r="K84" s="760"/>
      <c r="L84" s="760"/>
      <c r="M84" s="760"/>
      <c r="N84" s="760"/>
      <c r="O84" s="760"/>
      <c r="P84" s="760"/>
      <c r="Q84" s="760"/>
      <c r="R84" s="760"/>
      <c r="S84" s="760"/>
      <c r="T84" s="760"/>
      <c r="U84" s="760"/>
      <c r="V84" s="760"/>
      <c r="W84" s="911"/>
      <c r="X84" s="760"/>
      <c r="Y84" s="760"/>
      <c r="Z84" s="760"/>
      <c r="AA84" s="760"/>
      <c r="AB84" s="760"/>
      <c r="AC84" s="760"/>
      <c r="AD84" s="760"/>
      <c r="AE84" s="760"/>
      <c r="AF84" s="760"/>
      <c r="AG84" s="154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  <c r="AR84" s="760"/>
      <c r="AS84" s="760"/>
    </row>
    <row r="85" spans="1:45" hidden="1" x14ac:dyDescent="0.2">
      <c r="A85" s="760"/>
      <c r="B85" s="760"/>
      <c r="C85" s="760"/>
      <c r="D85" s="760"/>
      <c r="E85" s="760"/>
      <c r="F85" s="760"/>
      <c r="G85" s="760"/>
      <c r="H85" s="760"/>
      <c r="I85" s="760"/>
      <c r="J85" s="760"/>
      <c r="K85" s="760"/>
      <c r="L85" s="760"/>
      <c r="M85" s="760"/>
      <c r="N85" s="760"/>
      <c r="O85" s="760"/>
      <c r="P85" s="760"/>
      <c r="Q85" s="760"/>
      <c r="R85" s="760"/>
      <c r="S85" s="760"/>
      <c r="T85" s="760"/>
      <c r="U85" s="760"/>
      <c r="V85" s="760"/>
      <c r="W85" s="911"/>
      <c r="X85" s="760"/>
      <c r="Y85" s="760"/>
      <c r="Z85" s="760"/>
      <c r="AA85" s="760"/>
      <c r="AB85" s="760"/>
      <c r="AC85" s="760"/>
      <c r="AD85" s="760"/>
      <c r="AE85" s="760"/>
      <c r="AF85" s="760"/>
      <c r="AG85" s="154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  <c r="AR85" s="760"/>
      <c r="AS85" s="760"/>
    </row>
    <row r="86" spans="1:45" hidden="1" x14ac:dyDescent="0.2">
      <c r="A86" s="760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0"/>
      <c r="S86" s="760"/>
      <c r="T86" s="760"/>
      <c r="U86" s="760"/>
      <c r="V86" s="760"/>
      <c r="W86" s="911"/>
      <c r="X86" s="760"/>
      <c r="Y86" s="760"/>
      <c r="Z86" s="760"/>
      <c r="AA86" s="760"/>
      <c r="AB86" s="760"/>
      <c r="AC86" s="760"/>
      <c r="AD86" s="760"/>
      <c r="AE86" s="760"/>
      <c r="AF86" s="760"/>
      <c r="AG86" s="154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  <c r="AR86" s="760"/>
      <c r="AS86" s="760"/>
    </row>
    <row r="87" spans="1:45" hidden="1" x14ac:dyDescent="0.2">
      <c r="A87" s="760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911"/>
      <c r="X87" s="760"/>
      <c r="Y87" s="760"/>
      <c r="Z87" s="760"/>
      <c r="AA87" s="760"/>
      <c r="AB87" s="760"/>
      <c r="AC87" s="760"/>
      <c r="AD87" s="760"/>
      <c r="AE87" s="760"/>
      <c r="AF87" s="760"/>
      <c r="AG87" s="154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  <c r="AR87" s="760"/>
      <c r="AS87" s="760"/>
    </row>
    <row r="88" spans="1:45" hidden="1" x14ac:dyDescent="0.2">
      <c r="A88" s="760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0"/>
      <c r="S88" s="760"/>
      <c r="T88" s="760"/>
      <c r="U88" s="760"/>
      <c r="V88" s="760"/>
      <c r="W88" s="911"/>
      <c r="X88" s="760"/>
      <c r="Y88" s="760"/>
      <c r="Z88" s="760"/>
      <c r="AA88" s="760"/>
      <c r="AB88" s="760"/>
      <c r="AC88" s="760"/>
      <c r="AD88" s="760"/>
      <c r="AE88" s="760"/>
      <c r="AF88" s="760"/>
      <c r="AG88" s="154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  <c r="AR88" s="760"/>
      <c r="AS88" s="760"/>
    </row>
    <row r="89" spans="1:45" hidden="1" x14ac:dyDescent="0.2">
      <c r="A89" s="760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911"/>
      <c r="X89" s="760"/>
      <c r="Y89" s="760"/>
      <c r="Z89" s="760"/>
      <c r="AA89" s="760"/>
      <c r="AB89" s="760"/>
      <c r="AC89" s="760"/>
      <c r="AD89" s="760"/>
      <c r="AE89" s="760"/>
      <c r="AF89" s="760"/>
      <c r="AG89" s="154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  <c r="AR89" s="760"/>
      <c r="AS89" s="760"/>
    </row>
    <row r="90" spans="1:45" hidden="1" x14ac:dyDescent="0.2">
      <c r="A90" s="76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  <c r="V90" s="760"/>
      <c r="W90" s="911"/>
      <c r="X90" s="760"/>
      <c r="Y90" s="760"/>
      <c r="Z90" s="760"/>
      <c r="AA90" s="760"/>
      <c r="AB90" s="760"/>
      <c r="AC90" s="760"/>
      <c r="AD90" s="760"/>
      <c r="AE90" s="760"/>
      <c r="AF90" s="760"/>
      <c r="AG90" s="154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  <c r="AR90" s="760"/>
      <c r="AS90" s="760"/>
    </row>
    <row r="91" spans="1:45" hidden="1" x14ac:dyDescent="0.2">
      <c r="A91" s="76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911"/>
      <c r="X91" s="760"/>
      <c r="Y91" s="760"/>
      <c r="Z91" s="760"/>
      <c r="AA91" s="760"/>
      <c r="AB91" s="760"/>
      <c r="AC91" s="760"/>
      <c r="AD91" s="760"/>
      <c r="AE91" s="760"/>
      <c r="AF91" s="760"/>
      <c r="AG91" s="154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  <c r="AR91" s="760"/>
      <c r="AS91" s="760"/>
    </row>
    <row r="92" spans="1:45" hidden="1" x14ac:dyDescent="0.2">
      <c r="A92" s="76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911"/>
      <c r="X92" s="760"/>
      <c r="Y92" s="760"/>
      <c r="Z92" s="760"/>
      <c r="AA92" s="760"/>
      <c r="AB92" s="760"/>
      <c r="AC92" s="760"/>
      <c r="AD92" s="760"/>
      <c r="AE92" s="760"/>
      <c r="AF92" s="760"/>
      <c r="AG92" s="154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  <c r="AR92" s="760"/>
      <c r="AS92" s="760"/>
    </row>
    <row r="93" spans="1:45" hidden="1" x14ac:dyDescent="0.2">
      <c r="A93" s="76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  <c r="V93" s="760"/>
      <c r="W93" s="911"/>
      <c r="X93" s="760"/>
      <c r="Y93" s="760"/>
      <c r="Z93" s="760"/>
      <c r="AA93" s="760"/>
      <c r="AB93" s="760"/>
      <c r="AC93" s="760"/>
      <c r="AD93" s="760"/>
      <c r="AE93" s="760"/>
      <c r="AF93" s="760"/>
      <c r="AG93" s="154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  <c r="AR93" s="760"/>
      <c r="AS93" s="760"/>
    </row>
    <row r="94" spans="1:45" hidden="1" x14ac:dyDescent="0.2">
      <c r="A94" s="760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0"/>
      <c r="S94" s="760"/>
      <c r="T94" s="760"/>
      <c r="U94" s="760"/>
      <c r="V94" s="760"/>
      <c r="W94" s="911"/>
      <c r="X94" s="760"/>
      <c r="Y94" s="760"/>
      <c r="Z94" s="760"/>
      <c r="AA94" s="760"/>
      <c r="AB94" s="760"/>
      <c r="AC94" s="760"/>
      <c r="AD94" s="760"/>
      <c r="AE94" s="760"/>
      <c r="AF94" s="760"/>
      <c r="AG94" s="154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  <c r="AR94" s="760"/>
      <c r="AS94" s="760"/>
    </row>
    <row r="95" spans="1:45" hidden="1" x14ac:dyDescent="0.2">
      <c r="A95" s="760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911"/>
      <c r="X95" s="760"/>
      <c r="Y95" s="760"/>
      <c r="Z95" s="760"/>
      <c r="AA95" s="760"/>
      <c r="AB95" s="760"/>
      <c r="AC95" s="760"/>
      <c r="AD95" s="760"/>
      <c r="AE95" s="760"/>
      <c r="AF95" s="760"/>
      <c r="AG95" s="154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  <c r="AR95" s="760"/>
      <c r="AS95" s="760"/>
    </row>
    <row r="96" spans="1:45" hidden="1" x14ac:dyDescent="0.2">
      <c r="A96" s="760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0"/>
      <c r="S96" s="760"/>
      <c r="T96" s="760"/>
      <c r="U96" s="760"/>
      <c r="V96" s="760"/>
      <c r="W96" s="911"/>
      <c r="X96" s="760"/>
      <c r="Y96" s="760"/>
      <c r="Z96" s="760"/>
      <c r="AA96" s="760"/>
      <c r="AB96" s="760"/>
      <c r="AC96" s="760"/>
      <c r="AD96" s="760"/>
      <c r="AE96" s="760"/>
      <c r="AF96" s="760"/>
      <c r="AG96" s="154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  <c r="AR96" s="760"/>
      <c r="AS96" s="760"/>
    </row>
    <row r="97" spans="1:45" hidden="1" x14ac:dyDescent="0.2">
      <c r="A97" s="760"/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911"/>
      <c r="X97" s="760"/>
      <c r="Y97" s="760"/>
      <c r="Z97" s="760"/>
      <c r="AA97" s="760"/>
      <c r="AB97" s="760"/>
      <c r="AC97" s="760"/>
      <c r="AD97" s="760"/>
      <c r="AE97" s="760"/>
      <c r="AF97" s="760"/>
      <c r="AG97" s="154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  <c r="AR97" s="760"/>
      <c r="AS97" s="760"/>
    </row>
    <row r="98" spans="1:45" hidden="1" x14ac:dyDescent="0.2">
      <c r="A98" s="760"/>
      <c r="B98" s="760"/>
      <c r="C98" s="760"/>
      <c r="D98" s="760"/>
      <c r="E98" s="760"/>
      <c r="F98" s="760"/>
      <c r="G98" s="760"/>
      <c r="H98" s="760"/>
      <c r="I98" s="760"/>
      <c r="J98" s="760"/>
      <c r="K98" s="760"/>
      <c r="L98" s="760"/>
      <c r="M98" s="760"/>
      <c r="N98" s="760"/>
      <c r="O98" s="760"/>
      <c r="P98" s="760"/>
      <c r="Q98" s="760"/>
      <c r="R98" s="760"/>
      <c r="S98" s="760"/>
      <c r="T98" s="760"/>
      <c r="U98" s="760"/>
      <c r="V98" s="760"/>
      <c r="W98" s="911"/>
      <c r="X98" s="760"/>
      <c r="Y98" s="760"/>
      <c r="Z98" s="760"/>
      <c r="AA98" s="760"/>
      <c r="AB98" s="760"/>
      <c r="AC98" s="760"/>
      <c r="AD98" s="760"/>
      <c r="AE98" s="760"/>
      <c r="AF98" s="760"/>
      <c r="AG98" s="154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  <c r="AR98" s="760"/>
      <c r="AS98" s="760"/>
    </row>
    <row r="99" spans="1:45" hidden="1" x14ac:dyDescent="0.2">
      <c r="A99" s="760"/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911"/>
      <c r="X99" s="760"/>
      <c r="Y99" s="760"/>
      <c r="Z99" s="760"/>
      <c r="AA99" s="760"/>
      <c r="AB99" s="760"/>
      <c r="AC99" s="760"/>
      <c r="AD99" s="760"/>
      <c r="AE99" s="760"/>
      <c r="AF99" s="760"/>
      <c r="AG99" s="154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  <c r="AR99" s="760"/>
      <c r="AS99" s="760"/>
    </row>
    <row r="100" spans="1:45" hidden="1" x14ac:dyDescent="0.2">
      <c r="A100" s="760"/>
      <c r="B100" s="760"/>
      <c r="C100" s="760"/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0"/>
      <c r="P100" s="760"/>
      <c r="Q100" s="760"/>
      <c r="R100" s="760"/>
      <c r="S100" s="760"/>
      <c r="T100" s="760"/>
      <c r="U100" s="760"/>
      <c r="V100" s="760"/>
      <c r="W100" s="911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154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  <c r="AR100" s="760"/>
      <c r="AS100" s="760"/>
    </row>
    <row r="101" spans="1:45" hidden="1" x14ac:dyDescent="0.2">
      <c r="A101" s="760"/>
      <c r="B101" s="760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  <c r="T101" s="760"/>
      <c r="U101" s="760"/>
      <c r="V101" s="760"/>
      <c r="W101" s="911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154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  <c r="AR101" s="760"/>
      <c r="AS101" s="760"/>
    </row>
    <row r="102" spans="1:45" hidden="1" x14ac:dyDescent="0.2">
      <c r="A102" s="760"/>
      <c r="B102" s="760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  <c r="T102" s="760"/>
      <c r="U102" s="760"/>
      <c r="V102" s="760"/>
      <c r="W102" s="911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154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  <c r="AR102" s="760"/>
      <c r="AS102" s="760"/>
    </row>
    <row r="103" spans="1:45" hidden="1" x14ac:dyDescent="0.2">
      <c r="A103" s="760"/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911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154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  <c r="AR103" s="760"/>
      <c r="AS103" s="760"/>
    </row>
    <row r="104" spans="1:45" hidden="1" x14ac:dyDescent="0.2">
      <c r="A104" s="760"/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911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154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  <c r="AR104" s="760"/>
      <c r="AS104" s="760"/>
    </row>
    <row r="105" spans="1:45" hidden="1" x14ac:dyDescent="0.2">
      <c r="A105" s="760"/>
      <c r="B105" s="760"/>
      <c r="C105" s="760"/>
      <c r="D105" s="760"/>
      <c r="E105" s="760"/>
      <c r="F105" s="760"/>
      <c r="G105" s="760"/>
      <c r="H105" s="760"/>
      <c r="I105" s="760"/>
      <c r="J105" s="760"/>
      <c r="K105" s="760"/>
      <c r="L105" s="760"/>
      <c r="M105" s="760"/>
      <c r="N105" s="760"/>
      <c r="O105" s="760"/>
      <c r="P105" s="760"/>
      <c r="Q105" s="760"/>
      <c r="R105" s="760"/>
      <c r="S105" s="760"/>
      <c r="T105" s="760"/>
      <c r="U105" s="760"/>
      <c r="V105" s="760"/>
      <c r="W105" s="911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154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  <c r="AR105" s="760"/>
      <c r="AS105" s="760"/>
    </row>
    <row r="106" spans="1:45" hidden="1" x14ac:dyDescent="0.2">
      <c r="A106" s="760"/>
      <c r="B106" s="760"/>
      <c r="C106" s="760"/>
      <c r="D106" s="760"/>
      <c r="E106" s="760"/>
      <c r="F106" s="760"/>
      <c r="G106" s="760"/>
      <c r="H106" s="760"/>
      <c r="I106" s="760"/>
      <c r="J106" s="760"/>
      <c r="K106" s="760"/>
      <c r="L106" s="760"/>
      <c r="M106" s="760"/>
      <c r="N106" s="760"/>
      <c r="O106" s="760"/>
      <c r="P106" s="760"/>
      <c r="Q106" s="760"/>
      <c r="R106" s="760"/>
      <c r="S106" s="760"/>
      <c r="T106" s="760"/>
      <c r="U106" s="760"/>
      <c r="V106" s="760"/>
      <c r="W106" s="911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154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  <c r="AR106" s="760"/>
      <c r="AS106" s="760"/>
    </row>
    <row r="107" spans="1:45" hidden="1" x14ac:dyDescent="0.2">
      <c r="A107" s="760"/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911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154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  <c r="AR107" s="760"/>
      <c r="AS107" s="760"/>
    </row>
    <row r="108" spans="1:45" hidden="1" x14ac:dyDescent="0.2">
      <c r="A108" s="760"/>
      <c r="B108" s="760"/>
      <c r="C108" s="760"/>
      <c r="D108" s="760"/>
      <c r="E108" s="760"/>
      <c r="F108" s="760"/>
      <c r="G108" s="760"/>
      <c r="H108" s="760"/>
      <c r="I108" s="760"/>
      <c r="J108" s="760"/>
      <c r="K108" s="760"/>
      <c r="L108" s="760"/>
      <c r="M108" s="760"/>
      <c r="N108" s="760"/>
      <c r="O108" s="760"/>
      <c r="P108" s="760"/>
      <c r="Q108" s="760"/>
      <c r="R108" s="760"/>
      <c r="S108" s="760"/>
      <c r="T108" s="760"/>
      <c r="U108" s="760"/>
      <c r="V108" s="760"/>
      <c r="W108" s="911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154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  <c r="AR108" s="760"/>
      <c r="AS108" s="760"/>
    </row>
    <row r="109" spans="1:45" hidden="1" x14ac:dyDescent="0.2">
      <c r="A109" s="760"/>
      <c r="B109" s="760"/>
      <c r="C109" s="760"/>
      <c r="D109" s="760"/>
      <c r="E109" s="760"/>
      <c r="F109" s="760"/>
      <c r="G109" s="760"/>
      <c r="H109" s="760"/>
      <c r="I109" s="760"/>
      <c r="J109" s="760"/>
      <c r="K109" s="760"/>
      <c r="L109" s="760"/>
      <c r="M109" s="760"/>
      <c r="N109" s="760"/>
      <c r="O109" s="760"/>
      <c r="P109" s="760"/>
      <c r="Q109" s="760"/>
      <c r="R109" s="760"/>
      <c r="S109" s="760"/>
      <c r="T109" s="760"/>
      <c r="U109" s="760"/>
      <c r="V109" s="760"/>
      <c r="W109" s="911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154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  <c r="AR109" s="760"/>
      <c r="AS109" s="760"/>
    </row>
    <row r="110" spans="1:45" hidden="1" x14ac:dyDescent="0.2">
      <c r="A110" s="760"/>
      <c r="B110" s="760"/>
      <c r="C110" s="760"/>
      <c r="D110" s="760"/>
      <c r="E110" s="760"/>
      <c r="F110" s="760"/>
      <c r="G110" s="760"/>
      <c r="H110" s="760"/>
      <c r="I110" s="760"/>
      <c r="J110" s="760"/>
      <c r="K110" s="760"/>
      <c r="L110" s="760"/>
      <c r="M110" s="760"/>
      <c r="N110" s="760"/>
      <c r="O110" s="760"/>
      <c r="P110" s="760"/>
      <c r="Q110" s="760"/>
      <c r="R110" s="760"/>
      <c r="S110" s="760"/>
      <c r="T110" s="760"/>
      <c r="U110" s="760"/>
      <c r="V110" s="760"/>
      <c r="W110" s="911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154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  <c r="AR110" s="760"/>
      <c r="AS110" s="760"/>
    </row>
    <row r="111" spans="1:45" hidden="1" x14ac:dyDescent="0.2">
      <c r="A111" s="760"/>
      <c r="B111" s="760"/>
      <c r="C111" s="760"/>
      <c r="D111" s="760"/>
      <c r="E111" s="760"/>
      <c r="F111" s="760"/>
      <c r="G111" s="760"/>
      <c r="H111" s="760"/>
      <c r="I111" s="760"/>
      <c r="J111" s="760"/>
      <c r="K111" s="760"/>
      <c r="L111" s="760"/>
      <c r="M111" s="760"/>
      <c r="N111" s="760"/>
      <c r="O111" s="760"/>
      <c r="P111" s="760"/>
      <c r="Q111" s="760"/>
      <c r="R111" s="760"/>
      <c r="S111" s="760"/>
      <c r="T111" s="760"/>
      <c r="U111" s="760"/>
      <c r="V111" s="760"/>
      <c r="W111" s="911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154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  <c r="AR111" s="760"/>
      <c r="AS111" s="760"/>
    </row>
    <row r="112" spans="1:45" hidden="1" x14ac:dyDescent="0.2">
      <c r="A112" s="760"/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760"/>
      <c r="M112" s="760"/>
      <c r="N112" s="760"/>
      <c r="O112" s="760"/>
      <c r="P112" s="760"/>
      <c r="Q112" s="760"/>
      <c r="R112" s="760"/>
      <c r="S112" s="760"/>
      <c r="T112" s="760"/>
      <c r="U112" s="760"/>
      <c r="V112" s="760"/>
      <c r="W112" s="911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154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  <c r="AR112" s="760"/>
      <c r="AS112" s="760"/>
    </row>
    <row r="113" spans="1:45" hidden="1" x14ac:dyDescent="0.2">
      <c r="A113" s="760"/>
      <c r="B113" s="760"/>
      <c r="C113" s="760"/>
      <c r="D113" s="760"/>
      <c r="E113" s="760"/>
      <c r="F113" s="760"/>
      <c r="G113" s="760"/>
      <c r="H113" s="760"/>
      <c r="I113" s="760"/>
      <c r="J113" s="760"/>
      <c r="K113" s="760"/>
      <c r="L113" s="760"/>
      <c r="M113" s="760"/>
      <c r="N113" s="760"/>
      <c r="O113" s="760"/>
      <c r="P113" s="760"/>
      <c r="Q113" s="760"/>
      <c r="R113" s="760"/>
      <c r="S113" s="760"/>
      <c r="T113" s="760"/>
      <c r="U113" s="760"/>
      <c r="V113" s="760"/>
      <c r="W113" s="911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154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  <c r="AR113" s="760"/>
      <c r="AS113" s="760"/>
    </row>
    <row r="114" spans="1:45" hidden="1" x14ac:dyDescent="0.2">
      <c r="A114" s="760"/>
      <c r="B114" s="760"/>
      <c r="C114" s="760"/>
      <c r="D114" s="760"/>
      <c r="E114" s="760"/>
      <c r="F114" s="760"/>
      <c r="G114" s="760"/>
      <c r="H114" s="760"/>
      <c r="I114" s="760"/>
      <c r="J114" s="760"/>
      <c r="K114" s="760"/>
      <c r="L114" s="760"/>
      <c r="M114" s="760"/>
      <c r="N114" s="760"/>
      <c r="O114" s="760"/>
      <c r="P114" s="760"/>
      <c r="Q114" s="760"/>
      <c r="R114" s="760"/>
      <c r="S114" s="760"/>
      <c r="T114" s="760"/>
      <c r="U114" s="760"/>
      <c r="V114" s="760"/>
      <c r="W114" s="911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154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  <c r="AR114" s="760"/>
      <c r="AS114" s="760"/>
    </row>
    <row r="115" spans="1:45" hidden="1" x14ac:dyDescent="0.2">
      <c r="A115" s="760"/>
      <c r="B115" s="760"/>
      <c r="C115" s="760"/>
      <c r="D115" s="760"/>
      <c r="E115" s="760"/>
      <c r="F115" s="760"/>
      <c r="G115" s="760"/>
      <c r="H115" s="760"/>
      <c r="I115" s="760"/>
      <c r="J115" s="760"/>
      <c r="K115" s="760"/>
      <c r="L115" s="760"/>
      <c r="M115" s="760"/>
      <c r="N115" s="760"/>
      <c r="O115" s="760"/>
      <c r="P115" s="760"/>
      <c r="Q115" s="760"/>
      <c r="R115" s="760"/>
      <c r="S115" s="760"/>
      <c r="T115" s="760"/>
      <c r="U115" s="760"/>
      <c r="V115" s="760"/>
      <c r="W115" s="911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154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  <c r="AR115" s="760"/>
      <c r="AS115" s="760"/>
    </row>
    <row r="116" spans="1:45" hidden="1" x14ac:dyDescent="0.2">
      <c r="A116" s="760"/>
      <c r="B116" s="760"/>
      <c r="C116" s="760"/>
      <c r="D116" s="760"/>
      <c r="E116" s="760"/>
      <c r="F116" s="760"/>
      <c r="G116" s="760"/>
      <c r="H116" s="760"/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911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154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  <c r="AR116" s="760"/>
      <c r="AS116" s="760"/>
    </row>
    <row r="117" spans="1:45" hidden="1" x14ac:dyDescent="0.2">
      <c r="A117" s="760"/>
      <c r="B117" s="760"/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0"/>
      <c r="U117" s="760"/>
      <c r="V117" s="760"/>
      <c r="W117" s="911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154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  <c r="AR117" s="760"/>
      <c r="AS117" s="760"/>
    </row>
    <row r="118" spans="1:45" hidden="1" x14ac:dyDescent="0.2">
      <c r="A118" s="760"/>
      <c r="B118" s="760"/>
      <c r="C118" s="760"/>
      <c r="D118" s="760"/>
      <c r="E118" s="760"/>
      <c r="F118" s="760"/>
      <c r="G118" s="760"/>
      <c r="H118" s="760"/>
      <c r="I118" s="760"/>
      <c r="J118" s="760"/>
      <c r="K118" s="760"/>
      <c r="L118" s="760"/>
      <c r="M118" s="760"/>
      <c r="N118" s="760"/>
      <c r="O118" s="760"/>
      <c r="P118" s="760"/>
      <c r="Q118" s="760"/>
      <c r="R118" s="760"/>
      <c r="S118" s="760"/>
      <c r="T118" s="760"/>
      <c r="U118" s="760"/>
      <c r="V118" s="760"/>
      <c r="W118" s="911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154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  <c r="AR118" s="760"/>
      <c r="AS118" s="760"/>
    </row>
    <row r="119" spans="1:45" hidden="1" x14ac:dyDescent="0.2">
      <c r="A119" s="760"/>
      <c r="B119" s="760"/>
      <c r="C119" s="760"/>
      <c r="D119" s="760"/>
      <c r="E119" s="760"/>
      <c r="F119" s="760"/>
      <c r="G119" s="760"/>
      <c r="H119" s="760"/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911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154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  <c r="AR119" s="760"/>
      <c r="AS119" s="760"/>
    </row>
    <row r="120" spans="1:45" hidden="1" x14ac:dyDescent="0.2">
      <c r="A120" s="760"/>
      <c r="B120" s="760"/>
      <c r="C120" s="760"/>
      <c r="D120" s="760"/>
      <c r="E120" s="760"/>
      <c r="F120" s="760"/>
      <c r="G120" s="760"/>
      <c r="H120" s="760"/>
      <c r="I120" s="760"/>
      <c r="J120" s="760"/>
      <c r="K120" s="760"/>
      <c r="L120" s="760"/>
      <c r="M120" s="760"/>
      <c r="N120" s="760"/>
      <c r="O120" s="760"/>
      <c r="P120" s="760"/>
      <c r="Q120" s="760"/>
      <c r="R120" s="760"/>
      <c r="S120" s="760"/>
      <c r="T120" s="760"/>
      <c r="U120" s="760"/>
      <c r="V120" s="760"/>
      <c r="W120" s="911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154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</row>
    <row r="121" spans="1:45" hidden="1" x14ac:dyDescent="0.2">
      <c r="A121" s="760"/>
      <c r="B121" s="760"/>
      <c r="C121" s="760"/>
      <c r="D121" s="760"/>
      <c r="E121" s="760"/>
      <c r="F121" s="760"/>
      <c r="G121" s="760"/>
      <c r="H121" s="760"/>
      <c r="I121" s="760"/>
      <c r="J121" s="760"/>
      <c r="K121" s="760"/>
      <c r="L121" s="760"/>
      <c r="M121" s="760"/>
      <c r="N121" s="760"/>
      <c r="O121" s="760"/>
      <c r="P121" s="760"/>
      <c r="Q121" s="760"/>
      <c r="R121" s="760"/>
      <c r="S121" s="760"/>
      <c r="T121" s="760"/>
      <c r="U121" s="760"/>
      <c r="V121" s="760"/>
      <c r="W121" s="911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154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  <c r="AR121" s="760"/>
      <c r="AS121" s="760"/>
    </row>
    <row r="122" spans="1:45" hidden="1" x14ac:dyDescent="0.2">
      <c r="A122" s="760"/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911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154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  <c r="AS122" s="760"/>
    </row>
    <row r="123" spans="1:45" hidden="1" x14ac:dyDescent="0.2">
      <c r="A123" s="760"/>
      <c r="B123" s="760"/>
      <c r="C123" s="760"/>
      <c r="D123" s="760"/>
      <c r="E123" s="760"/>
      <c r="F123" s="760"/>
      <c r="G123" s="760"/>
      <c r="H123" s="760"/>
      <c r="I123" s="760"/>
      <c r="J123" s="760"/>
      <c r="K123" s="760"/>
      <c r="L123" s="760"/>
      <c r="M123" s="760"/>
      <c r="N123" s="760"/>
      <c r="O123" s="760"/>
      <c r="P123" s="760"/>
      <c r="Q123" s="760"/>
      <c r="R123" s="760"/>
      <c r="S123" s="760"/>
      <c r="T123" s="760"/>
      <c r="U123" s="760"/>
      <c r="V123" s="760"/>
      <c r="W123" s="911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154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  <c r="AS123" s="760"/>
    </row>
    <row r="124" spans="1:45" hidden="1" x14ac:dyDescent="0.2">
      <c r="A124" s="760"/>
      <c r="B124" s="760"/>
      <c r="C124" s="760"/>
      <c r="D124" s="760"/>
      <c r="E124" s="760"/>
      <c r="F124" s="760"/>
      <c r="G124" s="760"/>
      <c r="H124" s="760"/>
      <c r="I124" s="760"/>
      <c r="J124" s="760"/>
      <c r="K124" s="760"/>
      <c r="L124" s="760"/>
      <c r="M124" s="760"/>
      <c r="N124" s="760"/>
      <c r="O124" s="760"/>
      <c r="P124" s="760"/>
      <c r="Q124" s="760"/>
      <c r="R124" s="760"/>
      <c r="S124" s="760"/>
      <c r="T124" s="760"/>
      <c r="U124" s="760"/>
      <c r="V124" s="760"/>
      <c r="W124" s="911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154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  <c r="AR124" s="760"/>
      <c r="AS124" s="760"/>
    </row>
    <row r="125" spans="1:45" hidden="1" x14ac:dyDescent="0.2">
      <c r="A125" s="760"/>
      <c r="B125" s="760"/>
      <c r="C125" s="760"/>
      <c r="D125" s="760"/>
      <c r="E125" s="760"/>
      <c r="F125" s="760"/>
      <c r="G125" s="760"/>
      <c r="H125" s="760"/>
      <c r="I125" s="760"/>
      <c r="J125" s="760"/>
      <c r="K125" s="760"/>
      <c r="L125" s="760"/>
      <c r="M125" s="760"/>
      <c r="N125" s="760"/>
      <c r="O125" s="760"/>
      <c r="P125" s="760"/>
      <c r="Q125" s="760"/>
      <c r="R125" s="760"/>
      <c r="S125" s="760"/>
      <c r="T125" s="760"/>
      <c r="U125" s="760"/>
      <c r="V125" s="760"/>
      <c r="W125" s="911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154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  <c r="AS125" s="760"/>
    </row>
    <row r="126" spans="1:45" hidden="1" x14ac:dyDescent="0.2">
      <c r="A126" s="760"/>
      <c r="B126" s="760"/>
      <c r="C126" s="760"/>
      <c r="D126" s="760"/>
      <c r="E126" s="760"/>
      <c r="F126" s="760"/>
      <c r="G126" s="760"/>
      <c r="H126" s="760"/>
      <c r="I126" s="760"/>
      <c r="J126" s="760"/>
      <c r="K126" s="760"/>
      <c r="L126" s="760"/>
      <c r="M126" s="760"/>
      <c r="N126" s="760"/>
      <c r="O126" s="760"/>
      <c r="P126" s="760"/>
      <c r="Q126" s="760"/>
      <c r="R126" s="760"/>
      <c r="S126" s="760"/>
      <c r="T126" s="760"/>
      <c r="U126" s="760"/>
      <c r="V126" s="760"/>
      <c r="W126" s="911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154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  <c r="AR126" s="760"/>
      <c r="AS126" s="760"/>
    </row>
    <row r="127" spans="1:45" hidden="1" x14ac:dyDescent="0.2">
      <c r="A127" s="760"/>
      <c r="B127" s="760"/>
      <c r="C127" s="760"/>
      <c r="D127" s="760"/>
      <c r="E127" s="760"/>
      <c r="F127" s="760"/>
      <c r="G127" s="760"/>
      <c r="H127" s="760"/>
      <c r="I127" s="760"/>
      <c r="J127" s="760"/>
      <c r="K127" s="760"/>
      <c r="L127" s="760"/>
      <c r="M127" s="760"/>
      <c r="N127" s="760"/>
      <c r="O127" s="760"/>
      <c r="P127" s="760"/>
      <c r="Q127" s="760"/>
      <c r="R127" s="760"/>
      <c r="S127" s="760"/>
      <c r="T127" s="760"/>
      <c r="U127" s="760"/>
      <c r="V127" s="760"/>
      <c r="W127" s="911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154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  <c r="AR127" s="760"/>
      <c r="AS127" s="760"/>
    </row>
    <row r="128" spans="1:45" hidden="1" x14ac:dyDescent="0.2">
      <c r="A128" s="760"/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0"/>
      <c r="S128" s="760"/>
      <c r="T128" s="760"/>
      <c r="U128" s="760"/>
      <c r="V128" s="760"/>
      <c r="W128" s="911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154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  <c r="AR128" s="760"/>
      <c r="AS128" s="760"/>
    </row>
    <row r="129" spans="1:45" hidden="1" x14ac:dyDescent="0.2">
      <c r="A129" s="760"/>
      <c r="B129" s="760"/>
      <c r="C129" s="760"/>
      <c r="D129" s="760"/>
      <c r="E129" s="760"/>
      <c r="F129" s="760"/>
      <c r="G129" s="760"/>
      <c r="H129" s="760"/>
      <c r="I129" s="760"/>
      <c r="J129" s="760"/>
      <c r="K129" s="760"/>
      <c r="L129" s="760"/>
      <c r="M129" s="760"/>
      <c r="N129" s="760"/>
      <c r="O129" s="760"/>
      <c r="P129" s="760"/>
      <c r="Q129" s="760"/>
      <c r="R129" s="760"/>
      <c r="S129" s="760"/>
      <c r="T129" s="760"/>
      <c r="U129" s="760"/>
      <c r="V129" s="760"/>
      <c r="W129" s="911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154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  <c r="AR129" s="760"/>
      <c r="AS129" s="760"/>
    </row>
    <row r="130" spans="1:45" hidden="1" x14ac:dyDescent="0.2">
      <c r="A130" s="760"/>
      <c r="B130" s="760"/>
      <c r="C130" s="760"/>
      <c r="D130" s="760"/>
      <c r="E130" s="760"/>
      <c r="F130" s="760"/>
      <c r="G130" s="760"/>
      <c r="H130" s="760"/>
      <c r="I130" s="760"/>
      <c r="J130" s="760"/>
      <c r="K130" s="760"/>
      <c r="L130" s="760"/>
      <c r="M130" s="760"/>
      <c r="N130" s="760"/>
      <c r="O130" s="760"/>
      <c r="P130" s="760"/>
      <c r="Q130" s="760"/>
      <c r="R130" s="760"/>
      <c r="S130" s="760"/>
      <c r="T130" s="760"/>
      <c r="U130" s="760"/>
      <c r="V130" s="760"/>
      <c r="W130" s="911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154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  <c r="AR130" s="760"/>
      <c r="AS130" s="760"/>
    </row>
    <row r="131" spans="1:45" hidden="1" x14ac:dyDescent="0.2">
      <c r="A131" s="760"/>
      <c r="B131" s="760"/>
      <c r="C131" s="760"/>
      <c r="D131" s="760"/>
      <c r="E131" s="760"/>
      <c r="F131" s="760"/>
      <c r="G131" s="760"/>
      <c r="H131" s="760"/>
      <c r="I131" s="760"/>
      <c r="J131" s="760"/>
      <c r="K131" s="760"/>
      <c r="L131" s="760"/>
      <c r="M131" s="760"/>
      <c r="N131" s="760"/>
      <c r="O131" s="760"/>
      <c r="P131" s="760"/>
      <c r="Q131" s="760"/>
      <c r="R131" s="760"/>
      <c r="S131" s="760"/>
      <c r="T131" s="760"/>
      <c r="U131" s="760"/>
      <c r="V131" s="760"/>
      <c r="W131" s="911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154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  <c r="AR131" s="760"/>
      <c r="AS131" s="760"/>
    </row>
    <row r="132" spans="1:45" hidden="1" x14ac:dyDescent="0.2">
      <c r="A132" s="760"/>
      <c r="B132" s="760"/>
      <c r="C132" s="760"/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0"/>
      <c r="O132" s="760"/>
      <c r="P132" s="760"/>
      <c r="Q132" s="760"/>
      <c r="R132" s="760"/>
      <c r="S132" s="760"/>
      <c r="T132" s="760"/>
      <c r="U132" s="760"/>
      <c r="V132" s="760"/>
      <c r="W132" s="911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154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  <c r="AR132" s="760"/>
      <c r="AS132" s="760"/>
    </row>
    <row r="133" spans="1:45" hidden="1" x14ac:dyDescent="0.2">
      <c r="A133" s="760"/>
      <c r="B133" s="760"/>
      <c r="C133" s="760"/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0"/>
      <c r="O133" s="760"/>
      <c r="P133" s="760"/>
      <c r="Q133" s="760"/>
      <c r="R133" s="760"/>
      <c r="S133" s="760"/>
      <c r="T133" s="760"/>
      <c r="U133" s="760"/>
      <c r="V133" s="760"/>
      <c r="W133" s="911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154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  <c r="AR133" s="760"/>
      <c r="AS133" s="760"/>
    </row>
    <row r="134" spans="1:45" hidden="1" x14ac:dyDescent="0.2">
      <c r="A134" s="760"/>
      <c r="B134" s="760"/>
      <c r="C134" s="760"/>
      <c r="D134" s="760"/>
      <c r="E134" s="760"/>
      <c r="F134" s="760"/>
      <c r="G134" s="760"/>
      <c r="H134" s="760"/>
      <c r="I134" s="760"/>
      <c r="J134" s="760"/>
      <c r="K134" s="760"/>
      <c r="L134" s="760"/>
      <c r="M134" s="760"/>
      <c r="N134" s="760"/>
      <c r="O134" s="760"/>
      <c r="P134" s="760"/>
      <c r="Q134" s="760"/>
      <c r="R134" s="760"/>
      <c r="S134" s="760"/>
      <c r="T134" s="760"/>
      <c r="U134" s="760"/>
      <c r="V134" s="760"/>
      <c r="W134" s="911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154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  <c r="AR134" s="760"/>
      <c r="AS134" s="760"/>
    </row>
    <row r="135" spans="1:45" hidden="1" x14ac:dyDescent="0.2">
      <c r="A135" s="760"/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911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154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  <c r="AR135" s="760"/>
      <c r="AS135" s="760"/>
    </row>
    <row r="136" spans="1:45" hidden="1" x14ac:dyDescent="0.2">
      <c r="A136" s="760"/>
      <c r="B136" s="760"/>
      <c r="C136" s="760"/>
      <c r="D136" s="760"/>
      <c r="E136" s="760"/>
      <c r="F136" s="760"/>
      <c r="G136" s="760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888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154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  <c r="AS136" s="760"/>
    </row>
    <row r="137" spans="1:45" hidden="1" x14ac:dyDescent="0.2">
      <c r="A137" s="760"/>
      <c r="B137" s="760"/>
      <c r="C137" s="760"/>
      <c r="D137" s="760"/>
      <c r="E137" s="760"/>
      <c r="F137" s="760"/>
      <c r="G137" s="760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888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154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  <c r="AS137" s="760"/>
    </row>
    <row r="138" spans="1:45" hidden="1" x14ac:dyDescent="0.2">
      <c r="A138" s="760"/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888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154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</row>
    <row r="139" spans="1:45" hidden="1" x14ac:dyDescent="0.2">
      <c r="A139" s="760"/>
      <c r="B139" s="760"/>
      <c r="C139" s="760"/>
      <c r="D139" s="760"/>
      <c r="E139" s="760"/>
      <c r="F139" s="760"/>
      <c r="G139" s="760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888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154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  <c r="AR139" s="760"/>
      <c r="AS139" s="760"/>
    </row>
    <row r="140" spans="1:45" hidden="1" x14ac:dyDescent="0.2">
      <c r="A140" s="760"/>
      <c r="B140" s="760"/>
      <c r="C140" s="760"/>
      <c r="D140" s="760"/>
      <c r="E140" s="760"/>
      <c r="F140" s="760"/>
      <c r="G140" s="760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888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154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  <c r="AS140" s="760"/>
    </row>
    <row r="141" spans="1:45" hidden="1" x14ac:dyDescent="0.2">
      <c r="A141" s="760"/>
      <c r="B141" s="760"/>
      <c r="C141" s="760"/>
      <c r="D141" s="760"/>
      <c r="E141" s="760"/>
      <c r="F141" s="760"/>
      <c r="G141" s="760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888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154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  <c r="AR141" s="760"/>
      <c r="AS141" s="760"/>
    </row>
    <row r="142" spans="1:45" hidden="1" x14ac:dyDescent="0.2">
      <c r="A142" s="760"/>
      <c r="B142" s="760"/>
      <c r="C142" s="760"/>
      <c r="D142" s="760"/>
      <c r="E142" s="760"/>
      <c r="F142" s="760"/>
      <c r="G142" s="760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888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154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  <c r="AR142" s="760"/>
      <c r="AS142" s="760"/>
    </row>
    <row r="143" spans="1:45" hidden="1" x14ac:dyDescent="0.2">
      <c r="A143" s="760"/>
      <c r="B143" s="760"/>
      <c r="C143" s="760"/>
      <c r="D143" s="760"/>
      <c r="E143" s="760"/>
      <c r="F143" s="760"/>
      <c r="G143" s="760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888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154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  <c r="AR143" s="760"/>
      <c r="AS143" s="760"/>
    </row>
    <row r="144" spans="1:45" hidden="1" x14ac:dyDescent="0.2">
      <c r="A144" s="760"/>
      <c r="B144" s="760"/>
      <c r="C144" s="760"/>
      <c r="D144" s="760"/>
      <c r="E144" s="760"/>
      <c r="F144" s="760"/>
      <c r="G144" s="760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888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154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  <c r="AR144" s="760"/>
      <c r="AS144" s="760"/>
    </row>
    <row r="145" spans="1:45" hidden="1" x14ac:dyDescent="0.2">
      <c r="A145" s="760"/>
      <c r="B145" s="760"/>
      <c r="C145" s="760"/>
      <c r="D145" s="760"/>
      <c r="E145" s="760"/>
      <c r="F145" s="760"/>
      <c r="G145" s="760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888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154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  <c r="AR145" s="760"/>
      <c r="AS145" s="760"/>
    </row>
    <row r="146" spans="1:45" hidden="1" x14ac:dyDescent="0.2">
      <c r="A146" s="760"/>
      <c r="B146" s="760"/>
      <c r="C146" s="760"/>
      <c r="D146" s="760"/>
      <c r="E146" s="760"/>
      <c r="F146" s="760"/>
      <c r="G146" s="760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888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154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  <c r="AR146" s="760"/>
      <c r="AS146" s="760"/>
    </row>
    <row r="147" spans="1:45" hidden="1" x14ac:dyDescent="0.2">
      <c r="A147" s="760"/>
      <c r="B147" s="760"/>
      <c r="C147" s="760"/>
      <c r="D147" s="760"/>
      <c r="E147" s="760"/>
      <c r="F147" s="760"/>
      <c r="G147" s="760"/>
      <c r="H147" s="760"/>
      <c r="I147" s="760"/>
      <c r="J147" s="760"/>
      <c r="K147" s="760"/>
      <c r="L147" s="880"/>
      <c r="M147" s="880"/>
      <c r="N147" s="880"/>
      <c r="O147" s="760"/>
      <c r="P147" s="760"/>
      <c r="Q147" s="760"/>
      <c r="R147" s="760"/>
      <c r="S147" s="760"/>
      <c r="T147" s="880"/>
      <c r="U147" s="880"/>
      <c r="V147" s="880"/>
      <c r="W147" s="88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154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  <c r="AR147" s="760"/>
      <c r="AS147" s="760"/>
    </row>
    <row r="148" spans="1:45" hidden="1" x14ac:dyDescent="0.2">
      <c r="A148" s="760"/>
      <c r="B148" s="760"/>
      <c r="C148" s="760"/>
      <c r="D148" s="760"/>
      <c r="E148" s="760"/>
      <c r="F148" s="760"/>
      <c r="G148" s="760"/>
      <c r="H148" s="760"/>
      <c r="I148" s="760"/>
      <c r="J148" s="760"/>
      <c r="K148" s="760"/>
      <c r="L148" s="880"/>
      <c r="M148" s="880"/>
      <c r="N148" s="880"/>
      <c r="O148" s="760"/>
      <c r="P148" s="760"/>
      <c r="Q148" s="760"/>
      <c r="R148" s="760"/>
      <c r="S148" s="760"/>
      <c r="T148" s="880"/>
      <c r="U148" s="880"/>
      <c r="V148" s="880"/>
      <c r="W148" s="88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154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  <c r="AR148" s="760"/>
      <c r="AS148" s="760"/>
    </row>
    <row r="149" spans="1:45" hidden="1" x14ac:dyDescent="0.2">
      <c r="A149" s="760"/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880"/>
      <c r="M149" s="880"/>
      <c r="N149" s="880"/>
      <c r="O149" s="760"/>
      <c r="P149" s="760"/>
      <c r="Q149" s="760"/>
      <c r="R149" s="760"/>
      <c r="S149" s="760"/>
      <c r="T149" s="880"/>
      <c r="U149" s="880"/>
      <c r="V149" s="880"/>
      <c r="W149" s="88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154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  <c r="AR149" s="760"/>
      <c r="AS149" s="760"/>
    </row>
    <row r="150" spans="1:45" hidden="1" x14ac:dyDescent="0.2">
      <c r="A150" s="760"/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880"/>
      <c r="M150" s="880"/>
      <c r="N150" s="880"/>
      <c r="O150" s="760"/>
      <c r="P150" s="760"/>
      <c r="Q150" s="760"/>
      <c r="R150" s="760"/>
      <c r="S150" s="760"/>
      <c r="T150" s="880"/>
      <c r="U150" s="880"/>
      <c r="V150" s="880"/>
      <c r="W150" s="88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154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  <c r="AR150" s="760"/>
      <c r="AS150" s="760"/>
    </row>
    <row r="151" spans="1:45" hidden="1" x14ac:dyDescent="0.2">
      <c r="A151" s="760"/>
      <c r="B151" s="760"/>
      <c r="C151" s="760"/>
      <c r="D151" s="760"/>
      <c r="E151" s="760"/>
      <c r="F151" s="760"/>
      <c r="G151" s="760"/>
      <c r="H151" s="760"/>
      <c r="I151" s="760"/>
      <c r="J151" s="760"/>
      <c r="K151" s="760"/>
      <c r="L151" s="880"/>
      <c r="M151" s="880"/>
      <c r="N151" s="880"/>
      <c r="O151" s="760"/>
      <c r="P151" s="760"/>
      <c r="Q151" s="760"/>
      <c r="R151" s="760"/>
      <c r="S151" s="760"/>
      <c r="T151" s="880"/>
      <c r="U151" s="880"/>
      <c r="V151" s="880"/>
      <c r="W151" s="88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154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  <c r="AR151" s="760"/>
      <c r="AS151" s="760"/>
    </row>
    <row r="152" spans="1:45" hidden="1" x14ac:dyDescent="0.2">
      <c r="A152" s="760"/>
      <c r="B152" s="760"/>
      <c r="C152" s="760"/>
      <c r="D152" s="760"/>
      <c r="E152" s="760"/>
      <c r="F152" s="760"/>
      <c r="G152" s="760"/>
      <c r="H152" s="760"/>
      <c r="I152" s="760"/>
      <c r="J152" s="760"/>
      <c r="K152" s="760"/>
      <c r="L152" s="880"/>
      <c r="M152" s="880"/>
      <c r="N152" s="880"/>
      <c r="O152" s="760"/>
      <c r="P152" s="760"/>
      <c r="Q152" s="760"/>
      <c r="R152" s="760"/>
      <c r="S152" s="760"/>
      <c r="T152" s="880"/>
      <c r="U152" s="880"/>
      <c r="V152" s="880"/>
      <c r="W152" s="88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154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</row>
    <row r="153" spans="1:45" hidden="1" x14ac:dyDescent="0.2">
      <c r="A153" s="760"/>
      <c r="B153" s="760"/>
      <c r="C153" s="760"/>
      <c r="D153" s="760"/>
      <c r="E153" s="760"/>
      <c r="F153" s="760"/>
      <c r="G153" s="760"/>
      <c r="H153" s="760"/>
      <c r="I153" s="760"/>
      <c r="J153" s="760"/>
      <c r="K153" s="760"/>
      <c r="L153" s="880"/>
      <c r="M153" s="880"/>
      <c r="N153" s="880"/>
      <c r="O153" s="760"/>
      <c r="P153" s="760"/>
      <c r="Q153" s="760"/>
      <c r="R153" s="760"/>
      <c r="S153" s="760"/>
      <c r="T153" s="880"/>
      <c r="U153" s="880"/>
      <c r="V153" s="880"/>
      <c r="W153" s="88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154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  <c r="AR153" s="760"/>
      <c r="AS153" s="760"/>
    </row>
    <row r="154" spans="1:45" hidden="1" x14ac:dyDescent="0.2">
      <c r="A154" s="760"/>
      <c r="B154" s="760"/>
      <c r="C154" s="760"/>
      <c r="D154" s="760"/>
      <c r="E154" s="760"/>
      <c r="F154" s="760"/>
      <c r="G154" s="760"/>
      <c r="H154" s="760"/>
      <c r="I154" s="760"/>
      <c r="J154" s="760"/>
      <c r="K154" s="760"/>
      <c r="L154" s="880"/>
      <c r="M154" s="880"/>
      <c r="N154" s="880"/>
      <c r="O154" s="760"/>
      <c r="P154" s="760"/>
      <c r="Q154" s="760"/>
      <c r="R154" s="760"/>
      <c r="S154" s="760"/>
      <c r="T154" s="880"/>
      <c r="U154" s="880"/>
      <c r="V154" s="880"/>
      <c r="W154" s="88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154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  <c r="AR154" s="760"/>
      <c r="AS154" s="760"/>
    </row>
    <row r="155" spans="1:45" hidden="1" x14ac:dyDescent="0.2">
      <c r="A155" s="760"/>
      <c r="B155" s="760"/>
      <c r="C155" s="760"/>
      <c r="D155" s="760"/>
      <c r="E155" s="760"/>
      <c r="F155" s="760"/>
      <c r="G155" s="760"/>
      <c r="H155" s="760"/>
      <c r="I155" s="760"/>
      <c r="J155" s="760"/>
      <c r="K155" s="760"/>
      <c r="L155" s="880"/>
      <c r="M155" s="880"/>
      <c r="N155" s="880"/>
      <c r="O155" s="760"/>
      <c r="P155" s="760"/>
      <c r="Q155" s="760"/>
      <c r="R155" s="760"/>
      <c r="S155" s="760"/>
      <c r="T155" s="880"/>
      <c r="U155" s="880"/>
      <c r="V155" s="880"/>
      <c r="W155" s="88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154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  <c r="AR155" s="760"/>
      <c r="AS155" s="760"/>
    </row>
    <row r="156" spans="1:45" hidden="1" x14ac:dyDescent="0.2">
      <c r="A156" s="760"/>
      <c r="B156" s="760"/>
      <c r="C156" s="760"/>
      <c r="D156" s="760"/>
      <c r="E156" s="760"/>
      <c r="F156" s="760"/>
      <c r="G156" s="760"/>
      <c r="H156" s="760"/>
      <c r="I156" s="760"/>
      <c r="J156" s="760"/>
      <c r="K156" s="760"/>
      <c r="L156" s="880"/>
      <c r="M156" s="880"/>
      <c r="N156" s="880"/>
      <c r="O156" s="760"/>
      <c r="P156" s="760"/>
      <c r="Q156" s="760"/>
      <c r="R156" s="760"/>
      <c r="S156" s="760"/>
      <c r="T156" s="880"/>
      <c r="U156" s="880"/>
      <c r="V156" s="880"/>
      <c r="W156" s="88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154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  <c r="AR156" s="760"/>
      <c r="AS156" s="760"/>
    </row>
    <row r="157" spans="1:45" hidden="1" x14ac:dyDescent="0.2">
      <c r="A157" s="760"/>
      <c r="B157" s="760"/>
      <c r="C157" s="760"/>
      <c r="D157" s="760"/>
      <c r="E157" s="760"/>
      <c r="F157" s="760"/>
      <c r="G157" s="760"/>
      <c r="H157" s="760"/>
      <c r="I157" s="760"/>
      <c r="J157" s="760"/>
      <c r="K157" s="760"/>
      <c r="L157" s="880"/>
      <c r="M157" s="880"/>
      <c r="N157" s="880"/>
      <c r="O157" s="760"/>
      <c r="P157" s="760"/>
      <c r="Q157" s="760"/>
      <c r="R157" s="760"/>
      <c r="S157" s="760"/>
      <c r="T157" s="880"/>
      <c r="U157" s="880"/>
      <c r="V157" s="880"/>
      <c r="W157" s="88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154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  <c r="AR157" s="760"/>
      <c r="AS157" s="760"/>
    </row>
    <row r="158" spans="1:45" hidden="1" x14ac:dyDescent="0.2">
      <c r="A158" s="760"/>
      <c r="B158" s="760"/>
      <c r="C158" s="760"/>
      <c r="D158" s="760"/>
      <c r="E158" s="760"/>
      <c r="F158" s="760"/>
      <c r="G158" s="760"/>
      <c r="H158" s="760"/>
      <c r="I158" s="760"/>
      <c r="J158" s="760"/>
      <c r="K158" s="760"/>
      <c r="L158" s="880"/>
      <c r="M158" s="880"/>
      <c r="N158" s="880"/>
      <c r="O158" s="760"/>
      <c r="P158" s="760"/>
      <c r="Q158" s="760"/>
      <c r="R158" s="760"/>
      <c r="S158" s="760"/>
      <c r="T158" s="880"/>
      <c r="U158" s="880"/>
      <c r="V158" s="880"/>
      <c r="W158" s="88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154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  <c r="AR158" s="760"/>
      <c r="AS158" s="760"/>
    </row>
    <row r="159" spans="1:45" hidden="1" x14ac:dyDescent="0.2">
      <c r="A159" s="760"/>
      <c r="B159" s="760"/>
      <c r="C159" s="760"/>
      <c r="D159" s="760"/>
      <c r="E159" s="760"/>
      <c r="F159" s="760"/>
      <c r="G159" s="760"/>
      <c r="H159" s="760"/>
      <c r="I159" s="760"/>
      <c r="J159" s="760"/>
      <c r="K159" s="760"/>
      <c r="L159" s="880"/>
      <c r="M159" s="880"/>
      <c r="N159" s="880"/>
      <c r="O159" s="760"/>
      <c r="P159" s="760"/>
      <c r="Q159" s="760"/>
      <c r="R159" s="760"/>
      <c r="S159" s="760"/>
      <c r="T159" s="880"/>
      <c r="U159" s="880"/>
      <c r="V159" s="880"/>
      <c r="W159" s="88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154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  <c r="AR159" s="760"/>
      <c r="AS159" s="760"/>
    </row>
    <row r="160" spans="1:45" hidden="1" x14ac:dyDescent="0.2">
      <c r="A160" s="760"/>
      <c r="B160" s="760"/>
      <c r="C160" s="760"/>
      <c r="D160" s="760"/>
      <c r="E160" s="760"/>
      <c r="F160" s="760"/>
      <c r="G160" s="760"/>
      <c r="H160" s="760"/>
      <c r="I160" s="760"/>
      <c r="J160" s="760"/>
      <c r="K160" s="760"/>
      <c r="L160" s="880"/>
      <c r="M160" s="880"/>
      <c r="N160" s="880"/>
      <c r="O160" s="760"/>
      <c r="P160" s="760"/>
      <c r="Q160" s="760"/>
      <c r="R160" s="760"/>
      <c r="S160" s="760"/>
      <c r="T160" s="880"/>
      <c r="U160" s="880"/>
      <c r="V160" s="880"/>
      <c r="W160" s="88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154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  <c r="AR160" s="760"/>
      <c r="AS160" s="760"/>
    </row>
    <row r="161" spans="1:45" hidden="1" x14ac:dyDescent="0.2">
      <c r="A161" s="760"/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880"/>
      <c r="M161" s="880"/>
      <c r="N161" s="880"/>
      <c r="O161" s="760"/>
      <c r="P161" s="760"/>
      <c r="Q161" s="760"/>
      <c r="R161" s="760"/>
      <c r="S161" s="760"/>
      <c r="T161" s="880"/>
      <c r="U161" s="880"/>
      <c r="V161" s="880"/>
      <c r="W161" s="88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154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  <c r="AR161" s="760"/>
      <c r="AS161" s="760"/>
    </row>
    <row r="162" spans="1:45" hidden="1" x14ac:dyDescent="0.2">
      <c r="A162" s="760"/>
      <c r="B162" s="760"/>
      <c r="C162" s="760"/>
      <c r="D162" s="760"/>
      <c r="E162" s="760"/>
      <c r="F162" s="760"/>
      <c r="G162" s="760"/>
      <c r="H162" s="760"/>
      <c r="I162" s="760"/>
      <c r="J162" s="760"/>
      <c r="K162" s="760"/>
      <c r="L162" s="880"/>
      <c r="M162" s="880"/>
      <c r="N162" s="880"/>
      <c r="O162" s="760"/>
      <c r="P162" s="760"/>
      <c r="Q162" s="760"/>
      <c r="R162" s="760"/>
      <c r="S162" s="760"/>
      <c r="T162" s="880"/>
      <c r="U162" s="880"/>
      <c r="V162" s="880"/>
      <c r="W162" s="88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154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  <c r="AR162" s="760"/>
      <c r="AS162" s="760"/>
    </row>
    <row r="163" spans="1:45" hidden="1" x14ac:dyDescent="0.2">
      <c r="A163" s="760"/>
      <c r="B163" s="760"/>
      <c r="C163" s="760"/>
      <c r="D163" s="760"/>
      <c r="E163" s="760"/>
      <c r="F163" s="760"/>
      <c r="G163" s="760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154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  <c r="AR163" s="760"/>
      <c r="AS163" s="760"/>
    </row>
    <row r="164" spans="1:45" hidden="1" x14ac:dyDescent="0.2">
      <c r="A164" s="760"/>
      <c r="B164" s="760"/>
      <c r="C164" s="760"/>
      <c r="D164" s="760"/>
      <c r="E164" s="760"/>
      <c r="F164" s="760"/>
      <c r="G164" s="760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154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  <c r="AR164" s="760"/>
      <c r="AS164" s="760"/>
    </row>
    <row r="165" spans="1:45" hidden="1" x14ac:dyDescent="0.2">
      <c r="A165" s="760"/>
      <c r="B165" s="760"/>
      <c r="C165" s="760"/>
      <c r="D165" s="760"/>
      <c r="E165" s="760"/>
      <c r="F165" s="760"/>
      <c r="G165" s="760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154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  <c r="AR165" s="760"/>
      <c r="AS165" s="760"/>
    </row>
    <row r="166" spans="1:45" hidden="1" x14ac:dyDescent="0.2">
      <c r="A166" s="760"/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154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  <c r="AR166" s="760"/>
      <c r="AS166" s="760"/>
    </row>
    <row r="167" spans="1:45" hidden="1" x14ac:dyDescent="0.2">
      <c r="A167" s="760"/>
      <c r="B167" s="760"/>
      <c r="C167" s="760"/>
      <c r="D167" s="760"/>
      <c r="E167" s="760"/>
      <c r="F167" s="760"/>
      <c r="G167" s="760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154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  <c r="AR167" s="760"/>
      <c r="AS167" s="760"/>
    </row>
    <row r="168" spans="1:45" hidden="1" x14ac:dyDescent="0.2">
      <c r="A168" s="760"/>
      <c r="B168" s="760"/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154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  <c r="AR168" s="760"/>
      <c r="AS168" s="760"/>
    </row>
    <row r="169" spans="1:45" hidden="1" x14ac:dyDescent="0.2">
      <c r="A169" s="760"/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154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  <c r="AR169" s="760"/>
      <c r="AS169" s="760"/>
    </row>
    <row r="170" spans="1:45" hidden="1" x14ac:dyDescent="0.2">
      <c r="A170" s="760"/>
      <c r="B170" s="760"/>
      <c r="C170" s="760"/>
      <c r="D170" s="760"/>
      <c r="E170" s="760"/>
      <c r="F170" s="760"/>
      <c r="G170" s="760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154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  <c r="AR170" s="760"/>
      <c r="AS170" s="760"/>
    </row>
    <row r="171" spans="1:45" hidden="1" x14ac:dyDescent="0.2">
      <c r="A171" s="760"/>
      <c r="B171" s="760"/>
      <c r="C171" s="760"/>
      <c r="D171" s="760"/>
      <c r="E171" s="760"/>
      <c r="F171" s="760"/>
      <c r="G171" s="760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154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  <c r="AR171" s="760"/>
      <c r="AS171" s="760"/>
    </row>
    <row r="172" spans="1:45" hidden="1" x14ac:dyDescent="0.2">
      <c r="A172" s="760"/>
      <c r="B172" s="760"/>
      <c r="C172" s="760"/>
      <c r="D172" s="760"/>
      <c r="E172" s="760"/>
      <c r="F172" s="760"/>
      <c r="G172" s="760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154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  <c r="AR172" s="760"/>
      <c r="AS172" s="760"/>
    </row>
    <row r="173" spans="1:45" hidden="1" x14ac:dyDescent="0.2">
      <c r="A173" s="760"/>
      <c r="B173" s="760"/>
      <c r="C173" s="760"/>
      <c r="D173" s="760"/>
      <c r="E173" s="760"/>
      <c r="F173" s="760"/>
      <c r="G173" s="760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154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  <c r="AR173" s="760"/>
      <c r="AS173" s="760"/>
    </row>
    <row r="174" spans="1:45" hidden="1" x14ac:dyDescent="0.2">
      <c r="A174" s="760"/>
      <c r="B174" s="760"/>
      <c r="C174" s="760"/>
      <c r="D174" s="760"/>
      <c r="E174" s="760"/>
      <c r="F174" s="760"/>
      <c r="G174" s="760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154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  <c r="AR174" s="760"/>
      <c r="AS174" s="760"/>
    </row>
    <row r="175" spans="1:45" hidden="1" x14ac:dyDescent="0.2">
      <c r="A175" s="760"/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154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  <c r="AR175" s="760"/>
      <c r="AS175" s="760"/>
    </row>
    <row r="176" spans="1:45" hidden="1" x14ac:dyDescent="0.2">
      <c r="A176" s="760"/>
      <c r="B176" s="760"/>
      <c r="C176" s="760"/>
      <c r="D176" s="760"/>
      <c r="E176" s="760"/>
      <c r="F176" s="760"/>
      <c r="G176" s="760"/>
      <c r="H176" s="760"/>
      <c r="I176" s="760"/>
      <c r="J176" s="760"/>
      <c r="K176" s="760"/>
      <c r="L176" s="880"/>
      <c r="M176" s="880"/>
      <c r="N176" s="880"/>
      <c r="O176" s="760"/>
      <c r="P176" s="760"/>
      <c r="Q176" s="760"/>
      <c r="R176" s="760"/>
      <c r="S176" s="760"/>
      <c r="T176" s="880"/>
      <c r="U176" s="880"/>
      <c r="V176" s="880"/>
      <c r="W176" s="88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154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  <c r="AR176" s="760"/>
      <c r="AS176" s="760"/>
    </row>
    <row r="177" spans="1:45" hidden="1" x14ac:dyDescent="0.2">
      <c r="A177" s="760"/>
      <c r="B177" s="760"/>
      <c r="C177" s="760"/>
      <c r="D177" s="760"/>
      <c r="E177" s="760"/>
      <c r="F177" s="760"/>
      <c r="G177" s="760"/>
      <c r="H177" s="760"/>
      <c r="I177" s="760"/>
      <c r="J177" s="760"/>
      <c r="K177" s="760"/>
      <c r="L177" s="880"/>
      <c r="M177" s="880"/>
      <c r="N177" s="880"/>
      <c r="O177" s="760"/>
      <c r="P177" s="760"/>
      <c r="Q177" s="760"/>
      <c r="R177" s="760"/>
      <c r="S177" s="760"/>
      <c r="T177" s="880"/>
      <c r="U177" s="880"/>
      <c r="V177" s="880"/>
      <c r="W177" s="88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154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  <c r="AR177" s="760"/>
      <c r="AS177" s="760"/>
    </row>
    <row r="178" spans="1:45" hidden="1" x14ac:dyDescent="0.2">
      <c r="A178" s="760"/>
      <c r="B178" s="760"/>
      <c r="C178" s="760"/>
      <c r="D178" s="760"/>
      <c r="E178" s="760"/>
      <c r="F178" s="760"/>
      <c r="G178" s="760"/>
      <c r="H178" s="760"/>
      <c r="I178" s="760"/>
      <c r="J178" s="760"/>
      <c r="K178" s="760"/>
      <c r="L178" s="880"/>
      <c r="M178" s="880"/>
      <c r="N178" s="880"/>
      <c r="O178" s="760"/>
      <c r="P178" s="760"/>
      <c r="Q178" s="760"/>
      <c r="R178" s="760"/>
      <c r="S178" s="760"/>
      <c r="T178" s="880"/>
      <c r="U178" s="880"/>
      <c r="V178" s="880"/>
      <c r="W178" s="88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154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  <c r="AR178" s="760"/>
      <c r="AS178" s="760"/>
    </row>
    <row r="179" spans="1:45" hidden="1" x14ac:dyDescent="0.2">
      <c r="A179" s="760"/>
      <c r="B179" s="760"/>
      <c r="C179" s="760"/>
      <c r="D179" s="760"/>
      <c r="E179" s="760"/>
      <c r="F179" s="760"/>
      <c r="G179" s="760"/>
      <c r="H179" s="760"/>
      <c r="I179" s="760"/>
      <c r="J179" s="760"/>
      <c r="K179" s="760"/>
      <c r="L179" s="880"/>
      <c r="M179" s="880"/>
      <c r="N179" s="880"/>
      <c r="O179" s="760"/>
      <c r="P179" s="760"/>
      <c r="Q179" s="760"/>
      <c r="R179" s="760"/>
      <c r="S179" s="760"/>
      <c r="T179" s="880"/>
      <c r="U179" s="880"/>
      <c r="V179" s="880"/>
      <c r="W179" s="88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154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  <c r="AR179" s="760"/>
      <c r="AS179" s="760"/>
    </row>
    <row r="180" spans="1:45" hidden="1" x14ac:dyDescent="0.2">
      <c r="A180" s="760"/>
      <c r="B180" s="760"/>
      <c r="C180" s="760"/>
      <c r="D180" s="760"/>
      <c r="E180" s="760"/>
      <c r="F180" s="760"/>
      <c r="G180" s="760"/>
      <c r="H180" s="760"/>
      <c r="I180" s="760"/>
      <c r="J180" s="760"/>
      <c r="K180" s="760"/>
      <c r="L180" s="880"/>
      <c r="M180" s="880"/>
      <c r="N180" s="880"/>
      <c r="O180" s="760"/>
      <c r="P180" s="760"/>
      <c r="Q180" s="760"/>
      <c r="R180" s="760"/>
      <c r="S180" s="760"/>
      <c r="T180" s="880"/>
      <c r="U180" s="880"/>
      <c r="V180" s="880"/>
      <c r="W180" s="88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154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  <c r="AR180" s="760"/>
      <c r="AS180" s="760"/>
    </row>
    <row r="181" spans="1:45" hidden="1" x14ac:dyDescent="0.2">
      <c r="A181" s="760"/>
      <c r="B181" s="760"/>
      <c r="C181" s="760"/>
      <c r="D181" s="760"/>
      <c r="E181" s="760"/>
      <c r="F181" s="760"/>
      <c r="G181" s="760"/>
      <c r="H181" s="760"/>
      <c r="I181" s="760"/>
      <c r="J181" s="760"/>
      <c r="K181" s="760"/>
      <c r="L181" s="880"/>
      <c r="M181" s="880"/>
      <c r="N181" s="880"/>
      <c r="O181" s="760"/>
      <c r="P181" s="760"/>
      <c r="Q181" s="760"/>
      <c r="R181" s="760"/>
      <c r="S181" s="760"/>
      <c r="T181" s="880"/>
      <c r="U181" s="880"/>
      <c r="V181" s="880"/>
      <c r="W181" s="88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154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  <c r="AR181" s="760"/>
      <c r="AS181" s="760"/>
    </row>
    <row r="182" spans="1:45" hidden="1" x14ac:dyDescent="0.2">
      <c r="A182" s="760"/>
      <c r="B182" s="760"/>
      <c r="C182" s="760"/>
      <c r="D182" s="760"/>
      <c r="E182" s="760"/>
      <c r="F182" s="760"/>
      <c r="G182" s="760"/>
      <c r="H182" s="760"/>
      <c r="I182" s="760"/>
      <c r="J182" s="760"/>
      <c r="K182" s="760"/>
      <c r="L182" s="880"/>
      <c r="M182" s="880"/>
      <c r="N182" s="880"/>
      <c r="O182" s="760"/>
      <c r="P182" s="760"/>
      <c r="Q182" s="760"/>
      <c r="R182" s="760"/>
      <c r="S182" s="760"/>
      <c r="T182" s="880"/>
      <c r="U182" s="880"/>
      <c r="V182" s="880"/>
      <c r="W182" s="88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154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  <c r="AR182" s="760"/>
      <c r="AS182" s="760"/>
    </row>
    <row r="183" spans="1:45" hidden="1" x14ac:dyDescent="0.2">
      <c r="A183" s="760"/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880"/>
      <c r="M183" s="880"/>
      <c r="N183" s="880"/>
      <c r="O183" s="760"/>
      <c r="P183" s="760"/>
      <c r="Q183" s="760"/>
      <c r="R183" s="760"/>
      <c r="S183" s="760"/>
      <c r="T183" s="880"/>
      <c r="U183" s="880"/>
      <c r="V183" s="880"/>
      <c r="W183" s="88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154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  <c r="AR183" s="760"/>
      <c r="AS183" s="760"/>
    </row>
    <row r="184" spans="1:45" hidden="1" x14ac:dyDescent="0.2">
      <c r="A184" s="760"/>
      <c r="B184" s="760"/>
      <c r="C184" s="760"/>
      <c r="D184" s="760"/>
      <c r="E184" s="760"/>
      <c r="F184" s="760"/>
      <c r="G184" s="760"/>
      <c r="H184" s="760"/>
      <c r="I184" s="760"/>
      <c r="J184" s="760"/>
      <c r="K184" s="760"/>
      <c r="L184" s="880"/>
      <c r="M184" s="880"/>
      <c r="N184" s="880"/>
      <c r="O184" s="760"/>
      <c r="P184" s="760"/>
      <c r="Q184" s="760"/>
      <c r="R184" s="760"/>
      <c r="S184" s="760"/>
      <c r="T184" s="880"/>
      <c r="U184" s="880"/>
      <c r="V184" s="880"/>
      <c r="W184" s="88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154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  <c r="AR184" s="760"/>
      <c r="AS184" s="760"/>
    </row>
    <row r="185" spans="1:45" hidden="1" x14ac:dyDescent="0.2">
      <c r="A185" s="760"/>
      <c r="B185" s="760"/>
      <c r="C185" s="760"/>
      <c r="D185" s="760"/>
      <c r="E185" s="760"/>
      <c r="F185" s="760"/>
      <c r="G185" s="760"/>
      <c r="H185" s="760"/>
      <c r="I185" s="760"/>
      <c r="J185" s="760"/>
      <c r="K185" s="760"/>
      <c r="L185" s="880"/>
      <c r="M185" s="880"/>
      <c r="N185" s="880"/>
      <c r="O185" s="760"/>
      <c r="P185" s="760"/>
      <c r="Q185" s="760"/>
      <c r="R185" s="760"/>
      <c r="S185" s="760"/>
      <c r="T185" s="880"/>
      <c r="U185" s="880"/>
      <c r="V185" s="880"/>
      <c r="W185" s="88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154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  <c r="AR185" s="760"/>
      <c r="AS185" s="760"/>
    </row>
    <row r="186" spans="1:45" hidden="1" x14ac:dyDescent="0.2">
      <c r="A186" s="760"/>
      <c r="B186" s="760"/>
      <c r="C186" s="760"/>
      <c r="D186" s="760"/>
      <c r="E186" s="760"/>
      <c r="F186" s="760"/>
      <c r="G186" s="760"/>
      <c r="H186" s="760"/>
      <c r="I186" s="760"/>
      <c r="J186" s="760"/>
      <c r="K186" s="760"/>
      <c r="L186" s="880"/>
      <c r="M186" s="880"/>
      <c r="N186" s="880"/>
      <c r="O186" s="760"/>
      <c r="P186" s="760"/>
      <c r="Q186" s="760"/>
      <c r="R186" s="760"/>
      <c r="S186" s="760"/>
      <c r="T186" s="880"/>
      <c r="U186" s="880"/>
      <c r="V186" s="880"/>
      <c r="W186" s="88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154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  <c r="AR186" s="760"/>
      <c r="AS186" s="760"/>
    </row>
    <row r="187" spans="1:45" hidden="1" x14ac:dyDescent="0.2">
      <c r="A187" s="760"/>
      <c r="B187" s="760"/>
      <c r="C187" s="760"/>
      <c r="D187" s="760"/>
      <c r="E187" s="760"/>
      <c r="F187" s="760"/>
      <c r="G187" s="760"/>
      <c r="H187" s="760"/>
      <c r="I187" s="760"/>
      <c r="J187" s="760"/>
      <c r="K187" s="760"/>
      <c r="L187" s="880"/>
      <c r="M187" s="880"/>
      <c r="N187" s="880"/>
      <c r="O187" s="760"/>
      <c r="P187" s="760"/>
      <c r="Q187" s="760"/>
      <c r="R187" s="760"/>
      <c r="S187" s="760"/>
      <c r="T187" s="880"/>
      <c r="U187" s="880"/>
      <c r="V187" s="880"/>
      <c r="W187" s="88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154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  <c r="AR187" s="760"/>
      <c r="AS187" s="760"/>
    </row>
    <row r="188" spans="1:45" hidden="1" x14ac:dyDescent="0.2">
      <c r="A188" s="760"/>
      <c r="B188" s="760"/>
      <c r="C188" s="760"/>
      <c r="D188" s="760"/>
      <c r="E188" s="760"/>
      <c r="F188" s="760"/>
      <c r="G188" s="760"/>
      <c r="H188" s="760"/>
      <c r="I188" s="760"/>
      <c r="J188" s="760"/>
      <c r="K188" s="760"/>
      <c r="L188" s="880"/>
      <c r="M188" s="880"/>
      <c r="N188" s="880"/>
      <c r="O188" s="760"/>
      <c r="P188" s="760"/>
      <c r="Q188" s="760"/>
      <c r="R188" s="760"/>
      <c r="S188" s="760"/>
      <c r="T188" s="880"/>
      <c r="U188" s="880"/>
      <c r="V188" s="880"/>
      <c r="W188" s="88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154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  <c r="AR188" s="760"/>
      <c r="AS188" s="760"/>
    </row>
    <row r="189" spans="1:45" hidden="1" x14ac:dyDescent="0.2">
      <c r="A189" s="760"/>
      <c r="B189" s="760"/>
      <c r="C189" s="760"/>
      <c r="D189" s="760"/>
      <c r="E189" s="760"/>
      <c r="F189" s="760"/>
      <c r="G189" s="760"/>
      <c r="H189" s="760"/>
      <c r="I189" s="760"/>
      <c r="J189" s="760"/>
      <c r="K189" s="760"/>
      <c r="L189" s="880"/>
      <c r="M189" s="880"/>
      <c r="N189" s="880"/>
      <c r="O189" s="760"/>
      <c r="P189" s="760"/>
      <c r="Q189" s="760"/>
      <c r="R189" s="760"/>
      <c r="S189" s="760"/>
      <c r="T189" s="880"/>
      <c r="U189" s="880"/>
      <c r="V189" s="880"/>
      <c r="W189" s="88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154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  <c r="AR189" s="760"/>
      <c r="AS189" s="760"/>
    </row>
    <row r="190" spans="1:45" hidden="1" x14ac:dyDescent="0.2">
      <c r="A190" s="760"/>
      <c r="B190" s="760"/>
      <c r="C190" s="760"/>
      <c r="D190" s="760"/>
      <c r="E190" s="760"/>
      <c r="F190" s="760"/>
      <c r="G190" s="760"/>
      <c r="H190" s="760"/>
      <c r="I190" s="760"/>
      <c r="J190" s="760"/>
      <c r="K190" s="760"/>
      <c r="L190" s="880"/>
      <c r="M190" s="880"/>
      <c r="N190" s="880"/>
      <c r="O190" s="760"/>
      <c r="P190" s="760"/>
      <c r="Q190" s="760"/>
      <c r="R190" s="760"/>
      <c r="S190" s="760"/>
      <c r="T190" s="880"/>
      <c r="U190" s="880"/>
      <c r="V190" s="880"/>
      <c r="W190" s="88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154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  <c r="AR190" s="760"/>
      <c r="AS190" s="760"/>
    </row>
    <row r="191" spans="1:45" hidden="1" x14ac:dyDescent="0.2">
      <c r="A191" s="760"/>
      <c r="B191" s="760"/>
      <c r="C191" s="760"/>
      <c r="D191" s="760"/>
      <c r="E191" s="760"/>
      <c r="F191" s="760"/>
      <c r="G191" s="760"/>
      <c r="H191" s="760"/>
      <c r="I191" s="760"/>
      <c r="J191" s="760"/>
      <c r="K191" s="760"/>
      <c r="L191" s="880"/>
      <c r="M191" s="880"/>
      <c r="N191" s="880"/>
      <c r="O191" s="760"/>
      <c r="P191" s="760"/>
      <c r="Q191" s="760"/>
      <c r="R191" s="760"/>
      <c r="S191" s="760"/>
      <c r="T191" s="880"/>
      <c r="U191" s="880"/>
      <c r="V191" s="880"/>
      <c r="W191" s="88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154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  <c r="AR191" s="760"/>
      <c r="AS191" s="760"/>
    </row>
    <row r="192" spans="1:45" hidden="1" x14ac:dyDescent="0.2">
      <c r="A192" s="760"/>
      <c r="B192" s="760"/>
      <c r="C192" s="760"/>
      <c r="D192" s="760"/>
      <c r="E192" s="760"/>
      <c r="F192" s="760"/>
      <c r="G192" s="760"/>
      <c r="H192" s="760"/>
      <c r="I192" s="760"/>
      <c r="J192" s="760"/>
      <c r="K192" s="760"/>
      <c r="L192" s="880"/>
      <c r="M192" s="880"/>
      <c r="N192" s="880"/>
      <c r="O192" s="760"/>
      <c r="P192" s="760"/>
      <c r="Q192" s="760"/>
      <c r="R192" s="760"/>
      <c r="S192" s="760"/>
      <c r="T192" s="880"/>
      <c r="U192" s="880"/>
      <c r="V192" s="880"/>
      <c r="W192" s="88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154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  <c r="AR192" s="760"/>
      <c r="AS192" s="760"/>
    </row>
    <row r="193" spans="1:45" hidden="1" x14ac:dyDescent="0.2">
      <c r="A193" s="760"/>
      <c r="B193" s="760"/>
      <c r="C193" s="760"/>
      <c r="D193" s="760"/>
      <c r="E193" s="760"/>
      <c r="F193" s="760"/>
      <c r="G193" s="760"/>
      <c r="H193" s="760"/>
      <c r="I193" s="760"/>
      <c r="J193" s="760"/>
      <c r="K193" s="760"/>
      <c r="L193" s="880"/>
      <c r="M193" s="880"/>
      <c r="N193" s="880"/>
      <c r="O193" s="760"/>
      <c r="P193" s="760"/>
      <c r="Q193" s="760"/>
      <c r="R193" s="760"/>
      <c r="S193" s="760"/>
      <c r="T193" s="880"/>
      <c r="U193" s="880"/>
      <c r="V193" s="880"/>
      <c r="W193" s="88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154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  <c r="AR193" s="760"/>
      <c r="AS193" s="760"/>
    </row>
    <row r="194" spans="1:45" hidden="1" x14ac:dyDescent="0.2">
      <c r="A194" s="760"/>
      <c r="B194" s="760"/>
      <c r="C194" s="760"/>
      <c r="D194" s="760"/>
      <c r="E194" s="760"/>
      <c r="F194" s="760"/>
      <c r="G194" s="760"/>
      <c r="H194" s="760"/>
      <c r="I194" s="760"/>
      <c r="J194" s="760"/>
      <c r="K194" s="760"/>
      <c r="L194" s="880"/>
      <c r="M194" s="880"/>
      <c r="N194" s="880"/>
      <c r="O194" s="760"/>
      <c r="P194" s="760"/>
      <c r="Q194" s="760"/>
      <c r="R194" s="760"/>
      <c r="S194" s="760"/>
      <c r="T194" s="880"/>
      <c r="U194" s="880"/>
      <c r="V194" s="880"/>
      <c r="W194" s="88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154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  <c r="AR194" s="760"/>
      <c r="AS194" s="760"/>
    </row>
    <row r="195" spans="1:45" hidden="1" x14ac:dyDescent="0.2">
      <c r="A195" s="760"/>
      <c r="B195" s="760"/>
      <c r="C195" s="760"/>
      <c r="D195" s="760"/>
      <c r="E195" s="760"/>
      <c r="F195" s="760"/>
      <c r="G195" s="760"/>
      <c r="H195" s="760"/>
      <c r="I195" s="760"/>
      <c r="J195" s="760"/>
      <c r="K195" s="760"/>
      <c r="L195" s="880"/>
      <c r="M195" s="880"/>
      <c r="N195" s="880"/>
      <c r="O195" s="760"/>
      <c r="P195" s="760"/>
      <c r="Q195" s="760"/>
      <c r="R195" s="760"/>
      <c r="S195" s="760"/>
      <c r="T195" s="880"/>
      <c r="U195" s="880"/>
      <c r="V195" s="880"/>
      <c r="W195" s="88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154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  <c r="AR195" s="760"/>
      <c r="AS195" s="760"/>
    </row>
    <row r="196" spans="1:45" hidden="1" x14ac:dyDescent="0.2">
      <c r="A196" s="760"/>
      <c r="B196" s="760"/>
      <c r="C196" s="760"/>
      <c r="D196" s="760"/>
      <c r="E196" s="760"/>
      <c r="F196" s="760"/>
      <c r="G196" s="760"/>
      <c r="H196" s="760"/>
      <c r="I196" s="760"/>
      <c r="J196" s="760"/>
      <c r="K196" s="760"/>
      <c r="L196" s="880"/>
      <c r="M196" s="880"/>
      <c r="N196" s="880"/>
      <c r="O196" s="760"/>
      <c r="P196" s="760"/>
      <c r="Q196" s="760"/>
      <c r="R196" s="760"/>
      <c r="S196" s="760"/>
      <c r="T196" s="880"/>
      <c r="U196" s="880"/>
      <c r="V196" s="880"/>
      <c r="W196" s="88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154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  <c r="AR196" s="760"/>
      <c r="AS196" s="760"/>
    </row>
    <row r="197" spans="1:45" hidden="1" x14ac:dyDescent="0.2">
      <c r="A197" s="760"/>
      <c r="B197" s="760"/>
      <c r="C197" s="760"/>
      <c r="D197" s="760"/>
      <c r="E197" s="760"/>
      <c r="F197" s="760"/>
      <c r="G197" s="760"/>
      <c r="H197" s="760"/>
      <c r="I197" s="760"/>
      <c r="J197" s="760"/>
      <c r="K197" s="760"/>
      <c r="L197" s="880"/>
      <c r="M197" s="880"/>
      <c r="N197" s="880"/>
      <c r="O197" s="760"/>
      <c r="P197" s="760"/>
      <c r="Q197" s="760"/>
      <c r="R197" s="760"/>
      <c r="S197" s="760"/>
      <c r="T197" s="880"/>
      <c r="U197" s="880"/>
      <c r="V197" s="880"/>
      <c r="W197" s="88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154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  <c r="AR197" s="760"/>
      <c r="AS197" s="760"/>
    </row>
    <row r="198" spans="1:45" hidden="1" x14ac:dyDescent="0.2">
      <c r="A198" s="760"/>
      <c r="B198" s="760"/>
      <c r="C198" s="760"/>
      <c r="D198" s="760"/>
      <c r="E198" s="760"/>
      <c r="F198" s="760"/>
      <c r="G198" s="760"/>
      <c r="H198" s="760"/>
      <c r="I198" s="760"/>
      <c r="J198" s="760"/>
      <c r="K198" s="760"/>
      <c r="L198" s="880"/>
      <c r="M198" s="880"/>
      <c r="N198" s="880"/>
      <c r="O198" s="760"/>
      <c r="P198" s="760"/>
      <c r="Q198" s="760"/>
      <c r="R198" s="760"/>
      <c r="S198" s="760"/>
      <c r="T198" s="880"/>
      <c r="U198" s="880"/>
      <c r="V198" s="880"/>
      <c r="W198" s="88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154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  <c r="AR198" s="760"/>
      <c r="AS198" s="760"/>
    </row>
    <row r="199" spans="1:45" hidden="1" x14ac:dyDescent="0.2">
      <c r="A199" s="760"/>
      <c r="B199" s="760"/>
      <c r="C199" s="760"/>
      <c r="D199" s="760"/>
      <c r="E199" s="760"/>
      <c r="F199" s="760"/>
      <c r="G199" s="760"/>
      <c r="H199" s="760"/>
      <c r="I199" s="760"/>
      <c r="J199" s="760"/>
      <c r="K199" s="760"/>
      <c r="L199" s="880"/>
      <c r="M199" s="880"/>
      <c r="N199" s="880"/>
      <c r="O199" s="760"/>
      <c r="P199" s="760"/>
      <c r="Q199" s="760"/>
      <c r="R199" s="760"/>
      <c r="S199" s="760"/>
      <c r="T199" s="880"/>
      <c r="U199" s="880"/>
      <c r="V199" s="880"/>
      <c r="W199" s="88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154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  <c r="AR199" s="760"/>
      <c r="AS199" s="760"/>
    </row>
    <row r="200" spans="1:45" hidden="1" x14ac:dyDescent="0.2">
      <c r="A200" s="760"/>
      <c r="B200" s="760"/>
      <c r="C200" s="760"/>
      <c r="D200" s="760"/>
      <c r="E200" s="760"/>
      <c r="F200" s="760"/>
      <c r="G200" s="760"/>
      <c r="H200" s="760"/>
      <c r="I200" s="760"/>
      <c r="J200" s="760"/>
      <c r="K200" s="760"/>
      <c r="L200" s="880"/>
      <c r="M200" s="880"/>
      <c r="N200" s="880"/>
      <c r="O200" s="760"/>
      <c r="P200" s="760"/>
      <c r="Q200" s="760"/>
      <c r="R200" s="760"/>
      <c r="S200" s="760"/>
      <c r="T200" s="880"/>
      <c r="U200" s="880"/>
      <c r="V200" s="880"/>
      <c r="W200" s="88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154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  <c r="AR200" s="760"/>
      <c r="AS200" s="760"/>
    </row>
    <row r="201" spans="1:45" hidden="1" x14ac:dyDescent="0.2">
      <c r="A201" s="760"/>
      <c r="B201" s="760"/>
      <c r="C201" s="760"/>
      <c r="D201" s="760"/>
      <c r="E201" s="760"/>
      <c r="F201" s="760"/>
      <c r="G201" s="760"/>
      <c r="H201" s="760"/>
      <c r="I201" s="760"/>
      <c r="J201" s="760"/>
      <c r="K201" s="760"/>
      <c r="L201" s="880"/>
      <c r="M201" s="880"/>
      <c r="N201" s="880"/>
      <c r="O201" s="760"/>
      <c r="P201" s="760"/>
      <c r="Q201" s="760"/>
      <c r="R201" s="760"/>
      <c r="S201" s="760"/>
      <c r="T201" s="880"/>
      <c r="U201" s="880"/>
      <c r="V201" s="880"/>
      <c r="W201" s="88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154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  <c r="AR201" s="760"/>
      <c r="AS201" s="760"/>
    </row>
    <row r="202" spans="1:45" hidden="1" x14ac:dyDescent="0.2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880"/>
      <c r="M202" s="880"/>
      <c r="N202" s="880"/>
      <c r="O202" s="760"/>
      <c r="P202" s="760"/>
      <c r="Q202" s="760"/>
      <c r="R202" s="760"/>
      <c r="S202" s="760"/>
      <c r="T202" s="880"/>
      <c r="U202" s="880"/>
      <c r="V202" s="880"/>
      <c r="W202" s="88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154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  <c r="AR202" s="760"/>
      <c r="AS202" s="760"/>
    </row>
    <row r="203" spans="1:45" hidden="1" x14ac:dyDescent="0.2">
      <c r="A203" s="760"/>
      <c r="B203" s="760"/>
      <c r="C203" s="760"/>
      <c r="D203" s="760"/>
      <c r="E203" s="760"/>
      <c r="F203" s="760"/>
      <c r="G203" s="760"/>
      <c r="H203" s="760"/>
      <c r="I203" s="760"/>
      <c r="J203" s="760"/>
      <c r="K203" s="760"/>
      <c r="L203" s="880"/>
      <c r="M203" s="880"/>
      <c r="N203" s="880"/>
      <c r="O203" s="760"/>
      <c r="P203" s="760"/>
      <c r="Q203" s="760"/>
      <c r="R203" s="760"/>
      <c r="S203" s="760"/>
      <c r="T203" s="880"/>
      <c r="U203" s="880"/>
      <c r="V203" s="880"/>
      <c r="W203" s="88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154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  <c r="AR203" s="760"/>
      <c r="AS203" s="760"/>
    </row>
    <row r="204" spans="1:45" hidden="1" x14ac:dyDescent="0.2">
      <c r="A204" s="760"/>
      <c r="B204" s="760"/>
      <c r="C204" s="760"/>
      <c r="D204" s="760"/>
      <c r="E204" s="760"/>
      <c r="F204" s="760"/>
      <c r="G204" s="760"/>
      <c r="H204" s="760"/>
      <c r="I204" s="760"/>
      <c r="J204" s="760"/>
      <c r="K204" s="760"/>
      <c r="L204" s="880"/>
      <c r="M204" s="880"/>
      <c r="N204" s="880"/>
      <c r="O204" s="760"/>
      <c r="P204" s="760"/>
      <c r="Q204" s="760"/>
      <c r="R204" s="760"/>
      <c r="S204" s="760"/>
      <c r="T204" s="880"/>
      <c r="U204" s="880"/>
      <c r="V204" s="880"/>
      <c r="W204" s="88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154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  <c r="AR204" s="760"/>
      <c r="AS204" s="760"/>
    </row>
    <row r="205" spans="1:45" hidden="1" x14ac:dyDescent="0.2">
      <c r="A205" s="760"/>
      <c r="B205" s="760"/>
      <c r="C205" s="760"/>
      <c r="D205" s="760"/>
      <c r="E205" s="760"/>
      <c r="F205" s="760"/>
      <c r="G205" s="760"/>
      <c r="H205" s="760"/>
      <c r="I205" s="760"/>
      <c r="J205" s="760"/>
      <c r="K205" s="760"/>
      <c r="L205" s="880"/>
      <c r="M205" s="880"/>
      <c r="N205" s="880"/>
      <c r="O205" s="760"/>
      <c r="P205" s="760"/>
      <c r="Q205" s="760"/>
      <c r="R205" s="760"/>
      <c r="S205" s="760"/>
      <c r="T205" s="880"/>
      <c r="U205" s="880"/>
      <c r="V205" s="880"/>
      <c r="W205" s="88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154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  <c r="AR205" s="760"/>
      <c r="AS205" s="760"/>
    </row>
    <row r="206" spans="1:45" hidden="1" x14ac:dyDescent="0.2">
      <c r="A206" s="760"/>
      <c r="B206" s="760"/>
      <c r="C206" s="760"/>
      <c r="D206" s="760"/>
      <c r="E206" s="760"/>
      <c r="F206" s="760"/>
      <c r="G206" s="760"/>
      <c r="H206" s="760"/>
      <c r="I206" s="760"/>
      <c r="J206" s="760"/>
      <c r="K206" s="760"/>
      <c r="L206" s="880"/>
      <c r="M206" s="880"/>
      <c r="N206" s="880"/>
      <c r="O206" s="760"/>
      <c r="P206" s="760"/>
      <c r="Q206" s="760"/>
      <c r="R206" s="760"/>
      <c r="S206" s="760"/>
      <c r="T206" s="880"/>
      <c r="U206" s="880"/>
      <c r="V206" s="880"/>
      <c r="W206" s="88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154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  <c r="AR206" s="760"/>
      <c r="AS206" s="760"/>
    </row>
    <row r="207" spans="1:45" hidden="1" x14ac:dyDescent="0.2">
      <c r="A207" s="760"/>
      <c r="B207" s="760"/>
      <c r="C207" s="760"/>
      <c r="D207" s="760"/>
      <c r="E207" s="760"/>
      <c r="F207" s="760"/>
      <c r="G207" s="760"/>
      <c r="H207" s="760"/>
      <c r="I207" s="760"/>
      <c r="J207" s="760"/>
      <c r="K207" s="760"/>
      <c r="L207" s="880"/>
      <c r="M207" s="880"/>
      <c r="N207" s="880"/>
      <c r="O207" s="760"/>
      <c r="P207" s="760"/>
      <c r="Q207" s="760"/>
      <c r="R207" s="760"/>
      <c r="S207" s="760"/>
      <c r="T207" s="880"/>
      <c r="U207" s="880"/>
      <c r="V207" s="880"/>
      <c r="W207" s="88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154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  <c r="AR207" s="760"/>
      <c r="AS207" s="760"/>
    </row>
    <row r="208" spans="1:45" hidden="1" x14ac:dyDescent="0.2">
      <c r="A208" s="760"/>
      <c r="B208" s="760"/>
      <c r="C208" s="760"/>
      <c r="D208" s="760"/>
      <c r="E208" s="760"/>
      <c r="F208" s="760"/>
      <c r="G208" s="760"/>
      <c r="H208" s="760"/>
      <c r="I208" s="760"/>
      <c r="J208" s="760"/>
      <c r="K208" s="760"/>
      <c r="L208" s="880"/>
      <c r="M208" s="880"/>
      <c r="N208" s="880"/>
      <c r="O208" s="760"/>
      <c r="P208" s="760"/>
      <c r="Q208" s="760"/>
      <c r="R208" s="760"/>
      <c r="S208" s="760"/>
      <c r="T208" s="880"/>
      <c r="U208" s="880"/>
      <c r="V208" s="880"/>
      <c r="W208" s="88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154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  <c r="AR208" s="760"/>
      <c r="AS208" s="760"/>
    </row>
    <row r="209" spans="1:45" hidden="1" x14ac:dyDescent="0.2">
      <c r="A209" s="760"/>
      <c r="B209" s="760"/>
      <c r="C209" s="760"/>
      <c r="D209" s="760"/>
      <c r="E209" s="760"/>
      <c r="F209" s="760"/>
      <c r="G209" s="760"/>
      <c r="H209" s="760"/>
      <c r="I209" s="760"/>
      <c r="J209" s="760"/>
      <c r="K209" s="760"/>
      <c r="L209" s="880"/>
      <c r="M209" s="880"/>
      <c r="N209" s="880"/>
      <c r="O209" s="760"/>
      <c r="P209" s="760"/>
      <c r="Q209" s="760"/>
      <c r="R209" s="760"/>
      <c r="S209" s="760"/>
      <c r="T209" s="880"/>
      <c r="U209" s="880"/>
      <c r="V209" s="880"/>
      <c r="W209" s="88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154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  <c r="AR209" s="760"/>
      <c r="AS209" s="760"/>
    </row>
    <row r="210" spans="1:45" hidden="1" x14ac:dyDescent="0.2">
      <c r="A210" s="760"/>
      <c r="B210" s="760"/>
      <c r="C210" s="760"/>
      <c r="D210" s="760"/>
      <c r="E210" s="760"/>
      <c r="F210" s="760"/>
      <c r="G210" s="760"/>
      <c r="H210" s="760"/>
      <c r="I210" s="760"/>
      <c r="J210" s="760"/>
      <c r="K210" s="760"/>
      <c r="L210" s="880"/>
      <c r="M210" s="880"/>
      <c r="N210" s="880"/>
      <c r="O210" s="760"/>
      <c r="P210" s="760"/>
      <c r="Q210" s="760"/>
      <c r="R210" s="760"/>
      <c r="S210" s="760"/>
      <c r="T210" s="880"/>
      <c r="U210" s="880"/>
      <c r="V210" s="880"/>
      <c r="W210" s="88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154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  <c r="AR210" s="760"/>
      <c r="AS210" s="760"/>
    </row>
    <row r="211" spans="1:45" hidden="1" x14ac:dyDescent="0.2">
      <c r="A211" s="760"/>
      <c r="B211" s="760"/>
      <c r="C211" s="760"/>
      <c r="D211" s="760"/>
      <c r="E211" s="760"/>
      <c r="F211" s="760"/>
      <c r="G211" s="760"/>
      <c r="H211" s="760"/>
      <c r="I211" s="760"/>
      <c r="J211" s="760"/>
      <c r="K211" s="760"/>
      <c r="L211" s="880"/>
      <c r="M211" s="880"/>
      <c r="N211" s="880"/>
      <c r="O211" s="760"/>
      <c r="P211" s="760"/>
      <c r="Q211" s="760"/>
      <c r="R211" s="760"/>
      <c r="S211" s="760"/>
      <c r="T211" s="880"/>
      <c r="U211" s="880"/>
      <c r="V211" s="880"/>
      <c r="W211" s="88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154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  <c r="AR211" s="760"/>
      <c r="AS211" s="760"/>
    </row>
    <row r="212" spans="1:45" hidden="1" x14ac:dyDescent="0.2">
      <c r="A212" s="760"/>
      <c r="B212" s="760"/>
      <c r="C212" s="760"/>
      <c r="D212" s="760"/>
      <c r="E212" s="760"/>
      <c r="F212" s="760"/>
      <c r="G212" s="760"/>
      <c r="H212" s="760"/>
      <c r="I212" s="760"/>
      <c r="J212" s="760"/>
      <c r="K212" s="760"/>
      <c r="L212" s="880"/>
      <c r="M212" s="880"/>
      <c r="N212" s="880"/>
      <c r="O212" s="760"/>
      <c r="P212" s="760"/>
      <c r="Q212" s="760"/>
      <c r="R212" s="760"/>
      <c r="S212" s="760"/>
      <c r="T212" s="880"/>
      <c r="U212" s="880"/>
      <c r="V212" s="880"/>
      <c r="W212" s="88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154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  <c r="AR212" s="760"/>
      <c r="AS212" s="760"/>
    </row>
    <row r="213" spans="1:45" hidden="1" x14ac:dyDescent="0.2">
      <c r="A213" s="760"/>
      <c r="B213" s="760"/>
      <c r="C213" s="760"/>
      <c r="D213" s="760"/>
      <c r="E213" s="760"/>
      <c r="F213" s="760"/>
      <c r="G213" s="760"/>
      <c r="H213" s="760"/>
      <c r="I213" s="760"/>
      <c r="J213" s="760"/>
      <c r="K213" s="760"/>
      <c r="L213" s="880"/>
      <c r="M213" s="880"/>
      <c r="N213" s="880"/>
      <c r="O213" s="760"/>
      <c r="P213" s="760"/>
      <c r="Q213" s="760"/>
      <c r="R213" s="760"/>
      <c r="S213" s="760"/>
      <c r="T213" s="880"/>
      <c r="U213" s="880"/>
      <c r="V213" s="880"/>
      <c r="W213" s="88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154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  <c r="AR213" s="760"/>
      <c r="AS213" s="760"/>
    </row>
    <row r="214" spans="1:45" hidden="1" x14ac:dyDescent="0.2">
      <c r="A214" s="760"/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880"/>
      <c r="M214" s="880"/>
      <c r="N214" s="880"/>
      <c r="O214" s="760"/>
      <c r="P214" s="760"/>
      <c r="Q214" s="760"/>
      <c r="R214" s="760"/>
      <c r="S214" s="760"/>
      <c r="T214" s="880"/>
      <c r="U214" s="880"/>
      <c r="V214" s="880"/>
      <c r="W214" s="88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154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  <c r="AR214" s="760"/>
      <c r="AS214" s="760"/>
    </row>
    <row r="215" spans="1:45" hidden="1" x14ac:dyDescent="0.2">
      <c r="A215" s="760"/>
      <c r="B215" s="760"/>
      <c r="C215" s="760"/>
      <c r="D215" s="760"/>
      <c r="E215" s="760"/>
      <c r="F215" s="760"/>
      <c r="G215" s="760"/>
      <c r="H215" s="760"/>
      <c r="I215" s="760"/>
      <c r="J215" s="760"/>
      <c r="K215" s="760"/>
      <c r="L215" s="880"/>
      <c r="M215" s="880"/>
      <c r="N215" s="880"/>
      <c r="O215" s="760"/>
      <c r="P215" s="760"/>
      <c r="Q215" s="760"/>
      <c r="R215" s="760"/>
      <c r="S215" s="760"/>
      <c r="T215" s="880"/>
      <c r="U215" s="880"/>
      <c r="V215" s="880"/>
      <c r="W215" s="88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154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  <c r="AR215" s="760"/>
      <c r="AS215" s="760"/>
    </row>
    <row r="216" spans="1:45" hidden="1" x14ac:dyDescent="0.2">
      <c r="A216" s="760"/>
      <c r="B216" s="760"/>
      <c r="C216" s="760"/>
      <c r="D216" s="760"/>
      <c r="E216" s="760"/>
      <c r="F216" s="760"/>
      <c r="G216" s="760"/>
      <c r="H216" s="760"/>
      <c r="I216" s="760"/>
      <c r="J216" s="760"/>
      <c r="K216" s="760"/>
      <c r="L216" s="880"/>
      <c r="M216" s="880"/>
      <c r="N216" s="880"/>
      <c r="O216" s="760"/>
      <c r="P216" s="760"/>
      <c r="Q216" s="760"/>
      <c r="R216" s="760"/>
      <c r="S216" s="760"/>
      <c r="T216" s="880"/>
      <c r="U216" s="880"/>
      <c r="V216" s="880"/>
      <c r="W216" s="88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154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  <c r="AR216" s="760"/>
      <c r="AS216" s="760"/>
    </row>
    <row r="217" spans="1:45" hidden="1" x14ac:dyDescent="0.2">
      <c r="A217" s="760"/>
      <c r="B217" s="760"/>
      <c r="C217" s="760"/>
      <c r="D217" s="760"/>
      <c r="E217" s="760"/>
      <c r="F217" s="760"/>
      <c r="G217" s="760"/>
      <c r="H217" s="760"/>
      <c r="I217" s="760"/>
      <c r="J217" s="760"/>
      <c r="K217" s="760"/>
      <c r="L217" s="880"/>
      <c r="M217" s="880"/>
      <c r="N217" s="880"/>
      <c r="O217" s="760"/>
      <c r="P217" s="760"/>
      <c r="Q217" s="760"/>
      <c r="R217" s="760"/>
      <c r="S217" s="760"/>
      <c r="T217" s="880"/>
      <c r="U217" s="880"/>
      <c r="V217" s="880"/>
      <c r="W217" s="88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154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  <c r="AR217" s="760"/>
      <c r="AS217" s="760"/>
    </row>
    <row r="218" spans="1:45" hidden="1" x14ac:dyDescent="0.2">
      <c r="A218" s="760"/>
      <c r="B218" s="760"/>
      <c r="C218" s="760"/>
      <c r="D218" s="760"/>
      <c r="E218" s="760"/>
      <c r="F218" s="760"/>
      <c r="G218" s="760"/>
      <c r="H218" s="760"/>
      <c r="I218" s="760"/>
      <c r="J218" s="760"/>
      <c r="K218" s="760"/>
      <c r="L218" s="880"/>
      <c r="M218" s="880"/>
      <c r="N218" s="880"/>
      <c r="O218" s="760"/>
      <c r="P218" s="760"/>
      <c r="Q218" s="760"/>
      <c r="R218" s="760"/>
      <c r="S218" s="760"/>
      <c r="T218" s="880"/>
      <c r="U218" s="880"/>
      <c r="V218" s="880"/>
      <c r="W218" s="88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154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  <c r="AR218" s="760"/>
      <c r="AS218" s="760"/>
    </row>
    <row r="219" spans="1:45" hidden="1" x14ac:dyDescent="0.2">
      <c r="A219" s="760"/>
      <c r="B219" s="760"/>
      <c r="C219" s="760"/>
      <c r="D219" s="760"/>
      <c r="E219" s="760"/>
      <c r="F219" s="760"/>
      <c r="G219" s="760"/>
      <c r="H219" s="760"/>
      <c r="I219" s="760"/>
      <c r="J219" s="760"/>
      <c r="K219" s="760"/>
      <c r="L219" s="880"/>
      <c r="M219" s="880"/>
      <c r="N219" s="880"/>
      <c r="O219" s="760"/>
      <c r="P219" s="760"/>
      <c r="Q219" s="760"/>
      <c r="R219" s="760"/>
      <c r="S219" s="760"/>
      <c r="T219" s="880"/>
      <c r="U219" s="880"/>
      <c r="V219" s="880"/>
      <c r="W219" s="88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154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  <c r="AR219" s="760"/>
      <c r="AS219" s="760"/>
    </row>
    <row r="220" spans="1:45" hidden="1" x14ac:dyDescent="0.2">
      <c r="A220" s="760"/>
      <c r="B220" s="760"/>
      <c r="C220" s="760"/>
      <c r="D220" s="760"/>
      <c r="E220" s="760"/>
      <c r="F220" s="760"/>
      <c r="G220" s="760"/>
      <c r="H220" s="760"/>
      <c r="I220" s="760"/>
      <c r="J220" s="760"/>
      <c r="K220" s="760"/>
      <c r="L220" s="880"/>
      <c r="M220" s="880"/>
      <c r="N220" s="880"/>
      <c r="O220" s="760"/>
      <c r="P220" s="760"/>
      <c r="Q220" s="760"/>
      <c r="R220" s="760"/>
      <c r="S220" s="760"/>
      <c r="T220" s="880"/>
      <c r="U220" s="880"/>
      <c r="V220" s="880"/>
      <c r="W220" s="88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154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  <c r="AR220" s="760"/>
      <c r="AS220" s="760"/>
    </row>
    <row r="221" spans="1:45" hidden="1" x14ac:dyDescent="0.2">
      <c r="A221" s="760"/>
      <c r="B221" s="760"/>
      <c r="C221" s="760"/>
      <c r="D221" s="760"/>
      <c r="E221" s="760"/>
      <c r="F221" s="760"/>
      <c r="G221" s="760"/>
      <c r="H221" s="760"/>
      <c r="I221" s="760"/>
      <c r="J221" s="760"/>
      <c r="K221" s="760"/>
      <c r="L221" s="880"/>
      <c r="M221" s="880"/>
      <c r="N221" s="880"/>
      <c r="O221" s="760"/>
      <c r="P221" s="760"/>
      <c r="Q221" s="760"/>
      <c r="R221" s="760"/>
      <c r="S221" s="760"/>
      <c r="T221" s="880"/>
      <c r="U221" s="880"/>
      <c r="V221" s="880"/>
      <c r="W221" s="88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154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  <c r="AR221" s="760"/>
      <c r="AS221" s="760"/>
    </row>
    <row r="222" spans="1:45" hidden="1" x14ac:dyDescent="0.2">
      <c r="A222" s="760"/>
      <c r="B222" s="760"/>
      <c r="C222" s="760"/>
      <c r="D222" s="760"/>
      <c r="E222" s="760"/>
      <c r="F222" s="760"/>
      <c r="G222" s="760"/>
      <c r="H222" s="760"/>
      <c r="I222" s="760"/>
      <c r="J222" s="760"/>
      <c r="K222" s="760"/>
      <c r="L222" s="880"/>
      <c r="M222" s="880"/>
      <c r="N222" s="880"/>
      <c r="O222" s="760"/>
      <c r="P222" s="760"/>
      <c r="Q222" s="760"/>
      <c r="R222" s="760"/>
      <c r="S222" s="760"/>
      <c r="T222" s="880"/>
      <c r="U222" s="880"/>
      <c r="V222" s="880"/>
      <c r="W222" s="88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154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  <c r="AR222" s="760"/>
      <c r="AS222" s="760"/>
    </row>
    <row r="223" spans="1:45" hidden="1" x14ac:dyDescent="0.2">
      <c r="A223" s="760"/>
      <c r="B223" s="760"/>
      <c r="C223" s="760"/>
      <c r="D223" s="760"/>
      <c r="E223" s="760"/>
      <c r="F223" s="760"/>
      <c r="G223" s="760"/>
      <c r="H223" s="760"/>
      <c r="I223" s="760"/>
      <c r="J223" s="760"/>
      <c r="K223" s="760"/>
      <c r="L223" s="880"/>
      <c r="M223" s="880"/>
      <c r="N223" s="880"/>
      <c r="O223" s="760"/>
      <c r="P223" s="760"/>
      <c r="Q223" s="760"/>
      <c r="R223" s="760"/>
      <c r="S223" s="760"/>
      <c r="T223" s="880"/>
      <c r="U223" s="880"/>
      <c r="V223" s="880"/>
      <c r="W223" s="88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154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  <c r="AR223" s="760"/>
      <c r="AS223" s="760"/>
    </row>
    <row r="224" spans="1:45" hidden="1" x14ac:dyDescent="0.2">
      <c r="A224" s="760"/>
      <c r="B224" s="760"/>
      <c r="C224" s="760"/>
      <c r="D224" s="760"/>
      <c r="E224" s="760"/>
      <c r="F224" s="760"/>
      <c r="G224" s="760"/>
      <c r="H224" s="760"/>
      <c r="I224" s="760"/>
      <c r="J224" s="760"/>
      <c r="K224" s="760"/>
      <c r="L224" s="880"/>
      <c r="M224" s="880"/>
      <c r="N224" s="880"/>
      <c r="O224" s="760"/>
      <c r="P224" s="760"/>
      <c r="Q224" s="760"/>
      <c r="R224" s="760"/>
      <c r="S224" s="760"/>
      <c r="T224" s="880"/>
      <c r="U224" s="880"/>
      <c r="V224" s="880"/>
      <c r="W224" s="88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154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  <c r="AR224" s="760"/>
      <c r="AS224" s="760"/>
    </row>
    <row r="225" spans="1:45" hidden="1" x14ac:dyDescent="0.2">
      <c r="A225" s="760"/>
      <c r="B225" s="760"/>
      <c r="C225" s="760"/>
      <c r="D225" s="760"/>
      <c r="E225" s="760"/>
      <c r="F225" s="760"/>
      <c r="G225" s="760"/>
      <c r="H225" s="760"/>
      <c r="I225" s="760"/>
      <c r="J225" s="760"/>
      <c r="K225" s="760"/>
      <c r="L225" s="880"/>
      <c r="M225" s="880"/>
      <c r="N225" s="880"/>
      <c r="O225" s="760"/>
      <c r="P225" s="760"/>
      <c r="Q225" s="760"/>
      <c r="R225" s="760"/>
      <c r="S225" s="760"/>
      <c r="T225" s="880"/>
      <c r="U225" s="880"/>
      <c r="V225" s="880"/>
      <c r="W225" s="88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154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  <c r="AR225" s="760"/>
      <c r="AS225" s="760"/>
    </row>
    <row r="226" spans="1:45" hidden="1" x14ac:dyDescent="0.2">
      <c r="A226" s="760"/>
      <c r="B226" s="760"/>
      <c r="C226" s="760"/>
      <c r="D226" s="760"/>
      <c r="E226" s="760"/>
      <c r="F226" s="760"/>
      <c r="G226" s="760"/>
      <c r="H226" s="760"/>
      <c r="I226" s="760"/>
      <c r="J226" s="760"/>
      <c r="K226" s="760"/>
      <c r="L226" s="880"/>
      <c r="M226" s="880"/>
      <c r="N226" s="880"/>
      <c r="O226" s="760"/>
      <c r="P226" s="760"/>
      <c r="Q226" s="760"/>
      <c r="R226" s="760"/>
      <c r="S226" s="760"/>
      <c r="T226" s="880"/>
      <c r="U226" s="880"/>
      <c r="V226" s="880"/>
      <c r="W226" s="88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154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  <c r="AR226" s="760"/>
      <c r="AS226" s="760"/>
    </row>
    <row r="227" spans="1:45" hidden="1" x14ac:dyDescent="0.2">
      <c r="A227" s="760"/>
      <c r="B227" s="760"/>
      <c r="C227" s="760"/>
      <c r="D227" s="760"/>
      <c r="E227" s="760"/>
      <c r="F227" s="760"/>
      <c r="G227" s="760"/>
      <c r="H227" s="760"/>
      <c r="I227" s="760"/>
      <c r="J227" s="760"/>
      <c r="K227" s="760"/>
      <c r="L227" s="880"/>
      <c r="M227" s="880"/>
      <c r="N227" s="880"/>
      <c r="O227" s="760"/>
      <c r="P227" s="760"/>
      <c r="Q227" s="760"/>
      <c r="R227" s="760"/>
      <c r="S227" s="760"/>
      <c r="T227" s="880"/>
      <c r="U227" s="880"/>
      <c r="V227" s="880"/>
      <c r="W227" s="88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154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  <c r="AR227" s="760"/>
      <c r="AS227" s="760"/>
    </row>
    <row r="228" spans="1:45" hidden="1" x14ac:dyDescent="0.2">
      <c r="A228" s="760"/>
      <c r="B228" s="760"/>
      <c r="C228" s="760"/>
      <c r="D228" s="760"/>
      <c r="E228" s="760"/>
      <c r="F228" s="760"/>
      <c r="G228" s="760"/>
      <c r="H228" s="760"/>
      <c r="I228" s="760"/>
      <c r="J228" s="760"/>
      <c r="K228" s="760"/>
      <c r="L228" s="880"/>
      <c r="M228" s="880"/>
      <c r="N228" s="880"/>
      <c r="O228" s="760"/>
      <c r="P228" s="760"/>
      <c r="Q228" s="760"/>
      <c r="R228" s="760"/>
      <c r="S228" s="760"/>
      <c r="T228" s="880"/>
      <c r="U228" s="880"/>
      <c r="V228" s="880"/>
      <c r="W228" s="88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154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  <c r="AR228" s="760"/>
      <c r="AS228" s="760"/>
    </row>
    <row r="229" spans="1:45" hidden="1" x14ac:dyDescent="0.2">
      <c r="A229" s="760"/>
      <c r="B229" s="760"/>
      <c r="C229" s="760"/>
      <c r="D229" s="760"/>
      <c r="E229" s="760"/>
      <c r="F229" s="760"/>
      <c r="G229" s="760"/>
      <c r="H229" s="760"/>
      <c r="I229" s="760"/>
      <c r="J229" s="760"/>
      <c r="K229" s="760"/>
      <c r="L229" s="880"/>
      <c r="M229" s="880"/>
      <c r="N229" s="880"/>
      <c r="O229" s="760"/>
      <c r="P229" s="760"/>
      <c r="Q229" s="760"/>
      <c r="R229" s="760"/>
      <c r="S229" s="760"/>
      <c r="T229" s="880"/>
      <c r="U229" s="880"/>
      <c r="V229" s="880"/>
      <c r="W229" s="88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154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  <c r="AR229" s="760"/>
      <c r="AS229" s="760"/>
    </row>
    <row r="230" spans="1:45" hidden="1" x14ac:dyDescent="0.2">
      <c r="A230" s="760"/>
      <c r="B230" s="760"/>
      <c r="C230" s="760"/>
      <c r="D230" s="760"/>
      <c r="E230" s="760"/>
      <c r="F230" s="760"/>
      <c r="G230" s="760"/>
      <c r="H230" s="760"/>
      <c r="I230" s="760"/>
      <c r="J230" s="760"/>
      <c r="K230" s="760"/>
      <c r="L230" s="880"/>
      <c r="M230" s="880"/>
      <c r="N230" s="880"/>
      <c r="O230" s="760"/>
      <c r="P230" s="760"/>
      <c r="Q230" s="760"/>
      <c r="R230" s="760"/>
      <c r="S230" s="760"/>
      <c r="T230" s="880"/>
      <c r="U230" s="880"/>
      <c r="V230" s="880"/>
      <c r="W230" s="88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154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  <c r="AR230" s="760"/>
      <c r="AS230" s="760"/>
    </row>
    <row r="231" spans="1:45" hidden="1" x14ac:dyDescent="0.2">
      <c r="A231" s="760"/>
      <c r="B231" s="760"/>
      <c r="C231" s="760"/>
      <c r="D231" s="760"/>
      <c r="E231" s="760"/>
      <c r="F231" s="760"/>
      <c r="G231" s="760"/>
      <c r="H231" s="760"/>
      <c r="I231" s="760"/>
      <c r="J231" s="760"/>
      <c r="K231" s="760"/>
      <c r="L231" s="880"/>
      <c r="M231" s="880"/>
      <c r="N231" s="880"/>
      <c r="O231" s="760"/>
      <c r="P231" s="760"/>
      <c r="Q231" s="760"/>
      <c r="R231" s="760"/>
      <c r="S231" s="760"/>
      <c r="T231" s="880"/>
      <c r="U231" s="880"/>
      <c r="V231" s="880"/>
      <c r="W231" s="88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154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  <c r="AR231" s="760"/>
      <c r="AS231" s="760"/>
    </row>
    <row r="232" spans="1:45" hidden="1" x14ac:dyDescent="0.2">
      <c r="A232" s="760"/>
      <c r="B232" s="760"/>
      <c r="C232" s="760"/>
      <c r="D232" s="760"/>
      <c r="E232" s="760"/>
      <c r="F232" s="760"/>
      <c r="G232" s="760"/>
      <c r="H232" s="760"/>
      <c r="I232" s="760"/>
      <c r="J232" s="760"/>
      <c r="K232" s="760"/>
      <c r="L232" s="880"/>
      <c r="M232" s="880"/>
      <c r="N232" s="880"/>
      <c r="O232" s="760"/>
      <c r="P232" s="760"/>
      <c r="Q232" s="760"/>
      <c r="R232" s="760"/>
      <c r="S232" s="760"/>
      <c r="T232" s="880"/>
      <c r="U232" s="880"/>
      <c r="V232" s="880"/>
      <c r="W232" s="88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154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  <c r="AR232" s="760"/>
      <c r="AS232" s="760"/>
    </row>
    <row r="233" spans="1:45" hidden="1" x14ac:dyDescent="0.2">
      <c r="A233" s="760"/>
      <c r="B233" s="760"/>
      <c r="C233" s="760"/>
      <c r="D233" s="760"/>
      <c r="E233" s="760"/>
      <c r="F233" s="760"/>
      <c r="G233" s="760"/>
      <c r="H233" s="760"/>
      <c r="I233" s="760"/>
      <c r="J233" s="760"/>
      <c r="K233" s="760"/>
      <c r="L233" s="880"/>
      <c r="M233" s="880"/>
      <c r="N233" s="880"/>
      <c r="O233" s="760"/>
      <c r="P233" s="760"/>
      <c r="Q233" s="760"/>
      <c r="R233" s="760"/>
      <c r="S233" s="760"/>
      <c r="T233" s="880"/>
      <c r="U233" s="880"/>
      <c r="V233" s="880"/>
      <c r="W233" s="88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154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  <c r="AR233" s="760"/>
      <c r="AS233" s="760"/>
    </row>
    <row r="234" spans="1:45" hidden="1" x14ac:dyDescent="0.2">
      <c r="A234" s="760"/>
      <c r="B234" s="760"/>
      <c r="C234" s="760"/>
      <c r="D234" s="760"/>
      <c r="E234" s="760"/>
      <c r="F234" s="760"/>
      <c r="G234" s="760"/>
      <c r="H234" s="760"/>
      <c r="I234" s="760"/>
      <c r="J234" s="760"/>
      <c r="K234" s="760"/>
      <c r="L234" s="880"/>
      <c r="M234" s="880"/>
      <c r="N234" s="880"/>
      <c r="O234" s="760"/>
      <c r="P234" s="760"/>
      <c r="Q234" s="760"/>
      <c r="R234" s="760"/>
      <c r="S234" s="760"/>
      <c r="T234" s="880"/>
      <c r="U234" s="880"/>
      <c r="V234" s="880"/>
      <c r="W234" s="88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154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  <c r="AR234" s="760"/>
      <c r="AS234" s="760"/>
    </row>
    <row r="235" spans="1:45" hidden="1" x14ac:dyDescent="0.2">
      <c r="A235" s="760"/>
      <c r="B235" s="760"/>
      <c r="C235" s="760"/>
      <c r="D235" s="760"/>
      <c r="E235" s="760"/>
      <c r="F235" s="760"/>
      <c r="G235" s="760"/>
      <c r="H235" s="760"/>
      <c r="I235" s="760"/>
      <c r="J235" s="760"/>
      <c r="K235" s="760"/>
      <c r="L235" s="880"/>
      <c r="M235" s="880"/>
      <c r="N235" s="880"/>
      <c r="O235" s="760"/>
      <c r="P235" s="760"/>
      <c r="Q235" s="760"/>
      <c r="R235" s="760"/>
      <c r="S235" s="760"/>
      <c r="T235" s="880"/>
      <c r="U235" s="880"/>
      <c r="V235" s="880"/>
      <c r="W235" s="88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154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  <c r="AR235" s="760"/>
      <c r="AS235" s="760"/>
    </row>
    <row r="236" spans="1:45" hidden="1" x14ac:dyDescent="0.2">
      <c r="A236" s="760"/>
      <c r="B236" s="760"/>
      <c r="C236" s="760"/>
      <c r="D236" s="760"/>
      <c r="E236" s="760"/>
      <c r="F236" s="760"/>
      <c r="G236" s="760"/>
      <c r="H236" s="760"/>
      <c r="I236" s="760"/>
      <c r="J236" s="760"/>
      <c r="K236" s="760"/>
      <c r="L236" s="880"/>
      <c r="M236" s="880"/>
      <c r="N236" s="880"/>
      <c r="O236" s="760"/>
      <c r="P236" s="760"/>
      <c r="Q236" s="760"/>
      <c r="R236" s="760"/>
      <c r="S236" s="760"/>
      <c r="T236" s="880"/>
      <c r="U236" s="880"/>
      <c r="V236" s="880"/>
      <c r="W236" s="88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154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  <c r="AR236" s="760"/>
      <c r="AS236" s="760"/>
    </row>
    <row r="237" spans="1:45" hidden="1" x14ac:dyDescent="0.2">
      <c r="A237" s="760"/>
      <c r="B237" s="760"/>
      <c r="C237" s="760"/>
      <c r="D237" s="760"/>
      <c r="E237" s="760"/>
      <c r="F237" s="760"/>
      <c r="G237" s="760"/>
      <c r="H237" s="760"/>
      <c r="I237" s="760"/>
      <c r="J237" s="760"/>
      <c r="K237" s="760"/>
      <c r="L237" s="880"/>
      <c r="M237" s="880"/>
      <c r="N237" s="880"/>
      <c r="O237" s="760"/>
      <c r="P237" s="760"/>
      <c r="Q237" s="760"/>
      <c r="R237" s="760"/>
      <c r="S237" s="760"/>
      <c r="T237" s="880"/>
      <c r="U237" s="880"/>
      <c r="V237" s="880"/>
      <c r="W237" s="88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154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  <c r="AR237" s="760"/>
      <c r="AS237" s="760"/>
    </row>
    <row r="238" spans="1:45" hidden="1" x14ac:dyDescent="0.2">
      <c r="A238" s="760"/>
      <c r="B238" s="760"/>
      <c r="C238" s="760"/>
      <c r="D238" s="760"/>
      <c r="E238" s="760"/>
      <c r="F238" s="760"/>
      <c r="G238" s="760"/>
      <c r="H238" s="760"/>
      <c r="I238" s="760"/>
      <c r="J238" s="760"/>
      <c r="K238" s="760"/>
      <c r="L238" s="880"/>
      <c r="M238" s="880"/>
      <c r="N238" s="880"/>
      <c r="O238" s="760"/>
      <c r="P238" s="760"/>
      <c r="Q238" s="760"/>
      <c r="R238" s="760"/>
      <c r="S238" s="760"/>
      <c r="T238" s="880"/>
      <c r="U238" s="880"/>
      <c r="V238" s="880"/>
      <c r="W238" s="88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154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  <c r="AR238" s="760"/>
      <c r="AS238" s="760"/>
    </row>
    <row r="239" spans="1:45" hidden="1" x14ac:dyDescent="0.2">
      <c r="A239" s="760"/>
      <c r="B239" s="760"/>
      <c r="C239" s="760"/>
      <c r="D239" s="760"/>
      <c r="E239" s="760"/>
      <c r="F239" s="760"/>
      <c r="G239" s="760"/>
      <c r="H239" s="760"/>
      <c r="I239" s="760"/>
      <c r="J239" s="760"/>
      <c r="K239" s="760"/>
      <c r="L239" s="880"/>
      <c r="M239" s="880"/>
      <c r="N239" s="880"/>
      <c r="O239" s="760"/>
      <c r="P239" s="760"/>
      <c r="Q239" s="760"/>
      <c r="R239" s="760"/>
      <c r="S239" s="760"/>
      <c r="T239" s="880"/>
      <c r="U239" s="880"/>
      <c r="V239" s="880"/>
      <c r="W239" s="88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154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  <c r="AR239" s="760"/>
      <c r="AS239" s="760"/>
    </row>
    <row r="240" spans="1:45" hidden="1" x14ac:dyDescent="0.2">
      <c r="A240" s="760"/>
      <c r="B240" s="760"/>
      <c r="C240" s="760"/>
      <c r="D240" s="760"/>
      <c r="E240" s="760"/>
      <c r="F240" s="760"/>
      <c r="G240" s="760"/>
      <c r="H240" s="760"/>
      <c r="I240" s="760"/>
      <c r="J240" s="760"/>
      <c r="K240" s="760"/>
      <c r="L240" s="880"/>
      <c r="M240" s="880"/>
      <c r="N240" s="880"/>
      <c r="O240" s="760"/>
      <c r="P240" s="760"/>
      <c r="Q240" s="760"/>
      <c r="R240" s="760"/>
      <c r="S240" s="760"/>
      <c r="T240" s="880"/>
      <c r="U240" s="880"/>
      <c r="V240" s="880"/>
      <c r="W240" s="88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154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  <c r="AR240" s="760"/>
      <c r="AS240" s="760"/>
    </row>
    <row r="241" spans="1:45" hidden="1" x14ac:dyDescent="0.2">
      <c r="A241" s="760"/>
      <c r="B241" s="760"/>
      <c r="C241" s="760"/>
      <c r="D241" s="760"/>
      <c r="E241" s="760"/>
      <c r="F241" s="760"/>
      <c r="G241" s="760"/>
      <c r="H241" s="760"/>
      <c r="I241" s="760"/>
      <c r="J241" s="760"/>
      <c r="K241" s="760"/>
      <c r="L241" s="880"/>
      <c r="M241" s="880"/>
      <c r="N241" s="880"/>
      <c r="O241" s="760"/>
      <c r="P241" s="760"/>
      <c r="Q241" s="760"/>
      <c r="R241" s="760"/>
      <c r="S241" s="760"/>
      <c r="T241" s="880"/>
      <c r="U241" s="880"/>
      <c r="V241" s="880"/>
      <c r="W241" s="88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154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  <c r="AR241" s="760"/>
      <c r="AS241" s="760"/>
    </row>
    <row r="242" spans="1:45" hidden="1" x14ac:dyDescent="0.2">
      <c r="A242" s="760"/>
      <c r="B242" s="760"/>
      <c r="C242" s="760"/>
      <c r="D242" s="760"/>
      <c r="E242" s="760"/>
      <c r="F242" s="760"/>
      <c r="G242" s="760"/>
      <c r="H242" s="760"/>
      <c r="I242" s="760"/>
      <c r="J242" s="760"/>
      <c r="K242" s="760"/>
      <c r="L242" s="880"/>
      <c r="M242" s="880"/>
      <c r="N242" s="880"/>
      <c r="O242" s="760"/>
      <c r="P242" s="760"/>
      <c r="Q242" s="760"/>
      <c r="R242" s="760"/>
      <c r="S242" s="760"/>
      <c r="T242" s="880"/>
      <c r="U242" s="880"/>
      <c r="V242" s="880"/>
      <c r="W242" s="88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154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  <c r="AR242" s="760"/>
      <c r="AS242" s="760"/>
    </row>
    <row r="243" spans="1:45" hidden="1" x14ac:dyDescent="0.2">
      <c r="A243" s="760"/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880"/>
      <c r="M243" s="880"/>
      <c r="N243" s="880"/>
      <c r="O243" s="760"/>
      <c r="P243" s="760"/>
      <c r="Q243" s="760"/>
      <c r="R243" s="760"/>
      <c r="S243" s="760"/>
      <c r="T243" s="880"/>
      <c r="U243" s="880"/>
      <c r="V243" s="880"/>
      <c r="W243" s="88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154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  <c r="AR243" s="760"/>
      <c r="AS243" s="760"/>
    </row>
    <row r="244" spans="1:45" hidden="1" x14ac:dyDescent="0.2">
      <c r="A244" s="760"/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880"/>
      <c r="M244" s="880"/>
      <c r="N244" s="880"/>
      <c r="O244" s="760"/>
      <c r="P244" s="760"/>
      <c r="Q244" s="760"/>
      <c r="R244" s="760"/>
      <c r="S244" s="760"/>
      <c r="T244" s="880"/>
      <c r="U244" s="880"/>
      <c r="V244" s="880"/>
      <c r="W244" s="88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154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  <c r="AR244" s="760"/>
      <c r="AS244" s="760"/>
    </row>
    <row r="245" spans="1:45" hidden="1" x14ac:dyDescent="0.2">
      <c r="A245" s="760"/>
      <c r="B245" s="760"/>
      <c r="C245" s="760"/>
      <c r="D245" s="760"/>
      <c r="E245" s="760"/>
      <c r="F245" s="760"/>
      <c r="G245" s="760"/>
      <c r="H245" s="760"/>
      <c r="I245" s="760"/>
      <c r="J245" s="760"/>
      <c r="K245" s="760"/>
      <c r="L245" s="880"/>
      <c r="M245" s="880"/>
      <c r="N245" s="880"/>
      <c r="O245" s="760"/>
      <c r="P245" s="760"/>
      <c r="Q245" s="760"/>
      <c r="R245" s="760"/>
      <c r="S245" s="760"/>
      <c r="T245" s="880"/>
      <c r="U245" s="880"/>
      <c r="V245" s="880"/>
      <c r="W245" s="88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154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  <c r="AR245" s="760"/>
      <c r="AS245" s="760"/>
    </row>
    <row r="246" spans="1:45" hidden="1" x14ac:dyDescent="0.2">
      <c r="A246" s="760"/>
      <c r="B246" s="760"/>
      <c r="C246" s="760"/>
      <c r="D246" s="760"/>
      <c r="E246" s="760"/>
      <c r="F246" s="760"/>
      <c r="G246" s="760"/>
      <c r="H246" s="760"/>
      <c r="I246" s="760"/>
      <c r="J246" s="760"/>
      <c r="K246" s="760"/>
      <c r="L246" s="880"/>
      <c r="M246" s="880"/>
      <c r="N246" s="880"/>
      <c r="O246" s="760"/>
      <c r="P246" s="760"/>
      <c r="Q246" s="760"/>
      <c r="R246" s="760"/>
      <c r="S246" s="760"/>
      <c r="T246" s="880"/>
      <c r="U246" s="880"/>
      <c r="V246" s="880"/>
      <c r="W246" s="88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154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  <c r="AR246" s="760"/>
      <c r="AS246" s="760"/>
    </row>
    <row r="247" spans="1:45" hidden="1" x14ac:dyDescent="0.2">
      <c r="A247" s="760"/>
      <c r="B247" s="760"/>
      <c r="C247" s="760"/>
      <c r="D247" s="760"/>
      <c r="E247" s="760"/>
      <c r="F247" s="760"/>
      <c r="G247" s="760"/>
      <c r="H247" s="760"/>
      <c r="I247" s="760"/>
      <c r="J247" s="760"/>
      <c r="K247" s="760"/>
      <c r="L247" s="880"/>
      <c r="M247" s="880"/>
      <c r="N247" s="880"/>
      <c r="O247" s="760"/>
      <c r="P247" s="760"/>
      <c r="Q247" s="760"/>
      <c r="R247" s="760"/>
      <c r="S247" s="760"/>
      <c r="T247" s="880"/>
      <c r="U247" s="880"/>
      <c r="V247" s="880"/>
      <c r="W247" s="88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154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  <c r="AR247" s="760"/>
      <c r="AS247" s="760"/>
    </row>
    <row r="248" spans="1:45" hidden="1" x14ac:dyDescent="0.2">
      <c r="A248" s="760"/>
      <c r="B248" s="760"/>
      <c r="C248" s="760"/>
      <c r="D248" s="760"/>
      <c r="E248" s="760"/>
      <c r="F248" s="760"/>
      <c r="G248" s="760"/>
      <c r="H248" s="760"/>
      <c r="I248" s="760"/>
      <c r="J248" s="760"/>
      <c r="K248" s="760"/>
      <c r="L248" s="880"/>
      <c r="M248" s="880"/>
      <c r="N248" s="880"/>
      <c r="O248" s="760"/>
      <c r="P248" s="760"/>
      <c r="Q248" s="760"/>
      <c r="R248" s="760"/>
      <c r="S248" s="760"/>
      <c r="T248" s="880"/>
      <c r="U248" s="880"/>
      <c r="V248" s="880"/>
      <c r="W248" s="88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154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  <c r="AR248" s="760"/>
      <c r="AS248" s="760"/>
    </row>
    <row r="249" spans="1:45" hidden="1" x14ac:dyDescent="0.2">
      <c r="A249" s="760"/>
      <c r="B249" s="760"/>
      <c r="C249" s="760"/>
      <c r="D249" s="760"/>
      <c r="E249" s="760"/>
      <c r="F249" s="760"/>
      <c r="G249" s="760"/>
      <c r="H249" s="760"/>
      <c r="I249" s="760"/>
      <c r="J249" s="760"/>
      <c r="K249" s="760"/>
      <c r="L249" s="880"/>
      <c r="M249" s="880"/>
      <c r="N249" s="880"/>
      <c r="O249" s="760"/>
      <c r="P249" s="760"/>
      <c r="Q249" s="760"/>
      <c r="R249" s="760"/>
      <c r="S249" s="760"/>
      <c r="T249" s="880"/>
      <c r="U249" s="880"/>
      <c r="V249" s="880"/>
      <c r="W249" s="88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154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  <c r="AR249" s="760"/>
      <c r="AS249" s="760"/>
    </row>
    <row r="250" spans="1:45" hidden="1" x14ac:dyDescent="0.2">
      <c r="A250" s="760"/>
      <c r="B250" s="760"/>
      <c r="C250" s="760"/>
      <c r="D250" s="760"/>
      <c r="E250" s="760"/>
      <c r="F250" s="760"/>
      <c r="G250" s="760"/>
      <c r="H250" s="760"/>
      <c r="I250" s="760"/>
      <c r="J250" s="760"/>
      <c r="K250" s="760"/>
      <c r="L250" s="880"/>
      <c r="M250" s="880"/>
      <c r="N250" s="880"/>
      <c r="O250" s="760"/>
      <c r="P250" s="760"/>
      <c r="Q250" s="760"/>
      <c r="R250" s="760"/>
      <c r="S250" s="760"/>
      <c r="T250" s="880"/>
      <c r="U250" s="880"/>
      <c r="V250" s="880"/>
      <c r="W250" s="88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154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  <c r="AR250" s="760"/>
      <c r="AS250" s="760"/>
    </row>
    <row r="251" spans="1:45" hidden="1" x14ac:dyDescent="0.2">
      <c r="A251" s="760"/>
      <c r="B251" s="760"/>
      <c r="C251" s="760"/>
      <c r="D251" s="760"/>
      <c r="E251" s="760"/>
      <c r="F251" s="760"/>
      <c r="G251" s="760"/>
      <c r="H251" s="760"/>
      <c r="I251" s="760"/>
      <c r="J251" s="760"/>
      <c r="K251" s="760"/>
      <c r="L251" s="880"/>
      <c r="M251" s="880"/>
      <c r="N251" s="880"/>
      <c r="O251" s="760"/>
      <c r="P251" s="760"/>
      <c r="Q251" s="760"/>
      <c r="R251" s="760"/>
      <c r="S251" s="760"/>
      <c r="T251" s="880"/>
      <c r="U251" s="880"/>
      <c r="V251" s="880"/>
      <c r="W251" s="88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154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  <c r="AR251" s="760"/>
      <c r="AS251" s="760"/>
    </row>
    <row r="252" spans="1:45" hidden="1" x14ac:dyDescent="0.2">
      <c r="A252" s="760"/>
      <c r="B252" s="760"/>
      <c r="C252" s="760"/>
      <c r="D252" s="760"/>
      <c r="E252" s="760"/>
      <c r="F252" s="760"/>
      <c r="G252" s="760"/>
      <c r="H252" s="760"/>
      <c r="I252" s="760"/>
      <c r="J252" s="760"/>
      <c r="K252" s="760"/>
      <c r="L252" s="880"/>
      <c r="M252" s="880"/>
      <c r="N252" s="880"/>
      <c r="O252" s="760"/>
      <c r="P252" s="760"/>
      <c r="Q252" s="760"/>
      <c r="R252" s="760"/>
      <c r="S252" s="760"/>
      <c r="T252" s="880"/>
      <c r="U252" s="880"/>
      <c r="V252" s="880"/>
      <c r="W252" s="88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154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  <c r="AR252" s="760"/>
      <c r="AS252" s="760"/>
    </row>
    <row r="253" spans="1:45" hidden="1" x14ac:dyDescent="0.2">
      <c r="A253" s="760"/>
      <c r="B253" s="760"/>
      <c r="C253" s="760"/>
      <c r="D253" s="760"/>
      <c r="E253" s="760"/>
      <c r="F253" s="760"/>
      <c r="G253" s="760"/>
      <c r="H253" s="760"/>
      <c r="I253" s="760"/>
      <c r="J253" s="760"/>
      <c r="K253" s="760"/>
      <c r="L253" s="880"/>
      <c r="M253" s="880"/>
      <c r="N253" s="880"/>
      <c r="O253" s="760"/>
      <c r="P253" s="760"/>
      <c r="Q253" s="760"/>
      <c r="R253" s="760"/>
      <c r="S253" s="760"/>
      <c r="T253" s="880"/>
      <c r="U253" s="880"/>
      <c r="V253" s="880"/>
      <c r="W253" s="88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154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  <c r="AR253" s="760"/>
      <c r="AS253" s="760"/>
    </row>
    <row r="254" spans="1:45" hidden="1" x14ac:dyDescent="0.2">
      <c r="A254" s="760"/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880"/>
      <c r="M254" s="880"/>
      <c r="N254" s="880"/>
      <c r="O254" s="760"/>
      <c r="P254" s="760"/>
      <c r="Q254" s="760"/>
      <c r="R254" s="760"/>
      <c r="S254" s="760"/>
      <c r="T254" s="880"/>
      <c r="U254" s="880"/>
      <c r="V254" s="880"/>
      <c r="W254" s="88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154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  <c r="AR254" s="760"/>
      <c r="AS254" s="760"/>
    </row>
    <row r="255" spans="1:45" hidden="1" x14ac:dyDescent="0.2">
      <c r="A255" s="760"/>
      <c r="B255" s="760"/>
      <c r="C255" s="760"/>
      <c r="D255" s="760"/>
      <c r="E255" s="760"/>
      <c r="F255" s="760"/>
      <c r="G255" s="760"/>
      <c r="H255" s="760"/>
      <c r="I255" s="760"/>
      <c r="J255" s="760"/>
      <c r="K255" s="760"/>
      <c r="L255" s="880"/>
      <c r="M255" s="880"/>
      <c r="N255" s="880"/>
      <c r="O255" s="760"/>
      <c r="P255" s="760"/>
      <c r="Q255" s="760"/>
      <c r="R255" s="760"/>
      <c r="S255" s="760"/>
      <c r="T255" s="880"/>
      <c r="U255" s="880"/>
      <c r="V255" s="880"/>
      <c r="W255" s="88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154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  <c r="AR255" s="760"/>
      <c r="AS255" s="760"/>
    </row>
    <row r="256" spans="1:45" hidden="1" x14ac:dyDescent="0.2">
      <c r="A256" s="760"/>
      <c r="B256" s="760"/>
      <c r="C256" s="760"/>
      <c r="D256" s="760"/>
      <c r="E256" s="760"/>
      <c r="F256" s="760"/>
      <c r="G256" s="760"/>
      <c r="H256" s="760"/>
      <c r="I256" s="760"/>
      <c r="J256" s="760"/>
      <c r="K256" s="760"/>
      <c r="L256" s="880"/>
      <c r="M256" s="880"/>
      <c r="N256" s="880"/>
      <c r="O256" s="760"/>
      <c r="P256" s="760"/>
      <c r="Q256" s="760"/>
      <c r="R256" s="760"/>
      <c r="S256" s="760"/>
      <c r="T256" s="880"/>
      <c r="U256" s="880"/>
      <c r="V256" s="880"/>
      <c r="W256" s="88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154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  <c r="AR256" s="760"/>
      <c r="AS256" s="760"/>
    </row>
    <row r="257" spans="1:45" hidden="1" x14ac:dyDescent="0.2">
      <c r="A257" s="760"/>
      <c r="B257" s="760"/>
      <c r="C257" s="760"/>
      <c r="D257" s="760"/>
      <c r="E257" s="760"/>
      <c r="F257" s="760"/>
      <c r="G257" s="760"/>
      <c r="H257" s="760"/>
      <c r="I257" s="760"/>
      <c r="J257" s="760"/>
      <c r="K257" s="760"/>
      <c r="L257" s="880"/>
      <c r="M257" s="880"/>
      <c r="N257" s="880"/>
      <c r="O257" s="760"/>
      <c r="P257" s="760"/>
      <c r="Q257" s="760"/>
      <c r="R257" s="760"/>
      <c r="S257" s="760"/>
      <c r="T257" s="880"/>
      <c r="U257" s="880"/>
      <c r="V257" s="880"/>
      <c r="W257" s="88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154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  <c r="AR257" s="760"/>
      <c r="AS257" s="760"/>
    </row>
    <row r="258" spans="1:45" hidden="1" x14ac:dyDescent="0.2">
      <c r="A258" s="760"/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880"/>
      <c r="M258" s="880"/>
      <c r="N258" s="880"/>
      <c r="O258" s="760"/>
      <c r="P258" s="760"/>
      <c r="Q258" s="760"/>
      <c r="R258" s="760"/>
      <c r="S258" s="760"/>
      <c r="T258" s="880"/>
      <c r="U258" s="880"/>
      <c r="V258" s="880"/>
      <c r="W258" s="88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154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  <c r="AR258" s="760"/>
      <c r="AS258" s="760"/>
    </row>
    <row r="259" spans="1:45" hidden="1" x14ac:dyDescent="0.2">
      <c r="A259" s="760"/>
      <c r="B259" s="760"/>
      <c r="C259" s="760"/>
      <c r="D259" s="760"/>
      <c r="E259" s="760"/>
      <c r="F259" s="760"/>
      <c r="G259" s="760"/>
      <c r="H259" s="760"/>
      <c r="I259" s="760"/>
      <c r="J259" s="760"/>
      <c r="K259" s="760"/>
      <c r="L259" s="880"/>
      <c r="M259" s="880"/>
      <c r="N259" s="880"/>
      <c r="O259" s="760"/>
      <c r="P259" s="760"/>
      <c r="Q259" s="760"/>
      <c r="R259" s="760"/>
      <c r="S259" s="760"/>
      <c r="T259" s="880"/>
      <c r="U259" s="880"/>
      <c r="V259" s="880"/>
      <c r="W259" s="88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154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  <c r="AR259" s="760"/>
      <c r="AS259" s="760"/>
    </row>
    <row r="260" spans="1:45" hidden="1" x14ac:dyDescent="0.2">
      <c r="A260" s="760"/>
      <c r="B260" s="760"/>
      <c r="C260" s="760"/>
      <c r="D260" s="760"/>
      <c r="E260" s="760"/>
      <c r="F260" s="760"/>
      <c r="G260" s="760"/>
      <c r="H260" s="760"/>
      <c r="I260" s="760"/>
      <c r="J260" s="760"/>
      <c r="K260" s="760"/>
      <c r="L260" s="880"/>
      <c r="M260" s="880"/>
      <c r="N260" s="880"/>
      <c r="O260" s="760"/>
      <c r="P260" s="760"/>
      <c r="Q260" s="760"/>
      <c r="R260" s="760"/>
      <c r="S260" s="760"/>
      <c r="T260" s="880"/>
      <c r="U260" s="880"/>
      <c r="V260" s="880"/>
      <c r="W260" s="88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154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  <c r="AR260" s="760"/>
      <c r="AS260" s="760"/>
    </row>
    <row r="261" spans="1:45" hidden="1" x14ac:dyDescent="0.2">
      <c r="A261" s="760"/>
      <c r="B261" s="760"/>
      <c r="C261" s="760"/>
      <c r="D261" s="760"/>
      <c r="E261" s="760"/>
      <c r="F261" s="760"/>
      <c r="G261" s="760"/>
      <c r="H261" s="760"/>
      <c r="I261" s="760"/>
      <c r="J261" s="760"/>
      <c r="K261" s="760"/>
      <c r="L261" s="880"/>
      <c r="M261" s="880"/>
      <c r="N261" s="880"/>
      <c r="O261" s="760"/>
      <c r="P261" s="760"/>
      <c r="Q261" s="760"/>
      <c r="R261" s="760"/>
      <c r="S261" s="760"/>
      <c r="T261" s="880"/>
      <c r="U261" s="880"/>
      <c r="V261" s="880"/>
      <c r="W261" s="88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154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  <c r="AR261" s="760"/>
      <c r="AS261" s="760"/>
    </row>
    <row r="262" spans="1:45" hidden="1" x14ac:dyDescent="0.2">
      <c r="A262" s="760"/>
      <c r="B262" s="760"/>
      <c r="C262" s="760"/>
      <c r="D262" s="760"/>
      <c r="E262" s="760"/>
      <c r="F262" s="760"/>
      <c r="G262" s="760"/>
      <c r="H262" s="760"/>
      <c r="I262" s="760"/>
      <c r="J262" s="760"/>
      <c r="K262" s="760"/>
      <c r="L262" s="880"/>
      <c r="M262" s="880"/>
      <c r="N262" s="880"/>
      <c r="O262" s="760"/>
      <c r="P262" s="760"/>
      <c r="Q262" s="760"/>
      <c r="R262" s="760"/>
      <c r="S262" s="760"/>
      <c r="T262" s="880"/>
      <c r="U262" s="880"/>
      <c r="V262" s="880"/>
      <c r="W262" s="88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154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  <c r="AR262" s="760"/>
      <c r="AS262" s="760"/>
    </row>
    <row r="263" spans="1:45" hidden="1" x14ac:dyDescent="0.2">
      <c r="A263" s="760"/>
      <c r="B263" s="760"/>
      <c r="C263" s="760"/>
      <c r="D263" s="760"/>
      <c r="E263" s="760"/>
      <c r="F263" s="760"/>
      <c r="G263" s="760"/>
      <c r="H263" s="760"/>
      <c r="I263" s="760"/>
      <c r="J263" s="760"/>
      <c r="K263" s="760"/>
      <c r="L263" s="880"/>
      <c r="M263" s="880"/>
      <c r="N263" s="880"/>
      <c r="O263" s="760"/>
      <c r="P263" s="760"/>
      <c r="Q263" s="760"/>
      <c r="R263" s="760"/>
      <c r="S263" s="760"/>
      <c r="T263" s="880"/>
      <c r="U263" s="880"/>
      <c r="V263" s="880"/>
      <c r="W263" s="88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154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  <c r="AR263" s="760"/>
      <c r="AS263" s="760"/>
    </row>
    <row r="264" spans="1:45" hidden="1" x14ac:dyDescent="0.2">
      <c r="A264" s="760"/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880"/>
      <c r="M264" s="880"/>
      <c r="N264" s="880"/>
      <c r="O264" s="760"/>
      <c r="P264" s="760"/>
      <c r="Q264" s="760"/>
      <c r="R264" s="760"/>
      <c r="S264" s="760"/>
      <c r="T264" s="880"/>
      <c r="U264" s="880"/>
      <c r="V264" s="880"/>
      <c r="W264" s="88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154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  <c r="AR264" s="760"/>
      <c r="AS264" s="760"/>
    </row>
    <row r="265" spans="1:45" hidden="1" x14ac:dyDescent="0.2">
      <c r="A265" s="760"/>
      <c r="B265" s="760"/>
      <c r="C265" s="760"/>
      <c r="D265" s="760"/>
      <c r="E265" s="760"/>
      <c r="F265" s="760"/>
      <c r="G265" s="760"/>
      <c r="H265" s="760"/>
      <c r="I265" s="760"/>
      <c r="J265" s="760"/>
      <c r="K265" s="760"/>
      <c r="L265" s="880"/>
      <c r="M265" s="880"/>
      <c r="N265" s="880"/>
      <c r="O265" s="760"/>
      <c r="P265" s="760"/>
      <c r="Q265" s="760"/>
      <c r="R265" s="760"/>
      <c r="S265" s="760"/>
      <c r="T265" s="880"/>
      <c r="U265" s="880"/>
      <c r="V265" s="880"/>
      <c r="W265" s="88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154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  <c r="AR265" s="760"/>
      <c r="AS265" s="760"/>
    </row>
    <row r="266" spans="1:45" hidden="1" x14ac:dyDescent="0.2">
      <c r="A266" s="760"/>
      <c r="B266" s="760"/>
      <c r="C266" s="760"/>
      <c r="D266" s="760"/>
      <c r="E266" s="760"/>
      <c r="F266" s="760"/>
      <c r="G266" s="760"/>
      <c r="H266" s="760"/>
      <c r="I266" s="760"/>
      <c r="J266" s="760"/>
      <c r="K266" s="760"/>
      <c r="L266" s="880"/>
      <c r="M266" s="880"/>
      <c r="N266" s="880"/>
      <c r="O266" s="760"/>
      <c r="P266" s="760"/>
      <c r="Q266" s="760"/>
      <c r="R266" s="760"/>
      <c r="S266" s="760"/>
      <c r="T266" s="880"/>
      <c r="U266" s="880"/>
      <c r="V266" s="880"/>
      <c r="W266" s="88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154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  <c r="AR266" s="760"/>
      <c r="AS266" s="760"/>
    </row>
    <row r="267" spans="1:45" hidden="1" x14ac:dyDescent="0.2">
      <c r="A267" s="760"/>
      <c r="B267" s="760"/>
      <c r="C267" s="760"/>
      <c r="D267" s="760"/>
      <c r="E267" s="760"/>
      <c r="F267" s="760"/>
      <c r="G267" s="760"/>
      <c r="H267" s="760"/>
      <c r="I267" s="760"/>
      <c r="J267" s="760"/>
      <c r="K267" s="760"/>
      <c r="L267" s="880"/>
      <c r="M267" s="880"/>
      <c r="N267" s="880"/>
      <c r="O267" s="760"/>
      <c r="P267" s="760"/>
      <c r="Q267" s="760"/>
      <c r="R267" s="760"/>
      <c r="S267" s="760"/>
      <c r="T267" s="880"/>
      <c r="U267" s="880"/>
      <c r="V267" s="880"/>
      <c r="W267" s="88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154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  <c r="AR267" s="760"/>
      <c r="AS267" s="760"/>
    </row>
    <row r="268" spans="1:45" hidden="1" x14ac:dyDescent="0.2">
      <c r="A268" s="760"/>
      <c r="B268" s="760"/>
      <c r="C268" s="760"/>
      <c r="D268" s="760"/>
      <c r="E268" s="760"/>
      <c r="F268" s="760"/>
      <c r="G268" s="760"/>
      <c r="H268" s="760"/>
      <c r="I268" s="760"/>
      <c r="J268" s="760"/>
      <c r="K268" s="760"/>
      <c r="L268" s="880"/>
      <c r="M268" s="880"/>
      <c r="N268" s="880"/>
      <c r="O268" s="760"/>
      <c r="P268" s="760"/>
      <c r="Q268" s="760"/>
      <c r="R268" s="760"/>
      <c r="S268" s="760"/>
      <c r="T268" s="880"/>
      <c r="U268" s="880"/>
      <c r="V268" s="880"/>
      <c r="W268" s="88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154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  <c r="AR268" s="760"/>
      <c r="AS268" s="760"/>
    </row>
    <row r="269" spans="1:45" hidden="1" x14ac:dyDescent="0.2">
      <c r="A269" s="760"/>
      <c r="B269" s="760"/>
      <c r="C269" s="760"/>
      <c r="D269" s="760"/>
      <c r="E269" s="760"/>
      <c r="F269" s="760"/>
      <c r="G269" s="760"/>
      <c r="H269" s="760"/>
      <c r="I269" s="760"/>
      <c r="J269" s="760"/>
      <c r="K269" s="760"/>
      <c r="L269" s="880"/>
      <c r="M269" s="880"/>
      <c r="N269" s="880"/>
      <c r="O269" s="760"/>
      <c r="P269" s="760"/>
      <c r="Q269" s="760"/>
      <c r="R269" s="760"/>
      <c r="S269" s="760"/>
      <c r="T269" s="880"/>
      <c r="U269" s="880"/>
      <c r="V269" s="880"/>
      <c r="W269" s="88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154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  <c r="AR269" s="760"/>
      <c r="AS269" s="760"/>
    </row>
    <row r="270" spans="1:45" hidden="1" x14ac:dyDescent="0.2">
      <c r="A270" s="760"/>
      <c r="B270" s="760"/>
      <c r="C270" s="760"/>
      <c r="D270" s="760"/>
      <c r="E270" s="760"/>
      <c r="F270" s="760"/>
      <c r="G270" s="760"/>
      <c r="H270" s="760"/>
      <c r="I270" s="760"/>
      <c r="J270" s="760"/>
      <c r="K270" s="760"/>
      <c r="L270" s="880"/>
      <c r="M270" s="880"/>
      <c r="N270" s="880"/>
      <c r="O270" s="760"/>
      <c r="P270" s="760"/>
      <c r="Q270" s="760"/>
      <c r="R270" s="760"/>
      <c r="S270" s="760"/>
      <c r="T270" s="880"/>
      <c r="U270" s="880"/>
      <c r="V270" s="880"/>
      <c r="W270" s="88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154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  <c r="AR270" s="760"/>
      <c r="AS270" s="760"/>
    </row>
    <row r="271" spans="1:45" hidden="1" x14ac:dyDescent="0.2">
      <c r="A271" s="760"/>
      <c r="B271" s="760"/>
      <c r="C271" s="760"/>
      <c r="D271" s="760"/>
      <c r="E271" s="760"/>
      <c r="F271" s="760"/>
      <c r="G271" s="760"/>
      <c r="H271" s="760"/>
      <c r="I271" s="760"/>
      <c r="J271" s="760"/>
      <c r="K271" s="760"/>
      <c r="L271" s="880"/>
      <c r="M271" s="880"/>
      <c r="N271" s="880"/>
      <c r="O271" s="760"/>
      <c r="P271" s="760"/>
      <c r="Q271" s="760"/>
      <c r="R271" s="760"/>
      <c r="S271" s="760"/>
      <c r="T271" s="880"/>
      <c r="U271" s="880"/>
      <c r="V271" s="880"/>
      <c r="W271" s="88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154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  <c r="AR271" s="760"/>
      <c r="AS271" s="760"/>
    </row>
    <row r="272" spans="1:45" hidden="1" x14ac:dyDescent="0.2">
      <c r="A272" s="760"/>
      <c r="B272" s="760"/>
      <c r="C272" s="760"/>
      <c r="D272" s="760"/>
      <c r="E272" s="760"/>
      <c r="F272" s="760"/>
      <c r="G272" s="760"/>
      <c r="H272" s="760"/>
      <c r="I272" s="760"/>
      <c r="J272" s="760"/>
      <c r="K272" s="760"/>
      <c r="L272" s="880"/>
      <c r="M272" s="880"/>
      <c r="N272" s="880"/>
      <c r="O272" s="760"/>
      <c r="P272" s="760"/>
      <c r="Q272" s="760"/>
      <c r="R272" s="760"/>
      <c r="S272" s="760"/>
      <c r="T272" s="880"/>
      <c r="U272" s="880"/>
      <c r="V272" s="880"/>
      <c r="W272" s="88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154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  <c r="AR272" s="760"/>
      <c r="AS272" s="760"/>
    </row>
    <row r="273" spans="1:45" hidden="1" x14ac:dyDescent="0.2">
      <c r="A273" s="760"/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880"/>
      <c r="M273" s="880"/>
      <c r="N273" s="880"/>
      <c r="O273" s="760"/>
      <c r="P273" s="760"/>
      <c r="Q273" s="760"/>
      <c r="R273" s="760"/>
      <c r="S273" s="760"/>
      <c r="T273" s="880"/>
      <c r="U273" s="880"/>
      <c r="V273" s="880"/>
      <c r="W273" s="88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154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  <c r="AR273" s="760"/>
      <c r="AS273" s="760"/>
    </row>
    <row r="274" spans="1:45" hidden="1" x14ac:dyDescent="0.2">
      <c r="A274" s="760"/>
      <c r="B274" s="760"/>
      <c r="C274" s="760"/>
      <c r="D274" s="760"/>
      <c r="E274" s="760"/>
      <c r="F274" s="760"/>
      <c r="G274" s="760"/>
      <c r="H274" s="760"/>
      <c r="I274" s="760"/>
      <c r="J274" s="760"/>
      <c r="K274" s="760"/>
      <c r="L274" s="880"/>
      <c r="M274" s="880"/>
      <c r="N274" s="880"/>
      <c r="O274" s="760"/>
      <c r="P274" s="760"/>
      <c r="Q274" s="760"/>
      <c r="R274" s="760"/>
      <c r="S274" s="760"/>
      <c r="T274" s="880"/>
      <c r="U274" s="880"/>
      <c r="V274" s="880"/>
      <c r="W274" s="88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154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  <c r="AR274" s="760"/>
      <c r="AS274" s="760"/>
    </row>
    <row r="275" spans="1:45" hidden="1" x14ac:dyDescent="0.2">
      <c r="A275" s="760"/>
      <c r="B275" s="760"/>
      <c r="C275" s="760"/>
      <c r="D275" s="760"/>
      <c r="E275" s="760"/>
      <c r="F275" s="760"/>
      <c r="G275" s="760"/>
      <c r="H275" s="760"/>
      <c r="I275" s="760"/>
      <c r="J275" s="760"/>
      <c r="K275" s="760"/>
      <c r="L275" s="880"/>
      <c r="M275" s="880"/>
      <c r="N275" s="880"/>
      <c r="O275" s="760"/>
      <c r="P275" s="760"/>
      <c r="Q275" s="760"/>
      <c r="R275" s="760"/>
      <c r="S275" s="760"/>
      <c r="T275" s="880"/>
      <c r="U275" s="880"/>
      <c r="V275" s="880"/>
      <c r="W275" s="88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154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  <c r="AR275" s="760"/>
      <c r="AS275" s="760"/>
    </row>
    <row r="276" spans="1:45" hidden="1" x14ac:dyDescent="0.2">
      <c r="A276" s="760"/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880"/>
      <c r="M276" s="880"/>
      <c r="N276" s="880"/>
      <c r="O276" s="760"/>
      <c r="P276" s="760"/>
      <c r="Q276" s="760"/>
      <c r="R276" s="760"/>
      <c r="S276" s="760"/>
      <c r="T276" s="880"/>
      <c r="U276" s="880"/>
      <c r="V276" s="880"/>
      <c r="W276" s="88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154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  <c r="AR276" s="760"/>
      <c r="AS276" s="760"/>
    </row>
    <row r="277" spans="1:45" hidden="1" x14ac:dyDescent="0.2">
      <c r="A277" s="760"/>
      <c r="B277" s="760"/>
      <c r="C277" s="760"/>
      <c r="D277" s="760"/>
      <c r="E277" s="760"/>
      <c r="F277" s="760"/>
      <c r="G277" s="760"/>
      <c r="H277" s="760"/>
      <c r="I277" s="760"/>
      <c r="J277" s="760"/>
      <c r="K277" s="760"/>
      <c r="L277" s="880"/>
      <c r="M277" s="880"/>
      <c r="N277" s="880"/>
      <c r="O277" s="760"/>
      <c r="P277" s="760"/>
      <c r="Q277" s="760"/>
      <c r="R277" s="760"/>
      <c r="S277" s="760"/>
      <c r="T277" s="880"/>
      <c r="U277" s="880"/>
      <c r="V277" s="880"/>
      <c r="W277" s="88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154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  <c r="AR277" s="760"/>
      <c r="AS277" s="760"/>
    </row>
    <row r="278" spans="1:45" hidden="1" x14ac:dyDescent="0.2">
      <c r="A278" s="760"/>
      <c r="B278" s="760"/>
      <c r="C278" s="760"/>
      <c r="D278" s="760"/>
      <c r="E278" s="760"/>
      <c r="F278" s="760"/>
      <c r="G278" s="760"/>
      <c r="H278" s="760"/>
      <c r="I278" s="760"/>
      <c r="J278" s="760"/>
      <c r="K278" s="760"/>
      <c r="L278" s="880"/>
      <c r="M278" s="880"/>
      <c r="N278" s="880"/>
      <c r="O278" s="760"/>
      <c r="P278" s="760"/>
      <c r="Q278" s="760"/>
      <c r="R278" s="760"/>
      <c r="S278" s="760"/>
      <c r="T278" s="880"/>
      <c r="U278" s="880"/>
      <c r="V278" s="880"/>
      <c r="W278" s="88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154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  <c r="AR278" s="760"/>
      <c r="AS278" s="760"/>
    </row>
    <row r="279" spans="1:45" hidden="1" x14ac:dyDescent="0.2">
      <c r="A279" s="760"/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880"/>
      <c r="M279" s="880"/>
      <c r="N279" s="880"/>
      <c r="O279" s="760"/>
      <c r="P279" s="760"/>
      <c r="Q279" s="760"/>
      <c r="R279" s="760"/>
      <c r="S279" s="760"/>
      <c r="T279" s="880"/>
      <c r="U279" s="880"/>
      <c r="V279" s="880"/>
      <c r="W279" s="88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154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  <c r="AR279" s="760"/>
      <c r="AS279" s="760"/>
    </row>
    <row r="280" spans="1:45" hidden="1" x14ac:dyDescent="0.2">
      <c r="A280" s="760"/>
      <c r="B280" s="760"/>
      <c r="C280" s="760"/>
      <c r="D280" s="760"/>
      <c r="E280" s="760"/>
      <c r="F280" s="760"/>
      <c r="G280" s="760"/>
      <c r="H280" s="760"/>
      <c r="I280" s="760"/>
      <c r="J280" s="760"/>
      <c r="K280" s="760"/>
      <c r="L280" s="880"/>
      <c r="M280" s="880"/>
      <c r="N280" s="880"/>
      <c r="O280" s="760"/>
      <c r="P280" s="760"/>
      <c r="Q280" s="760"/>
      <c r="R280" s="760"/>
      <c r="S280" s="760"/>
      <c r="T280" s="880"/>
      <c r="U280" s="880"/>
      <c r="V280" s="880"/>
      <c r="W280" s="88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154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  <c r="AR280" s="760"/>
      <c r="AS280" s="760"/>
    </row>
    <row r="281" spans="1:45" hidden="1" x14ac:dyDescent="0.2">
      <c r="A281" s="760"/>
      <c r="B281" s="760"/>
      <c r="C281" s="760"/>
      <c r="D281" s="760"/>
      <c r="E281" s="760"/>
      <c r="F281" s="760"/>
      <c r="G281" s="760"/>
      <c r="H281" s="760"/>
      <c r="I281" s="760"/>
      <c r="J281" s="760"/>
      <c r="K281" s="760"/>
      <c r="L281" s="880"/>
      <c r="M281" s="880"/>
      <c r="N281" s="880"/>
      <c r="O281" s="760"/>
      <c r="P281" s="760"/>
      <c r="Q281" s="760"/>
      <c r="R281" s="760"/>
      <c r="S281" s="760"/>
      <c r="T281" s="880"/>
      <c r="U281" s="880"/>
      <c r="V281" s="880"/>
      <c r="W281" s="88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154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  <c r="AR281" s="760"/>
      <c r="AS281" s="760"/>
    </row>
    <row r="282" spans="1:45" hidden="1" x14ac:dyDescent="0.2">
      <c r="A282" s="760"/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880"/>
      <c r="M282" s="880"/>
      <c r="N282" s="880"/>
      <c r="O282" s="760"/>
      <c r="P282" s="760"/>
      <c r="Q282" s="760"/>
      <c r="R282" s="760"/>
      <c r="S282" s="760"/>
      <c r="T282" s="880"/>
      <c r="U282" s="880"/>
      <c r="V282" s="880"/>
      <c r="W282" s="88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154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  <c r="AR282" s="760"/>
      <c r="AS282" s="760"/>
    </row>
    <row r="283" spans="1:45" hidden="1" x14ac:dyDescent="0.2">
      <c r="A283" s="760"/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880"/>
      <c r="M283" s="880"/>
      <c r="N283" s="880"/>
      <c r="O283" s="760"/>
      <c r="P283" s="760"/>
      <c r="Q283" s="760"/>
      <c r="R283" s="760"/>
      <c r="S283" s="760"/>
      <c r="T283" s="880"/>
      <c r="U283" s="880"/>
      <c r="V283" s="880"/>
      <c r="W283" s="88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154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  <c r="AR283" s="760"/>
      <c r="AS283" s="760"/>
    </row>
    <row r="284" spans="1:45" hidden="1" x14ac:dyDescent="0.2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880"/>
      <c r="M284" s="880"/>
      <c r="N284" s="880"/>
      <c r="O284" s="760"/>
      <c r="P284" s="760"/>
      <c r="Q284" s="760"/>
      <c r="R284" s="760"/>
      <c r="S284" s="760"/>
      <c r="T284" s="880"/>
      <c r="U284" s="880"/>
      <c r="V284" s="880"/>
      <c r="W284" s="88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154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  <c r="AR284" s="760"/>
      <c r="AS284" s="760"/>
    </row>
    <row r="285" spans="1:45" hidden="1" x14ac:dyDescent="0.2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880"/>
      <c r="M285" s="880"/>
      <c r="N285" s="880"/>
      <c r="O285" s="760"/>
      <c r="P285" s="760"/>
      <c r="Q285" s="760"/>
      <c r="R285" s="760"/>
      <c r="S285" s="760"/>
      <c r="T285" s="880"/>
      <c r="U285" s="880"/>
      <c r="V285" s="880"/>
      <c r="W285" s="88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154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  <c r="AR285" s="760"/>
      <c r="AS285" s="760"/>
    </row>
    <row r="286" spans="1:45" hidden="1" x14ac:dyDescent="0.2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880"/>
      <c r="M286" s="880"/>
      <c r="N286" s="880"/>
      <c r="O286" s="760"/>
      <c r="P286" s="760"/>
      <c r="Q286" s="760"/>
      <c r="R286" s="760"/>
      <c r="S286" s="760"/>
      <c r="T286" s="880"/>
      <c r="U286" s="880"/>
      <c r="V286" s="880"/>
      <c r="W286" s="88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154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  <c r="AR286" s="760"/>
      <c r="AS286" s="760"/>
    </row>
    <row r="287" spans="1:45" hidden="1" x14ac:dyDescent="0.2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880"/>
      <c r="M287" s="880"/>
      <c r="N287" s="880"/>
      <c r="O287" s="760"/>
      <c r="P287" s="760"/>
      <c r="Q287" s="760"/>
      <c r="R287" s="760"/>
      <c r="S287" s="760"/>
      <c r="T287" s="880"/>
      <c r="U287" s="880"/>
      <c r="V287" s="880"/>
      <c r="W287" s="88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154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  <c r="AR287" s="760"/>
      <c r="AS287" s="760"/>
    </row>
    <row r="288" spans="1:45" hidden="1" x14ac:dyDescent="0.2">
      <c r="A288" s="760"/>
      <c r="B288" s="760"/>
      <c r="C288" s="760"/>
      <c r="D288" s="760"/>
      <c r="E288" s="760"/>
      <c r="F288" s="760"/>
      <c r="G288" s="760"/>
      <c r="H288" s="760"/>
      <c r="I288" s="760"/>
      <c r="J288" s="760"/>
      <c r="K288" s="760"/>
      <c r="L288" s="880"/>
      <c r="M288" s="880"/>
      <c r="N288" s="880"/>
      <c r="O288" s="760"/>
      <c r="P288" s="760"/>
      <c r="Q288" s="760"/>
      <c r="R288" s="760"/>
      <c r="S288" s="760"/>
      <c r="T288" s="880"/>
      <c r="U288" s="880"/>
      <c r="V288" s="880"/>
      <c r="W288" s="88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154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  <c r="AR288" s="760"/>
      <c r="AS288" s="760"/>
    </row>
    <row r="289" spans="1:45" hidden="1" x14ac:dyDescent="0.2">
      <c r="A289" s="760"/>
      <c r="B289" s="760"/>
      <c r="C289" s="760"/>
      <c r="D289" s="760"/>
      <c r="E289" s="760"/>
      <c r="F289" s="760"/>
      <c r="G289" s="760"/>
      <c r="H289" s="760"/>
      <c r="I289" s="760"/>
      <c r="J289" s="760"/>
      <c r="K289" s="760"/>
      <c r="L289" s="880"/>
      <c r="M289" s="880"/>
      <c r="N289" s="880"/>
      <c r="O289" s="760"/>
      <c r="P289" s="760"/>
      <c r="Q289" s="760"/>
      <c r="R289" s="760"/>
      <c r="S289" s="760"/>
      <c r="T289" s="880"/>
      <c r="U289" s="880"/>
      <c r="V289" s="880"/>
      <c r="W289" s="88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154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  <c r="AR289" s="760"/>
      <c r="AS289" s="760"/>
    </row>
    <row r="290" spans="1:45" hidden="1" x14ac:dyDescent="0.2">
      <c r="A290" s="760"/>
      <c r="B290" s="760"/>
      <c r="C290" s="760"/>
      <c r="D290" s="760"/>
      <c r="E290" s="760"/>
      <c r="F290" s="760"/>
      <c r="G290" s="760"/>
      <c r="H290" s="760"/>
      <c r="I290" s="760"/>
      <c r="J290" s="760"/>
      <c r="K290" s="760"/>
      <c r="L290" s="880"/>
      <c r="M290" s="880"/>
      <c r="N290" s="880"/>
      <c r="O290" s="760"/>
      <c r="P290" s="760"/>
      <c r="Q290" s="760"/>
      <c r="R290" s="760"/>
      <c r="S290" s="760"/>
      <c r="T290" s="880"/>
      <c r="U290" s="880"/>
      <c r="V290" s="880"/>
      <c r="W290" s="88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154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  <c r="AR290" s="760"/>
      <c r="AS290" s="760"/>
    </row>
    <row r="291" spans="1:45" hidden="1" x14ac:dyDescent="0.2">
      <c r="A291" s="760"/>
      <c r="B291" s="760"/>
      <c r="C291" s="760"/>
      <c r="D291" s="760"/>
      <c r="E291" s="760"/>
      <c r="F291" s="760"/>
      <c r="G291" s="760"/>
      <c r="H291" s="760"/>
      <c r="I291" s="760"/>
      <c r="J291" s="760"/>
      <c r="K291" s="760"/>
      <c r="L291" s="880"/>
      <c r="M291" s="880"/>
      <c r="N291" s="880"/>
      <c r="O291" s="760"/>
      <c r="P291" s="760"/>
      <c r="Q291" s="760"/>
      <c r="R291" s="760"/>
      <c r="S291" s="760"/>
      <c r="T291" s="880"/>
      <c r="U291" s="880"/>
      <c r="V291" s="880"/>
      <c r="W291" s="88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154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  <c r="AR291" s="760"/>
      <c r="AS291" s="760"/>
    </row>
    <row r="292" spans="1:45" hidden="1" x14ac:dyDescent="0.2">
      <c r="A292" s="760"/>
      <c r="B292" s="760"/>
      <c r="C292" s="760"/>
      <c r="D292" s="760"/>
      <c r="E292" s="760"/>
      <c r="F292" s="760"/>
      <c r="G292" s="760"/>
      <c r="H292" s="760"/>
      <c r="I292" s="760"/>
      <c r="J292" s="760"/>
      <c r="K292" s="760"/>
      <c r="L292" s="880"/>
      <c r="M292" s="880"/>
      <c r="N292" s="880"/>
      <c r="O292" s="760"/>
      <c r="P292" s="760"/>
      <c r="Q292" s="760"/>
      <c r="R292" s="760"/>
      <c r="S292" s="760"/>
      <c r="T292" s="880"/>
      <c r="U292" s="880"/>
      <c r="V292" s="880"/>
      <c r="W292" s="88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154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  <c r="AR292" s="760"/>
      <c r="AS292" s="760"/>
    </row>
    <row r="293" spans="1:45" hidden="1" x14ac:dyDescent="0.2">
      <c r="A293" s="760"/>
      <c r="B293" s="760"/>
      <c r="C293" s="760"/>
      <c r="D293" s="760"/>
      <c r="E293" s="760"/>
      <c r="F293" s="760"/>
      <c r="G293" s="760"/>
      <c r="H293" s="760"/>
      <c r="I293" s="760"/>
      <c r="J293" s="760"/>
      <c r="K293" s="760"/>
      <c r="L293" s="880"/>
      <c r="M293" s="880"/>
      <c r="N293" s="880"/>
      <c r="O293" s="760"/>
      <c r="P293" s="760"/>
      <c r="Q293" s="760"/>
      <c r="R293" s="760"/>
      <c r="S293" s="760"/>
      <c r="T293" s="880"/>
      <c r="U293" s="880"/>
      <c r="V293" s="880"/>
      <c r="W293" s="88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154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  <c r="AR293" s="760"/>
      <c r="AS293" s="760"/>
    </row>
    <row r="294" spans="1:45" hidden="1" x14ac:dyDescent="0.2">
      <c r="A294" s="760"/>
      <c r="B294" s="760"/>
      <c r="C294" s="760"/>
      <c r="D294" s="760"/>
      <c r="E294" s="760"/>
      <c r="F294" s="760"/>
      <c r="G294" s="760"/>
      <c r="H294" s="760"/>
      <c r="I294" s="760"/>
      <c r="J294" s="760"/>
      <c r="K294" s="760"/>
      <c r="L294" s="880"/>
      <c r="M294" s="880"/>
      <c r="N294" s="880"/>
      <c r="O294" s="760"/>
      <c r="P294" s="760"/>
      <c r="Q294" s="760"/>
      <c r="R294" s="760"/>
      <c r="S294" s="760"/>
      <c r="T294" s="880"/>
      <c r="U294" s="880"/>
      <c r="V294" s="880"/>
      <c r="W294" s="88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154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  <c r="AR294" s="760"/>
      <c r="AS294" s="760"/>
    </row>
    <row r="295" spans="1:45" hidden="1" x14ac:dyDescent="0.2">
      <c r="A295" s="760"/>
      <c r="B295" s="760"/>
      <c r="C295" s="760"/>
      <c r="D295" s="760"/>
      <c r="E295" s="760"/>
      <c r="F295" s="760"/>
      <c r="G295" s="760"/>
      <c r="H295" s="760"/>
      <c r="I295" s="760"/>
      <c r="J295" s="760"/>
      <c r="K295" s="760"/>
      <c r="L295" s="880"/>
      <c r="M295" s="880"/>
      <c r="N295" s="880"/>
      <c r="O295" s="760"/>
      <c r="P295" s="760"/>
      <c r="Q295" s="760"/>
      <c r="R295" s="760"/>
      <c r="S295" s="760"/>
      <c r="T295" s="880"/>
      <c r="U295" s="880"/>
      <c r="V295" s="880"/>
      <c r="W295" s="88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154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  <c r="AR295" s="760"/>
      <c r="AS295" s="760"/>
    </row>
    <row r="296" spans="1:45" hidden="1" x14ac:dyDescent="0.2">
      <c r="A296" s="760"/>
      <c r="B296" s="760"/>
      <c r="C296" s="760"/>
      <c r="D296" s="760"/>
      <c r="E296" s="760"/>
      <c r="F296" s="760"/>
      <c r="G296" s="760"/>
      <c r="H296" s="760"/>
      <c r="I296" s="760"/>
      <c r="J296" s="760"/>
      <c r="K296" s="760"/>
      <c r="L296" s="880"/>
      <c r="M296" s="880"/>
      <c r="N296" s="880"/>
      <c r="O296" s="760"/>
      <c r="P296" s="760"/>
      <c r="Q296" s="760"/>
      <c r="R296" s="760"/>
      <c r="S296" s="760"/>
      <c r="T296" s="880"/>
      <c r="U296" s="880"/>
      <c r="V296" s="880"/>
      <c r="W296" s="88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154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  <c r="AR296" s="760"/>
      <c r="AS296" s="760"/>
    </row>
    <row r="297" spans="1:45" hidden="1" x14ac:dyDescent="0.2">
      <c r="A297" s="760"/>
      <c r="B297" s="760"/>
      <c r="C297" s="760"/>
      <c r="D297" s="760"/>
      <c r="E297" s="760"/>
      <c r="F297" s="760"/>
      <c r="G297" s="760"/>
      <c r="H297" s="760"/>
      <c r="I297" s="760"/>
      <c r="J297" s="760"/>
      <c r="K297" s="760"/>
      <c r="L297" s="880"/>
      <c r="M297" s="880"/>
      <c r="N297" s="880"/>
      <c r="O297" s="760"/>
      <c r="P297" s="760"/>
      <c r="Q297" s="760"/>
      <c r="R297" s="760"/>
      <c r="S297" s="760"/>
      <c r="T297" s="880"/>
      <c r="U297" s="880"/>
      <c r="V297" s="880"/>
      <c r="W297" s="88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154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  <c r="AR297" s="760"/>
      <c r="AS297" s="760"/>
    </row>
    <row r="298" spans="1:45" x14ac:dyDescent="0.2">
      <c r="A298" s="760"/>
      <c r="B298" s="760"/>
      <c r="C298" s="760"/>
      <c r="D298" s="760"/>
      <c r="E298" s="760"/>
      <c r="F298" s="760"/>
      <c r="G298" s="760"/>
      <c r="H298" s="760"/>
      <c r="I298" s="760"/>
      <c r="J298" s="760"/>
      <c r="K298" s="760"/>
      <c r="L298" s="880"/>
      <c r="M298" s="880"/>
      <c r="N298" s="880"/>
      <c r="O298" s="760"/>
      <c r="P298" s="760"/>
      <c r="Q298" s="760"/>
      <c r="R298" s="760"/>
      <c r="S298" s="760"/>
      <c r="T298" s="880"/>
      <c r="U298" s="880"/>
      <c r="V298" s="880"/>
      <c r="W298" s="88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  <c r="AR298" s="760"/>
      <c r="AS298" s="760"/>
    </row>
    <row r="299" spans="1:45" x14ac:dyDescent="0.2">
      <c r="A299" s="760"/>
      <c r="B299" s="760"/>
      <c r="C299" s="912" t="s">
        <v>232</v>
      </c>
      <c r="D299" s="814"/>
      <c r="E299" s="814"/>
      <c r="F299" s="919"/>
      <c r="G299" s="760"/>
      <c r="H299" s="760"/>
      <c r="I299" s="760"/>
      <c r="J299" s="760"/>
      <c r="K299" s="760"/>
      <c r="L299" s="880"/>
      <c r="M299" s="880"/>
      <c r="N299" s="880"/>
      <c r="O299" s="760"/>
      <c r="P299" s="760"/>
      <c r="Q299" s="760"/>
      <c r="R299" s="760"/>
      <c r="S299" s="760"/>
      <c r="T299" s="880"/>
      <c r="U299" s="880"/>
      <c r="V299" s="880"/>
      <c r="W299" s="88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  <c r="AR299" s="760"/>
      <c r="AS299" s="760"/>
    </row>
    <row r="300" spans="1:45" x14ac:dyDescent="0.2">
      <c r="A300" s="815">
        <v>1</v>
      </c>
      <c r="B300" s="816" t="str">
        <f>IFERROR(INDEX(B$1:B$100,MATCH(A300,A$1:A$100,0)),"")</f>
        <v>Jaan Sepp, Oskar Sepp</v>
      </c>
      <c r="C300" s="755">
        <f>IF(16-A300&gt;0,16-A300,1)</f>
        <v>15</v>
      </c>
      <c r="D300" s="755"/>
      <c r="E300" s="755"/>
      <c r="F300" s="920"/>
      <c r="G300" s="760"/>
      <c r="H300" s="760"/>
      <c r="I300" s="760"/>
      <c r="J300" s="921"/>
      <c r="K300" s="880"/>
      <c r="L300" s="880"/>
      <c r="M300" s="880"/>
      <c r="N300" s="880"/>
      <c r="O300" s="880"/>
      <c r="P300" s="880"/>
      <c r="Q300" s="880"/>
      <c r="R300" s="880"/>
      <c r="S300" s="880"/>
      <c r="T300" s="880"/>
      <c r="U300" s="880"/>
      <c r="V300" s="880"/>
      <c r="W300" s="88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  <c r="AR300" s="760"/>
      <c r="AS300" s="760"/>
    </row>
    <row r="301" spans="1:45" x14ac:dyDescent="0.2">
      <c r="A301" s="815">
        <v>2</v>
      </c>
      <c r="B301" s="816" t="str">
        <f t="shared" ref="B301:B307" si="9">IFERROR(INDEX(B$1:B$100,MATCH(A301,A$1:A$100,0)),"")</f>
        <v>Aigi Orro, Johannes Neiland</v>
      </c>
      <c r="C301" s="755">
        <f t="shared" ref="C301:C307" si="10">IF(16-A301&gt;0,16-A301,1)</f>
        <v>14</v>
      </c>
      <c r="D301" s="817"/>
      <c r="E301" s="817"/>
      <c r="F301" s="920"/>
      <c r="G301" s="760"/>
      <c r="H301" s="760"/>
      <c r="I301" s="760"/>
      <c r="J301" s="921"/>
      <c r="K301" s="880"/>
      <c r="L301" s="880"/>
      <c r="M301" s="880"/>
      <c r="N301" s="880"/>
      <c r="O301" s="880"/>
      <c r="P301" s="880"/>
      <c r="Q301" s="880"/>
      <c r="R301" s="880"/>
      <c r="S301" s="880"/>
      <c r="T301" s="880"/>
      <c r="U301" s="880"/>
      <c r="V301" s="880"/>
      <c r="W301" s="88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  <c r="AR301" s="760"/>
      <c r="AS301" s="760"/>
    </row>
    <row r="302" spans="1:45" x14ac:dyDescent="0.2">
      <c r="A302" s="815">
        <v>3</v>
      </c>
      <c r="B302" s="816" t="str">
        <f t="shared" si="9"/>
        <v>Ivar Viljaste, Kristo Viljaste</v>
      </c>
      <c r="C302" s="755">
        <f t="shared" si="10"/>
        <v>13</v>
      </c>
      <c r="D302" s="817"/>
      <c r="E302" s="817"/>
      <c r="F302" s="920"/>
      <c r="G302" s="760"/>
      <c r="H302" s="760"/>
      <c r="I302" s="760"/>
      <c r="J302" s="921"/>
      <c r="K302" s="880"/>
      <c r="L302" s="880"/>
      <c r="M302" s="880"/>
      <c r="N302" s="880"/>
      <c r="O302" s="880"/>
      <c r="P302" s="880"/>
      <c r="Q302" s="880"/>
      <c r="R302" s="880"/>
      <c r="S302" s="880"/>
      <c r="T302" s="880"/>
      <c r="U302" s="880"/>
      <c r="V302" s="880"/>
      <c r="W302" s="88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  <c r="AR302" s="760"/>
      <c r="AS302" s="760"/>
    </row>
    <row r="303" spans="1:45" x14ac:dyDescent="0.2">
      <c r="A303" s="815">
        <v>4</v>
      </c>
      <c r="B303" s="816" t="str">
        <f t="shared" si="9"/>
        <v>Andrei Grintšak, Boriss Klubov</v>
      </c>
      <c r="C303" s="755">
        <f t="shared" si="10"/>
        <v>12</v>
      </c>
      <c r="D303" s="817"/>
      <c r="E303" s="817"/>
      <c r="F303" s="920"/>
      <c r="G303" s="760"/>
      <c r="H303" s="760"/>
      <c r="I303" s="760"/>
      <c r="J303" s="921"/>
      <c r="K303" s="880"/>
      <c r="L303" s="880"/>
      <c r="M303" s="880"/>
      <c r="N303" s="880"/>
      <c r="O303" s="880"/>
      <c r="P303" s="880"/>
      <c r="Q303" s="880"/>
      <c r="R303" s="880"/>
      <c r="S303" s="880"/>
      <c r="T303" s="880"/>
      <c r="U303" s="880"/>
      <c r="V303" s="880"/>
      <c r="W303" s="88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  <c r="AR303" s="760"/>
      <c r="AS303" s="760"/>
    </row>
    <row r="304" spans="1:45" x14ac:dyDescent="0.2">
      <c r="A304" s="815">
        <v>5</v>
      </c>
      <c r="B304" s="816" t="str">
        <f t="shared" si="9"/>
        <v>Karla Purgats, Kenneth Muusikus</v>
      </c>
      <c r="C304" s="755">
        <f t="shared" si="10"/>
        <v>11</v>
      </c>
      <c r="D304" s="817"/>
      <c r="E304" s="817"/>
      <c r="F304" s="920"/>
      <c r="G304" s="760"/>
      <c r="H304" s="760"/>
      <c r="I304" s="760"/>
      <c r="J304" s="921"/>
      <c r="K304" s="880"/>
      <c r="L304" s="880"/>
      <c r="M304" s="880"/>
      <c r="N304" s="880"/>
      <c r="O304" s="880"/>
      <c r="P304" s="880"/>
      <c r="Q304" s="880"/>
      <c r="R304" s="880"/>
      <c r="S304" s="880"/>
      <c r="T304" s="880"/>
      <c r="U304" s="880"/>
      <c r="V304" s="880"/>
      <c r="W304" s="88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  <c r="AR304" s="760"/>
      <c r="AS304" s="760"/>
    </row>
    <row r="305" spans="1:45" x14ac:dyDescent="0.2">
      <c r="A305" s="815">
        <v>6</v>
      </c>
      <c r="B305" s="816" t="str">
        <f t="shared" si="9"/>
        <v>Meelis Luud, Urmas Randlaine</v>
      </c>
      <c r="C305" s="755">
        <f t="shared" si="10"/>
        <v>10</v>
      </c>
      <c r="D305" s="817"/>
      <c r="E305" s="817"/>
      <c r="F305" s="920"/>
      <c r="G305" s="760"/>
      <c r="H305" s="760"/>
      <c r="I305" s="760"/>
      <c r="J305" s="921"/>
      <c r="K305" s="880"/>
      <c r="L305" s="880"/>
      <c r="M305" s="880"/>
      <c r="N305" s="880"/>
      <c r="O305" s="880"/>
      <c r="P305" s="880"/>
      <c r="Q305" s="880"/>
      <c r="R305" s="880"/>
      <c r="S305" s="880"/>
      <c r="T305" s="880"/>
      <c r="U305" s="880"/>
      <c r="V305" s="880"/>
      <c r="W305" s="88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  <c r="AR305" s="760"/>
      <c r="AS305" s="760"/>
    </row>
    <row r="306" spans="1:45" x14ac:dyDescent="0.2">
      <c r="A306" s="815">
        <v>7</v>
      </c>
      <c r="B306" s="816" t="str">
        <f t="shared" si="9"/>
        <v>Elmo Lageda, Tõnu Piik</v>
      </c>
      <c r="C306" s="755">
        <f t="shared" si="10"/>
        <v>9</v>
      </c>
      <c r="D306" s="817"/>
      <c r="E306" s="817"/>
      <c r="F306" s="920"/>
      <c r="G306" s="760"/>
      <c r="H306" s="760"/>
      <c r="I306" s="760"/>
      <c r="J306" s="921"/>
      <c r="K306" s="880"/>
      <c r="L306" s="880"/>
      <c r="M306" s="880"/>
      <c r="N306" s="880"/>
      <c r="O306" s="880"/>
      <c r="P306" s="880"/>
      <c r="Q306" s="880"/>
      <c r="R306" s="880"/>
      <c r="S306" s="880"/>
      <c r="T306" s="880"/>
      <c r="U306" s="880"/>
      <c r="V306" s="880"/>
      <c r="W306" s="88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  <c r="AR306" s="760"/>
      <c r="AS306" s="760"/>
    </row>
    <row r="307" spans="1:45" x14ac:dyDescent="0.2">
      <c r="A307" s="815">
        <v>8</v>
      </c>
      <c r="B307" s="816" t="str">
        <f t="shared" si="9"/>
        <v>Illar Tõnurist, Jaan Saar</v>
      </c>
      <c r="C307" s="755">
        <f t="shared" si="10"/>
        <v>8</v>
      </c>
      <c r="D307" s="817"/>
      <c r="E307" s="817"/>
      <c r="F307" s="920"/>
      <c r="G307" s="760"/>
      <c r="H307" s="760"/>
      <c r="I307" s="760"/>
      <c r="J307" s="921"/>
      <c r="K307" s="880"/>
      <c r="L307" s="880"/>
      <c r="M307" s="880"/>
      <c r="N307" s="880"/>
      <c r="O307" s="880"/>
      <c r="P307" s="880"/>
      <c r="Q307" s="880"/>
      <c r="R307" s="880"/>
      <c r="S307" s="880"/>
      <c r="T307" s="880"/>
      <c r="U307" s="880"/>
      <c r="V307" s="880"/>
      <c r="W307" s="88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  <c r="AR307" s="760"/>
      <c r="AS307" s="760"/>
    </row>
    <row r="308" spans="1:45" x14ac:dyDescent="0.2">
      <c r="A308" s="815">
        <v>9</v>
      </c>
      <c r="B308" s="816" t="str">
        <f>IFERROR(INDEX(B$1:B$100,MATCH(A308,A$1:A$100,0)),"")</f>
        <v>Mait Metsla, Matti Vinni</v>
      </c>
      <c r="C308" s="755">
        <f>IF(16-A308&gt;0,16-A308,1)</f>
        <v>7</v>
      </c>
      <c r="D308" s="817"/>
      <c r="E308" s="817"/>
      <c r="F308" s="920"/>
      <c r="G308" s="760"/>
      <c r="H308" s="760"/>
      <c r="I308" s="760"/>
      <c r="J308" s="921"/>
      <c r="K308" s="880"/>
      <c r="L308" s="880"/>
      <c r="M308" s="880"/>
      <c r="N308" s="880"/>
      <c r="O308" s="880"/>
      <c r="P308" s="880"/>
      <c r="Q308" s="880"/>
      <c r="R308" s="880"/>
      <c r="S308" s="880"/>
      <c r="T308" s="880"/>
      <c r="U308" s="880"/>
      <c r="V308" s="880"/>
      <c r="W308" s="88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  <c r="AR308" s="760"/>
      <c r="AS308" s="760"/>
    </row>
    <row r="309" spans="1:45" x14ac:dyDescent="0.2">
      <c r="A309" s="815">
        <v>10</v>
      </c>
      <c r="B309" s="816" t="str">
        <f t="shared" ref="B309:B311" si="11">IFERROR(INDEX(B$1:B$100,MATCH(A309,A$1:A$100,0)),"")</f>
        <v>Enn Tokman, Tarmo Bombe</v>
      </c>
      <c r="C309" s="755">
        <f t="shared" ref="C309:C311" si="12">IF(16-A309&gt;0,16-A309,1)</f>
        <v>6</v>
      </c>
      <c r="D309" s="817"/>
      <c r="E309" s="817"/>
      <c r="F309" s="920"/>
      <c r="G309" s="760"/>
      <c r="H309" s="760"/>
      <c r="I309" s="760"/>
      <c r="J309" s="921"/>
      <c r="K309" s="880"/>
      <c r="L309" s="880"/>
      <c r="M309" s="880"/>
      <c r="N309" s="880"/>
      <c r="O309" s="880"/>
      <c r="P309" s="880"/>
      <c r="Q309" s="880"/>
      <c r="R309" s="880"/>
      <c r="S309" s="880"/>
      <c r="T309" s="880"/>
      <c r="U309" s="880"/>
      <c r="V309" s="880"/>
      <c r="W309" s="88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  <c r="AR309" s="760"/>
      <c r="AS309" s="760"/>
    </row>
    <row r="310" spans="1:45" x14ac:dyDescent="0.2">
      <c r="A310" s="815">
        <v>11</v>
      </c>
      <c r="B310" s="816" t="str">
        <f t="shared" si="11"/>
        <v>Ljudmila Varendi, Viktor Švarõgin</v>
      </c>
      <c r="C310" s="755">
        <f t="shared" si="12"/>
        <v>5</v>
      </c>
      <c r="D310" s="760"/>
      <c r="E310" s="760"/>
      <c r="F310" s="920"/>
      <c r="G310" s="760"/>
      <c r="H310" s="760"/>
      <c r="I310" s="760"/>
      <c r="J310" s="921"/>
      <c r="K310" s="880"/>
      <c r="L310" s="880"/>
      <c r="M310" s="880"/>
      <c r="N310" s="880"/>
      <c r="O310" s="880"/>
      <c r="P310" s="880"/>
      <c r="Q310" s="880"/>
      <c r="R310" s="880"/>
      <c r="S310" s="880"/>
      <c r="T310" s="880"/>
      <c r="U310" s="880"/>
      <c r="V310" s="880"/>
      <c r="W310" s="88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  <c r="AR310" s="760"/>
      <c r="AS310" s="760"/>
    </row>
    <row r="311" spans="1:45" x14ac:dyDescent="0.2">
      <c r="A311" s="815">
        <v>12</v>
      </c>
      <c r="B311" s="816" t="str">
        <f t="shared" si="11"/>
        <v>Klavdia Piik, Vladimir Ogneštšikov</v>
      </c>
      <c r="C311" s="755">
        <f t="shared" si="12"/>
        <v>4</v>
      </c>
      <c r="D311" s="760"/>
      <c r="E311" s="760"/>
      <c r="F311" s="920"/>
      <c r="G311" s="760"/>
      <c r="H311" s="760"/>
      <c r="I311" s="760"/>
      <c r="J311" s="921"/>
      <c r="K311" s="760"/>
      <c r="L311" s="880"/>
      <c r="M311" s="880"/>
      <c r="N311" s="880"/>
      <c r="O311" s="760"/>
      <c r="P311" s="760"/>
      <c r="Q311" s="760"/>
      <c r="R311" s="760"/>
      <c r="S311" s="760"/>
      <c r="T311" s="880"/>
      <c r="U311" s="880"/>
      <c r="V311" s="880"/>
      <c r="W311" s="88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  <c r="AR311" s="760"/>
      <c r="AS311" s="760"/>
    </row>
    <row r="312" spans="1:45" x14ac:dyDescent="0.2">
      <c r="A312" s="760"/>
      <c r="B312" s="760"/>
      <c r="C312" s="760"/>
      <c r="D312" s="760"/>
      <c r="E312" s="760"/>
      <c r="F312" s="760"/>
      <c r="G312" s="760"/>
      <c r="H312" s="760"/>
      <c r="I312" s="760"/>
      <c r="J312" s="760"/>
      <c r="K312" s="760"/>
      <c r="L312" s="880"/>
      <c r="M312" s="880"/>
      <c r="N312" s="880"/>
      <c r="O312" s="760"/>
      <c r="P312" s="760"/>
      <c r="Q312" s="760"/>
      <c r="R312" s="760"/>
      <c r="S312" s="760"/>
      <c r="T312" s="880"/>
      <c r="U312" s="880"/>
      <c r="V312" s="880"/>
      <c r="W312" s="88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  <c r="AJ312" s="760"/>
      <c r="AK312" s="760"/>
      <c r="AL312" s="760"/>
      <c r="AM312" s="760"/>
      <c r="AN312" s="760"/>
      <c r="AO312" s="760"/>
      <c r="AP312" s="760"/>
      <c r="AQ312" s="760"/>
      <c r="AR312" s="760"/>
      <c r="AS312" s="760"/>
    </row>
    <row r="313" spans="1:45" x14ac:dyDescent="0.2">
      <c r="A313" s="760"/>
      <c r="B313" s="760"/>
      <c r="C313" s="760"/>
      <c r="D313" s="760"/>
      <c r="E313" s="760"/>
      <c r="F313" s="760"/>
      <c r="G313" s="760"/>
      <c r="H313" s="760"/>
      <c r="I313" s="760"/>
      <c r="J313" s="760"/>
      <c r="K313" s="760"/>
      <c r="L313" s="880"/>
      <c r="M313" s="880"/>
      <c r="N313" s="880"/>
      <c r="O313" s="885"/>
      <c r="P313" s="760"/>
      <c r="Q313" s="760"/>
      <c r="R313" s="760"/>
      <c r="S313" s="760"/>
      <c r="T313" s="880"/>
      <c r="U313" s="880"/>
      <c r="V313" s="880"/>
      <c r="W313" s="88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  <c r="AJ313" s="760"/>
      <c r="AK313" s="760"/>
      <c r="AL313" s="760"/>
      <c r="AM313" s="760"/>
      <c r="AN313" s="760"/>
      <c r="AO313" s="760"/>
      <c r="AP313" s="760"/>
      <c r="AQ313" s="760"/>
      <c r="AR313" s="760"/>
      <c r="AS313" s="760"/>
    </row>
    <row r="314" spans="1:45" x14ac:dyDescent="0.2">
      <c r="A314" s="760"/>
      <c r="B314" s="760"/>
      <c r="C314" s="760"/>
      <c r="D314" s="760"/>
      <c r="E314" s="760"/>
      <c r="F314" s="760"/>
      <c r="G314" s="760"/>
      <c r="H314" s="760"/>
      <c r="I314" s="760"/>
      <c r="J314" s="760"/>
      <c r="K314" s="760"/>
      <c r="L314" s="880"/>
      <c r="M314" s="880"/>
      <c r="N314" s="880"/>
      <c r="O314" s="760"/>
      <c r="P314" s="760"/>
      <c r="Q314" s="760"/>
      <c r="R314" s="760"/>
      <c r="S314" s="760"/>
      <c r="T314" s="880"/>
      <c r="U314" s="880"/>
      <c r="V314" s="880"/>
      <c r="W314" s="880"/>
      <c r="X314" s="760"/>
      <c r="Y314" s="760"/>
      <c r="Z314" s="760"/>
      <c r="AA314" s="760"/>
      <c r="AB314" s="760"/>
      <c r="AC314" s="760"/>
      <c r="AD314" s="760"/>
      <c r="AE314" s="760"/>
      <c r="AF314" s="760"/>
      <c r="AG314" s="760"/>
      <c r="AH314" s="760"/>
      <c r="AI314" s="760"/>
      <c r="AJ314" s="760"/>
      <c r="AK314" s="760"/>
      <c r="AL314" s="760"/>
      <c r="AM314" s="760"/>
      <c r="AN314" s="760"/>
      <c r="AO314" s="760"/>
      <c r="AP314" s="760"/>
      <c r="AQ314" s="760"/>
      <c r="AR314" s="760"/>
      <c r="AS314" s="760"/>
    </row>
    <row r="315" spans="1:45" x14ac:dyDescent="0.2">
      <c r="A315" s="760"/>
      <c r="B315" s="760"/>
      <c r="C315" s="760"/>
      <c r="D315" s="760"/>
      <c r="E315" s="760"/>
      <c r="F315" s="760"/>
      <c r="G315" s="760"/>
      <c r="H315" s="760"/>
      <c r="I315" s="760"/>
      <c r="J315" s="760"/>
      <c r="K315" s="760"/>
      <c r="L315" s="880"/>
      <c r="M315" s="880"/>
      <c r="N315" s="880"/>
      <c r="O315" s="760"/>
      <c r="P315" s="760"/>
      <c r="Q315" s="760"/>
      <c r="R315" s="760"/>
      <c r="S315" s="760"/>
      <c r="T315" s="880"/>
      <c r="U315" s="880"/>
      <c r="V315" s="880"/>
      <c r="W315" s="880"/>
      <c r="X315" s="760"/>
      <c r="Y315" s="760"/>
      <c r="Z315" s="760"/>
      <c r="AA315" s="760"/>
      <c r="AB315" s="760"/>
      <c r="AC315" s="760"/>
      <c r="AD315" s="760"/>
      <c r="AE315" s="760"/>
      <c r="AF315" s="760"/>
      <c r="AG315" s="760"/>
      <c r="AH315" s="760"/>
      <c r="AI315" s="760"/>
      <c r="AJ315" s="760"/>
      <c r="AK315" s="760"/>
      <c r="AL315" s="760"/>
      <c r="AM315" s="760"/>
      <c r="AN315" s="760"/>
      <c r="AO315" s="760"/>
      <c r="AP315" s="760"/>
      <c r="AQ315" s="760"/>
      <c r="AR315" s="760"/>
      <c r="AS315" s="760"/>
    </row>
  </sheetData>
  <conditionalFormatting sqref="A300:A311">
    <cfRule type="duplicateValues" dxfId="3083" priority="48"/>
  </conditionalFormatting>
  <conditionalFormatting sqref="B300:B311">
    <cfRule type="expression" dxfId="3082" priority="40">
      <formula>A300=3</formula>
    </cfRule>
    <cfRule type="expression" dxfId="3081" priority="41">
      <formula>A300=2</formula>
    </cfRule>
    <cfRule type="expression" dxfId="3080" priority="42">
      <formula>A300=1</formula>
    </cfRule>
    <cfRule type="containsBlanks" dxfId="3079" priority="43">
      <formula>LEN(TRIM(B300))=0</formula>
    </cfRule>
    <cfRule type="duplicateValues" dxfId="3078" priority="44"/>
  </conditionalFormatting>
  <conditionalFormatting sqref="A8:A19">
    <cfRule type="duplicateValues" dxfId="3077" priority="39"/>
  </conditionalFormatting>
  <conditionalFormatting sqref="C8:C19">
    <cfRule type="expression" dxfId="3076" priority="21">
      <formula>IF($C8&gt;$E8,TRUE)</formula>
    </cfRule>
  </conditionalFormatting>
  <conditionalFormatting sqref="E8:E19">
    <cfRule type="expression" dxfId="3075" priority="22">
      <formula>IF($C8&lt;$E8,TRUE)</formula>
    </cfRule>
  </conditionalFormatting>
  <conditionalFormatting sqref="K8:K19">
    <cfRule type="expression" dxfId="3074" priority="29">
      <formula>IF($K8&gt;$M8,TRUE)</formula>
    </cfRule>
  </conditionalFormatting>
  <conditionalFormatting sqref="M8:M19">
    <cfRule type="expression" dxfId="3073" priority="30">
      <formula>IF($K8&lt;$M8,TRUE)</formula>
    </cfRule>
  </conditionalFormatting>
  <conditionalFormatting sqref="O8:O19">
    <cfRule type="expression" dxfId="3072" priority="33">
      <formula>IF($O8&gt;$Q8,TRUE)</formula>
    </cfRule>
  </conditionalFormatting>
  <conditionalFormatting sqref="Q8:Q19">
    <cfRule type="expression" dxfId="3071" priority="34">
      <formula>IF($O8&lt;$Q8,TRUE)</formula>
    </cfRule>
  </conditionalFormatting>
  <conditionalFormatting sqref="S8:S19">
    <cfRule type="expression" dxfId="3070" priority="37">
      <formula>IF($S8&gt;$U8,TRUE)</formula>
    </cfRule>
  </conditionalFormatting>
  <conditionalFormatting sqref="U8:U19">
    <cfRule type="expression" dxfId="3069" priority="38">
      <formula>IF($S8&lt;$U8,TRUE)</formula>
    </cfRule>
  </conditionalFormatting>
  <conditionalFormatting sqref="G8:G19">
    <cfRule type="expression" dxfId="3068" priority="25">
      <formula>IF($G8&gt;$I8,TRUE)</formula>
    </cfRule>
  </conditionalFormatting>
  <conditionalFormatting sqref="I8:I19">
    <cfRule type="expression" dxfId="3067" priority="26">
      <formula>IF($G8&lt;$I8,TRUE)</formula>
    </cfRule>
  </conditionalFormatting>
  <conditionalFormatting sqref="F8:F19">
    <cfRule type="containsText" dxfId="3066" priority="7" operator="containsText" text="vaba voor">
      <formula>NOT(ISERROR(SEARCH("vaba voor",F8)))</formula>
    </cfRule>
  </conditionalFormatting>
  <conditionalFormatting sqref="N8:N19">
    <cfRule type="containsText" dxfId="3065" priority="5" operator="containsText" text="vaba voor">
      <formula>NOT(ISERROR(SEARCH("vaba voor",N8)))</formula>
    </cfRule>
  </conditionalFormatting>
  <conditionalFormatting sqref="R8:R19">
    <cfRule type="containsText" dxfId="3064" priority="8" operator="containsText" text="vaba voor">
      <formula>NOT(ISERROR(SEARCH("vaba voor",R8)))</formula>
    </cfRule>
  </conditionalFormatting>
  <conditionalFormatting sqref="V8:V19">
    <cfRule type="containsText" dxfId="3063" priority="4" operator="containsText" text="vaba voor">
      <formula>NOT(ISERROR(SEARCH("vaba voor",V8)))</formula>
    </cfRule>
  </conditionalFormatting>
  <conditionalFormatting sqref="Z8:Z19">
    <cfRule type="containsText" dxfId="3062" priority="3" operator="containsText" text="vaba voor">
      <formula>NOT(ISERROR(SEARCH("vaba voor",Z8)))</formula>
    </cfRule>
  </conditionalFormatting>
  <conditionalFormatting sqref="W8:W19">
    <cfRule type="expression" dxfId="3061" priority="12">
      <formula>IF($W8&gt;$Y8,TRUE)</formula>
    </cfRule>
  </conditionalFormatting>
  <conditionalFormatting sqref="Y8:Y19">
    <cfRule type="expression" dxfId="3060" priority="13">
      <formula>IF($W8&lt;$Y8,TRUE)</formula>
    </cfRule>
  </conditionalFormatting>
  <conditionalFormatting sqref="J8:J19">
    <cfRule type="containsText" dxfId="3059" priority="6" operator="containsText" text="vaba voor">
      <formula>NOT(ISERROR(SEARCH("vaba voor",J8)))</formula>
    </cfRule>
  </conditionalFormatting>
  <conditionalFormatting sqref="C8:F19">
    <cfRule type="expression" dxfId="3058" priority="17">
      <formula>IF(AND(ISNUMBER($C8),$C8=$E8),TRUE)</formula>
    </cfRule>
    <cfRule type="expression" dxfId="3057" priority="19">
      <formula>IF($C8&gt;$E8,TRUE)</formula>
    </cfRule>
    <cfRule type="expression" dxfId="3056" priority="20">
      <formula>IF($C8&lt;$E8,TRUE)</formula>
    </cfRule>
  </conditionalFormatting>
  <conditionalFormatting sqref="G8:J19">
    <cfRule type="expression" dxfId="3055" priority="18">
      <formula>IF(AND(ISNUMBER($G8),$G8=$I8),TRUE)</formula>
    </cfRule>
    <cfRule type="expression" dxfId="3054" priority="23">
      <formula>IF($G8&gt;$I8,TRUE)</formula>
    </cfRule>
    <cfRule type="expression" dxfId="3053" priority="24">
      <formula>IF($G8&lt;$I8,TRUE)</formula>
    </cfRule>
  </conditionalFormatting>
  <conditionalFormatting sqref="K8:N19">
    <cfRule type="expression" dxfId="3052" priority="16">
      <formula>IF(AND(ISNUMBER($K8),$K8=$M8),TRUE)</formula>
    </cfRule>
    <cfRule type="expression" dxfId="3051" priority="27">
      <formula>IF($K8&gt;$M8,TRUE)</formula>
    </cfRule>
    <cfRule type="expression" dxfId="3050" priority="28">
      <formula>IF($K8&lt;$M8,TRUE)</formula>
    </cfRule>
  </conditionalFormatting>
  <conditionalFormatting sqref="O8:R19">
    <cfRule type="expression" dxfId="3049" priority="15">
      <formula>IF(AND(ISNUMBER($O8),$O8=$Q8),TRUE)</formula>
    </cfRule>
    <cfRule type="expression" dxfId="3048" priority="31">
      <formula>IF($O8&gt;$Q8,TRUE)</formula>
    </cfRule>
    <cfRule type="expression" dxfId="3047" priority="32">
      <formula>IF($O8&lt;$Q8,TRUE)</formula>
    </cfRule>
  </conditionalFormatting>
  <conditionalFormatting sqref="S8:V19">
    <cfRule type="expression" dxfId="3046" priority="14">
      <formula>IF(AND(ISNUMBER($S8),$S8=$U8),TRUE)</formula>
    </cfRule>
    <cfRule type="expression" dxfId="3045" priority="35">
      <formula>IF($S8&gt;$U8,TRUE)</formula>
    </cfRule>
    <cfRule type="expression" dxfId="3044" priority="36">
      <formula>IF($S8&lt;$U8,TRUE)</formula>
    </cfRule>
  </conditionalFormatting>
  <conditionalFormatting sqref="W8:Z19">
    <cfRule type="expression" dxfId="3043" priority="9">
      <formula>IF(AND(ISNUMBER($W8),$W8=$Y8),TRUE)</formula>
    </cfRule>
    <cfRule type="expression" dxfId="3042" priority="10">
      <formula>IF($W8&gt;$Y8,TRUE)</formula>
    </cfRule>
    <cfRule type="expression" dxfId="3041" priority="11">
      <formula>IF($W8&lt;$Y8,TRUE)</formula>
    </cfRule>
  </conditionalFormatting>
  <conditionalFormatting sqref="C8:C19 G8:G19 K8:K19 O8:O19 S8:S19 W8:W19">
    <cfRule type="expression" dxfId="3040" priority="1">
      <formula>AND(C8=0,E8=13)</formula>
    </cfRule>
  </conditionalFormatting>
  <conditionalFormatting sqref="E8:E19 I8:I19 M8:M19 Q8:Q19 U8:U19 Y8:Y19">
    <cfRule type="expression" dxfId="3039" priority="2">
      <formula>AND(E8=0,C8=13)</formula>
    </cfRule>
  </conditionalFormatting>
  <conditionalFormatting sqref="AJ8:AJ20 AN8:AN20 AP8:AP20">
    <cfRule type="expression" dxfId="3038" priority="273">
      <formula>AND(AI8="",COUNTIF(AJ8,"*,*")=0)</formula>
    </cfRule>
  </conditionalFormatting>
  <conditionalFormatting sqref="AL8:AL20">
    <cfRule type="expression" dxfId="3037" priority="274">
      <formula>AND(AK8="",FIND(",",AL8))</formula>
    </cfRule>
    <cfRule type="expression" dxfId="3036" priority="275">
      <formula>AND(AK8="",COUNTIF(AL8,"*,*")=0)</formula>
    </cfRule>
  </conditionalFormatting>
  <pageMargins left="0.78740157480314965" right="0.39370078740157483" top="0.78740157480314965" bottom="0.27559055118110237" header="0.59055118110236227" footer="0"/>
  <pageSetup paperSize="9" fitToHeight="0" orientation="landscape" verticalDpi="0" r:id="rId1"/>
  <headerFooter>
    <oddHeader>&amp;R&amp;9Page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33</vt:i4>
      </vt:variant>
    </vt:vector>
  </HeadingPairs>
  <TitlesOfParts>
    <vt:vector size="68" baseType="lpstr">
      <vt:lpstr>Kalend</vt:lpstr>
      <vt:lpstr>Kal E</vt:lpstr>
      <vt:lpstr>Tul</vt:lpstr>
      <vt:lpstr>V</vt:lpstr>
      <vt:lpstr>V1</vt:lpstr>
      <vt:lpstr>V2</vt:lpstr>
      <vt:lpstr>V3</vt:lpstr>
      <vt:lpstr>V4</vt:lpstr>
      <vt:lpstr>V5</vt:lpstr>
      <vt:lpstr>V6</vt:lpstr>
      <vt:lpstr>V7</vt:lpstr>
      <vt:lpstr>V-jh</vt:lpstr>
      <vt:lpstr>Vi-d</vt:lpstr>
      <vt:lpstr>V8</vt:lpstr>
      <vt:lpstr>V-n1</vt:lpstr>
      <vt:lpstr>V9</vt:lpstr>
      <vt:lpstr>Vi-t</vt:lpstr>
      <vt:lpstr>V10</vt:lpstr>
      <vt:lpstr>V11</vt:lpstr>
      <vt:lpstr>iv-t</vt:lpstr>
      <vt:lpstr>V-n2</vt:lpstr>
      <vt:lpstr>V12</vt:lpstr>
      <vt:lpstr>Vi-ü</vt:lpstr>
      <vt:lpstr>EV101</vt:lpstr>
      <vt:lpstr>V13</vt:lpstr>
      <vt:lpstr>V14</vt:lpstr>
      <vt:lpstr>iv-d</vt:lpstr>
      <vt:lpstr>shk-viru</vt:lpstr>
      <vt:lpstr>V15</vt:lpstr>
      <vt:lpstr>V-fin</vt:lpstr>
      <vt:lpstr>iv-ü</vt:lpstr>
      <vt:lpstr>Voka KV juhend</vt:lpstr>
      <vt:lpstr>ETAPP</vt:lpstr>
      <vt:lpstr>PIV</vt:lpstr>
      <vt:lpstr>PVO</vt:lpstr>
      <vt:lpstr>'iv-ü'!Print_Area</vt:lpstr>
      <vt:lpstr>'EV101'!Print_Titles</vt:lpstr>
      <vt:lpstr>'iv-d'!Print_Titles</vt:lpstr>
      <vt:lpstr>'iv-t'!Print_Titles</vt:lpstr>
      <vt:lpstr>'iv-ü'!Print_Titles</vt:lpstr>
      <vt:lpstr>'Kal E'!Print_Titles</vt:lpstr>
      <vt:lpstr>Kalend!Print_Titles</vt:lpstr>
      <vt:lpstr>'shk-viru'!Print_Titles</vt:lpstr>
      <vt:lpstr>Tul!Print_Titles</vt:lpstr>
      <vt:lpstr>V!Print_Titles</vt:lpstr>
      <vt:lpstr>'V1'!Print_Titles</vt:lpstr>
      <vt:lpstr>'V10'!Print_Titles</vt:lpstr>
      <vt:lpstr>'V11'!Print_Titles</vt:lpstr>
      <vt:lpstr>'V12'!Print_Titles</vt:lpstr>
      <vt:lpstr>'V13'!Print_Titles</vt:lpstr>
      <vt:lpstr>'V14'!Print_Titles</vt:lpstr>
      <vt:lpstr>'V15'!Print_Titles</vt:lpstr>
      <vt:lpstr>'V2'!Print_Titles</vt:lpstr>
      <vt:lpstr>'V3'!Print_Titles</vt:lpstr>
      <vt:lpstr>'V4'!Print_Titles</vt:lpstr>
      <vt:lpstr>'V5'!Print_Titles</vt:lpstr>
      <vt:lpstr>'V6'!Print_Titles</vt:lpstr>
      <vt:lpstr>'V7'!Print_Titles</vt:lpstr>
      <vt:lpstr>'V8'!Print_Titles</vt:lpstr>
      <vt:lpstr>'V9'!Print_Titles</vt:lpstr>
      <vt:lpstr>'V-fin'!Print_Titles</vt:lpstr>
      <vt:lpstr>'Vi-d'!Print_Titles</vt:lpstr>
      <vt:lpstr>'Vi-t'!Print_Titles</vt:lpstr>
      <vt:lpstr>'Vi-ü'!Print_Titles</vt:lpstr>
      <vt:lpstr>'V-jh'!Print_Titles</vt:lpstr>
      <vt:lpstr>'V-n1'!Print_Titles</vt:lpstr>
      <vt:lpstr>'V-n2'!Print_Titles</vt:lpstr>
      <vt:lpstr>'Voka KV juhend'!Print_Titles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2019-04-12T09:06:53Z</dcterms:created>
  <dcterms:modified xsi:type="dcterms:W3CDTF">2023-01-08T15:25:58Z</dcterms:modified>
</cp:coreProperties>
</file>