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11730" windowHeight="5550" tabRatio="922" activeTab="1"/>
  </bookViews>
  <sheets>
    <sheet name="Kalend" sheetId="2" r:id="rId1"/>
    <sheet name="Kal E" sheetId="1" r:id="rId2"/>
    <sheet name="Reit" sheetId="38" r:id="rId3"/>
    <sheet name="A" sheetId="39" r:id="rId4"/>
    <sheet name="1" sheetId="41" r:id="rId5"/>
    <sheet name="2" sheetId="42" r:id="rId6"/>
    <sheet name="3" sheetId="43" r:id="rId7"/>
    <sheet name="KJ" sheetId="44" r:id="rId8"/>
    <sheet name="4" sheetId="59" r:id="rId9"/>
    <sheet name="Mu" sheetId="35" r:id="rId10"/>
    <sheet name="5" sheetId="53" r:id="rId11"/>
    <sheet name="24h" sheetId="34" r:id="rId12"/>
    <sheet name="24h-pl1" sheetId="60" r:id="rId13"/>
    <sheet name="24h-pl2" sheetId="61" r:id="rId14"/>
    <sheet name="101" sheetId="33" r:id="rId15"/>
    <sheet name="6" sheetId="47" r:id="rId16"/>
    <sheet name="7" sheetId="48" r:id="rId17"/>
    <sheet name="8" sheetId="50" r:id="rId18"/>
    <sheet name="9" sheetId="67" r:id="rId19"/>
    <sheet name="10" sheetId="46" r:id="rId20"/>
    <sheet name="11" sheetId="45" r:id="rId21"/>
    <sheet name="12" sheetId="51" r:id="rId22"/>
    <sheet name="13" sheetId="54" r:id="rId23"/>
    <sheet name="L" sheetId="40" r:id="rId24"/>
    <sheet name="M" sheetId="3" r:id="rId25"/>
    <sheet name="M1" sheetId="4" r:id="rId26"/>
    <sheet name="M2" sheetId="5" r:id="rId27"/>
    <sheet name="M3" sheetId="6" r:id="rId28"/>
    <sheet name="M4" sheetId="7" r:id="rId29"/>
    <sheet name="M5" sheetId="8" r:id="rId30"/>
    <sheet name="V" sheetId="21" r:id="rId31"/>
    <sheet name="V1" sheetId="56" r:id="rId32"/>
    <sheet name="V2" sheetId="55" r:id="rId33"/>
    <sheet name="V3" sheetId="58" r:id="rId34"/>
    <sheet name="V4" sheetId="62" r:id="rId35"/>
    <sheet name="V5" sheetId="64" r:id="rId36"/>
    <sheet name="V6" sheetId="65" r:id="rId37"/>
    <sheet name="V7" sheetId="66" r:id="rId38"/>
    <sheet name="V8" sheetId="68" r:id="rId39"/>
    <sheet name="V9" sheetId="69" r:id="rId40"/>
    <sheet name="V10" sheetId="70" r:id="rId41"/>
    <sheet name="V-Fin" sheetId="73" r:id="rId42"/>
    <sheet name="V-Pl" sheetId="74" r:id="rId43"/>
  </sheets>
  <definedNames>
    <definedName name="_xlnm._FilterDatabase" localSheetId="0" hidden="1">Kalend!$A$3:$H$49</definedName>
    <definedName name="_xlnm._FilterDatabase" localSheetId="7" hidden="1">KJ!$M$6:$O$6</definedName>
    <definedName name="_xlnm._FilterDatabase" localSheetId="24" hidden="1">M!$R$6:$T$6</definedName>
    <definedName name="_xlnm._FilterDatabase" localSheetId="2" hidden="1">Reit!$W$7:$AB$59</definedName>
    <definedName name="_xlnm._FilterDatabase" localSheetId="30" hidden="1">V!$X$6:$Z$6</definedName>
    <definedName name="a" localSheetId="19">#REF!</definedName>
    <definedName name="a" localSheetId="22">#REF!</definedName>
    <definedName name="a" localSheetId="11">#REF!</definedName>
    <definedName name="a" localSheetId="12">#REF!</definedName>
    <definedName name="a" localSheetId="13">#REF!</definedName>
    <definedName name="a" localSheetId="16">#REF!</definedName>
    <definedName name="a" localSheetId="17">#REF!</definedName>
    <definedName name="a" localSheetId="18">#REF!</definedName>
    <definedName name="a" localSheetId="9">#REF!</definedName>
    <definedName name="a" localSheetId="31">#REF!</definedName>
    <definedName name="a" localSheetId="40">#REF!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39">#REF!</definedName>
    <definedName name="a" localSheetId="42">#REF!</definedName>
    <definedName name="a">#REF!</definedName>
    <definedName name="Nimed" localSheetId="19">#REF!</definedName>
    <definedName name="Nimed" localSheetId="14">#REF!</definedName>
    <definedName name="Nimed" localSheetId="20">#REF!</definedName>
    <definedName name="Nimed" localSheetId="21">#REF!</definedName>
    <definedName name="Nimed" localSheetId="22">#REF!</definedName>
    <definedName name="Nimed" localSheetId="11">#REF!</definedName>
    <definedName name="Nimed" localSheetId="12">#REF!</definedName>
    <definedName name="Nimed" localSheetId="13">#REF!</definedName>
    <definedName name="Nimed" localSheetId="8">#REF!</definedName>
    <definedName name="Nimed" localSheetId="10">#REF!</definedName>
    <definedName name="Nimed" localSheetId="15">#REF!</definedName>
    <definedName name="Nimed" localSheetId="16">#REF!</definedName>
    <definedName name="Nimed" localSheetId="17">#REF!</definedName>
    <definedName name="Nimed" localSheetId="18">#REF!</definedName>
    <definedName name="Nimed" localSheetId="23">#REF!</definedName>
    <definedName name="Nimed" localSheetId="9">#REF!</definedName>
    <definedName name="Nimed" localSheetId="2">#REF!</definedName>
    <definedName name="Nimed" localSheetId="31">#REF!</definedName>
    <definedName name="Nimed" localSheetId="40">#REF!</definedName>
    <definedName name="Nimed" localSheetId="32">#REF!</definedName>
    <definedName name="Nimed" localSheetId="33">#REF!</definedName>
    <definedName name="Nimed" localSheetId="34">#REF!</definedName>
    <definedName name="Nimed" localSheetId="35">#REF!</definedName>
    <definedName name="Nimed" localSheetId="36">#REF!</definedName>
    <definedName name="Nimed" localSheetId="37">#REF!</definedName>
    <definedName name="Nimed" localSheetId="38">#REF!</definedName>
    <definedName name="Nimed" localSheetId="39">#REF!</definedName>
    <definedName name="Nimed" localSheetId="41">#REF!</definedName>
    <definedName name="Nimed" localSheetId="42">#REF!</definedName>
    <definedName name="Nimed">#REF!</definedName>
    <definedName name="_xlnm.Print_Area" localSheetId="23">L!$A$1:$AB$41</definedName>
    <definedName name="_xlnm.Print_Area" localSheetId="2">Reit!$A$1:$Y$65</definedName>
    <definedName name="_xlnm.Print_Area" localSheetId="41">'V-Fin'!$A$1:$N$268</definedName>
    <definedName name="_xlnm.Print_Area" localSheetId="42">'V-Pl'!$A$1:$AQ$87</definedName>
    <definedName name="_xlnm.Print_Titles" localSheetId="4">'1'!$1:$2</definedName>
    <definedName name="_xlnm.Print_Titles" localSheetId="19">'10'!$1:$2</definedName>
    <definedName name="_xlnm.Print_Titles" localSheetId="20">'11'!$1:$2</definedName>
    <definedName name="_xlnm.Print_Titles" localSheetId="21">'12'!$1:$2</definedName>
    <definedName name="_xlnm.Print_Titles" localSheetId="22">'13'!$1:$2</definedName>
    <definedName name="_xlnm.Print_Titles" localSheetId="5">'2'!$1:$2</definedName>
    <definedName name="_xlnm.Print_Titles" localSheetId="11">'24h'!$1:$2</definedName>
    <definedName name="_xlnm.Print_Titles" localSheetId="12">'24h-pl1'!$1:$2</definedName>
    <definedName name="_xlnm.Print_Titles" localSheetId="13">'24h-pl2'!$1:$2</definedName>
    <definedName name="_xlnm.Print_Titles" localSheetId="6">'3'!$1:$2</definedName>
    <definedName name="_xlnm.Print_Titles" localSheetId="8">'4'!$1:$2</definedName>
    <definedName name="_xlnm.Print_Titles" localSheetId="10">'5'!$1:$2</definedName>
    <definedName name="_xlnm.Print_Titles" localSheetId="15">'6'!$1:$2</definedName>
    <definedName name="_xlnm.Print_Titles" localSheetId="16">'7'!$1:$2</definedName>
    <definedName name="_xlnm.Print_Titles" localSheetId="17">'8'!$1:$2</definedName>
    <definedName name="_xlnm.Print_Titles" localSheetId="18">'9'!$1:$2</definedName>
    <definedName name="_xlnm.Print_Titles" localSheetId="3">A!$1:$2</definedName>
    <definedName name="_xlnm.Print_Titles" localSheetId="1">'Kal E'!$1:$3</definedName>
    <definedName name="_xlnm.Print_Titles" localSheetId="7">KJ!$1:$3</definedName>
    <definedName name="_xlnm.Print_Titles" localSheetId="23">L!$1:$2</definedName>
    <definedName name="_xlnm.Print_Titles" localSheetId="24">M!$1:$3</definedName>
    <definedName name="_xlnm.Print_Titles" localSheetId="25">'M1'!$1:$2</definedName>
    <definedName name="_xlnm.Print_Titles" localSheetId="26">'M2'!$1:$2</definedName>
    <definedName name="_xlnm.Print_Titles" localSheetId="27">'M3'!$1:$2</definedName>
    <definedName name="_xlnm.Print_Titles" localSheetId="28">'M4'!$1:$2</definedName>
    <definedName name="_xlnm.Print_Titles" localSheetId="29">'M5'!$1:$2</definedName>
    <definedName name="_xlnm.Print_Titles" localSheetId="9">Mu!$1:$2</definedName>
    <definedName name="_xlnm.Print_Titles" localSheetId="2">Reit!$1:$3</definedName>
    <definedName name="_xlnm.Print_Titles" localSheetId="30">V!$1:$3</definedName>
    <definedName name="_xlnm.Print_Titles" localSheetId="31">'V1'!$1:$2</definedName>
    <definedName name="_xlnm.Print_Titles" localSheetId="40">'V10'!$1:$2</definedName>
    <definedName name="_xlnm.Print_Titles" localSheetId="32">'V2'!$1:$2</definedName>
    <definedName name="_xlnm.Print_Titles" localSheetId="33">'V3'!$1:$2</definedName>
    <definedName name="_xlnm.Print_Titles" localSheetId="34">'V4'!$1:$2</definedName>
    <definedName name="_xlnm.Print_Titles" localSheetId="35">'V5'!$1:$2</definedName>
    <definedName name="_xlnm.Print_Titles" localSheetId="36">'V6'!$1:$2</definedName>
    <definedName name="_xlnm.Print_Titles" localSheetId="37">'V7'!$1:$2</definedName>
    <definedName name="_xlnm.Print_Titles" localSheetId="38">'V8'!$1:$2</definedName>
    <definedName name="_xlnm.Print_Titles" localSheetId="39">'V9'!$1:$2</definedName>
    <definedName name="_xlnm.Print_Titles" localSheetId="41">'V-Fin'!$1:$2</definedName>
    <definedName name="_xlnm.Print_Titles" localSheetId="42">'V-Pl'!$1:$5</definedName>
    <definedName name="sd" localSheetId="12">#REF!</definedName>
    <definedName name="sd" localSheetId="13">#REF!</definedName>
    <definedName name="sd" localSheetId="18">#REF!</definedName>
    <definedName name="sd" localSheetId="40">#REF!</definedName>
    <definedName name="sd" localSheetId="33">#REF!</definedName>
    <definedName name="sd" localSheetId="34">#REF!</definedName>
    <definedName name="sd" localSheetId="35">#REF!</definedName>
    <definedName name="sd" localSheetId="36">#REF!</definedName>
    <definedName name="sd" localSheetId="37">#REF!</definedName>
    <definedName name="sd" localSheetId="38">#REF!</definedName>
    <definedName name="sd" localSheetId="39">#REF!</definedName>
    <definedName name="sd" localSheetId="42">#REF!</definedName>
    <definedName name="sd">#REF!</definedName>
    <definedName name="Voka" localSheetId="19">#REF!</definedName>
    <definedName name="Voka" localSheetId="22">#REF!</definedName>
    <definedName name="Voka" localSheetId="11">#REF!</definedName>
    <definedName name="Voka" localSheetId="12">#REF!</definedName>
    <definedName name="Voka" localSheetId="13">#REF!</definedName>
    <definedName name="Voka" localSheetId="16">#REF!</definedName>
    <definedName name="Voka" localSheetId="17">#REF!</definedName>
    <definedName name="Voka" localSheetId="18">#REF!</definedName>
    <definedName name="Voka" localSheetId="9">#REF!</definedName>
    <definedName name="Voka" localSheetId="31">#REF!</definedName>
    <definedName name="Voka" localSheetId="40">#REF!</definedName>
    <definedName name="Voka" localSheetId="32">#REF!</definedName>
    <definedName name="Voka" localSheetId="33">#REF!</definedName>
    <definedName name="Voka" localSheetId="34">#REF!</definedName>
    <definedName name="Voka" localSheetId="35">#REF!</definedName>
    <definedName name="Voka" localSheetId="36">#REF!</definedName>
    <definedName name="Voka" localSheetId="37">#REF!</definedName>
    <definedName name="Voka" localSheetId="38">#REF!</definedName>
    <definedName name="Voka" localSheetId="39">#REF!</definedName>
    <definedName name="Voka" localSheetId="42">#REF!</definedName>
    <definedName name="Voka">#REF!</definedName>
  </definedNames>
  <calcPr calcId="145621"/>
</workbook>
</file>

<file path=xl/calcChain.xml><?xml version="1.0" encoding="utf-8"?>
<calcChain xmlns="http://schemas.openxmlformats.org/spreadsheetml/2006/main">
  <c r="K83" i="1" l="1"/>
  <c r="K85" i="1" l="1"/>
  <c r="K49" i="1" l="1"/>
  <c r="E23" i="2"/>
  <c r="K25" i="1" l="1"/>
  <c r="M25" i="1" l="1"/>
  <c r="C9" i="1" l="1"/>
  <c r="K56" i="1" l="1"/>
  <c r="K103" i="1" l="1"/>
  <c r="M108" i="1" l="1"/>
  <c r="U7" i="21" l="1"/>
  <c r="U8" i="21"/>
  <c r="U9" i="21"/>
  <c r="U10" i="21"/>
  <c r="U11" i="21"/>
  <c r="U12" i="21"/>
  <c r="U13" i="21"/>
  <c r="U14" i="21"/>
  <c r="U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F47" i="2" l="1"/>
  <c r="F44" i="2"/>
  <c r="F40" i="2"/>
  <c r="F39" i="2"/>
  <c r="F33" i="2"/>
  <c r="F31" i="2"/>
  <c r="F29" i="2"/>
  <c r="F28" i="2"/>
  <c r="F27" i="2"/>
  <c r="F25" i="2"/>
  <c r="F21" i="2"/>
  <c r="F20" i="2"/>
  <c r="F19" i="2"/>
  <c r="F13" i="2"/>
  <c r="F10" i="2"/>
  <c r="F7" i="2"/>
  <c r="M111" i="1"/>
  <c r="K107" i="1"/>
  <c r="M94" i="1"/>
  <c r="E94" i="1"/>
  <c r="E82" i="1"/>
  <c r="E76" i="1"/>
  <c r="G66" i="1"/>
  <c r="E66" i="1"/>
  <c r="G65" i="1"/>
  <c r="G62" i="1"/>
  <c r="E56" i="1"/>
  <c r="E47" i="1"/>
  <c r="L41" i="1"/>
  <c r="G40" i="1"/>
  <c r="E34" i="1"/>
  <c r="E22" i="1"/>
  <c r="E12" i="1"/>
  <c r="M62" i="1" l="1"/>
  <c r="K62" i="1"/>
  <c r="I62" i="1"/>
  <c r="K117" i="1" l="1"/>
  <c r="N103" i="1" l="1"/>
  <c r="K118" i="1" l="1"/>
  <c r="N113" i="1"/>
  <c r="N112" i="1"/>
  <c r="I113" i="1"/>
  <c r="H124" i="1"/>
  <c r="G122" i="1"/>
  <c r="M119" i="1"/>
  <c r="C22" i="1" l="1"/>
  <c r="C21" i="1"/>
  <c r="K38" i="1" l="1"/>
  <c r="H7" i="21" l="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D7" i="21" l="1"/>
  <c r="A4" i="74"/>
  <c r="A2" i="74"/>
  <c r="D39" i="74" l="1"/>
  <c r="D40" i="74"/>
  <c r="AP10" i="74" l="1"/>
  <c r="AQ10" i="74"/>
  <c r="AP12" i="74"/>
  <c r="AQ12" i="74"/>
  <c r="AP14" i="74"/>
  <c r="AQ14" i="74"/>
  <c r="AP16" i="74"/>
  <c r="AQ16" i="74"/>
  <c r="AP18" i="74"/>
  <c r="AQ18" i="74"/>
  <c r="AP20" i="74"/>
  <c r="AQ20" i="74"/>
  <c r="AP22" i="74"/>
  <c r="AQ22" i="74"/>
  <c r="AP24" i="74"/>
  <c r="AQ24" i="74"/>
  <c r="AP26" i="74"/>
  <c r="AQ26" i="74"/>
  <c r="AP28" i="74"/>
  <c r="AQ28" i="74"/>
  <c r="AP30" i="74"/>
  <c r="AQ30" i="74"/>
  <c r="AP32" i="74"/>
  <c r="AQ32" i="74"/>
  <c r="AP34" i="74"/>
  <c r="AQ34" i="74"/>
  <c r="AP36" i="74"/>
  <c r="AQ36" i="74"/>
  <c r="AP38" i="74"/>
  <c r="AQ38" i="74"/>
  <c r="AP40" i="74"/>
  <c r="AQ40" i="74"/>
  <c r="AP42" i="74"/>
  <c r="AQ42" i="74"/>
  <c r="AP44" i="74"/>
  <c r="AQ44" i="74"/>
  <c r="AP46" i="74"/>
  <c r="AQ46" i="74"/>
  <c r="AP48" i="74"/>
  <c r="AQ48" i="74"/>
  <c r="AP50" i="74"/>
  <c r="AQ50" i="74"/>
  <c r="AP52" i="74"/>
  <c r="AQ52" i="74"/>
  <c r="AP54" i="74"/>
  <c r="AQ54" i="74"/>
  <c r="AP56" i="74"/>
  <c r="AQ56" i="74"/>
  <c r="AP58" i="74"/>
  <c r="AQ58" i="74"/>
  <c r="AP60" i="74"/>
  <c r="AQ60" i="74"/>
  <c r="AP62" i="74"/>
  <c r="AQ62" i="74"/>
  <c r="AP64" i="74"/>
  <c r="AQ64" i="74"/>
  <c r="AP66" i="74"/>
  <c r="AQ66" i="74"/>
  <c r="AP68" i="74"/>
  <c r="AQ68" i="74"/>
  <c r="AP70" i="74"/>
  <c r="AQ70" i="74"/>
  <c r="AP72" i="74"/>
  <c r="AQ72" i="74"/>
  <c r="D8" i="74" l="1"/>
  <c r="D9" i="74"/>
  <c r="D10" i="74"/>
  <c r="D11" i="74"/>
  <c r="D12" i="74"/>
  <c r="D13" i="74"/>
  <c r="D14" i="74"/>
  <c r="D15" i="74"/>
  <c r="D16" i="74"/>
  <c r="D17" i="74"/>
  <c r="D18" i="74"/>
  <c r="D19" i="74"/>
  <c r="D20" i="74"/>
  <c r="D21" i="74"/>
  <c r="D22" i="74"/>
  <c r="D23" i="74"/>
  <c r="D24" i="74"/>
  <c r="D25" i="74"/>
  <c r="D26" i="74"/>
  <c r="D27" i="74"/>
  <c r="D28" i="74"/>
  <c r="D29" i="74"/>
  <c r="D30" i="74"/>
  <c r="D31" i="74"/>
  <c r="D32" i="74"/>
  <c r="D33" i="74"/>
  <c r="D34" i="74"/>
  <c r="D35" i="74"/>
  <c r="D36" i="74"/>
  <c r="D37" i="74"/>
  <c r="D38"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 i="74"/>
  <c r="AQ8" i="74"/>
  <c r="AP8" i="74"/>
  <c r="S1" i="74"/>
  <c r="P1" i="74"/>
  <c r="A4" i="73"/>
  <c r="A2" i="73"/>
  <c r="AN8" i="74" l="1"/>
  <c r="AN72" i="74"/>
  <c r="AN70" i="74"/>
  <c r="AN68" i="74"/>
  <c r="AN66" i="74"/>
  <c r="AN64" i="74"/>
  <c r="AN62" i="74"/>
  <c r="AN60" i="74"/>
  <c r="AN58" i="74"/>
  <c r="AN56" i="74"/>
  <c r="AN54" i="74"/>
  <c r="AN52" i="74"/>
  <c r="AN50" i="74"/>
  <c r="AN48" i="74"/>
  <c r="AN46" i="74"/>
  <c r="AN44" i="74"/>
  <c r="AN42" i="74"/>
  <c r="AN40" i="74"/>
  <c r="AN38" i="74"/>
  <c r="AN36" i="74"/>
  <c r="AN34" i="74"/>
  <c r="AN32" i="74"/>
  <c r="AN30" i="74"/>
  <c r="AN28" i="74"/>
  <c r="AN26" i="74"/>
  <c r="AN24" i="74"/>
  <c r="AN22" i="74"/>
  <c r="AN20" i="74"/>
  <c r="AN18" i="74"/>
  <c r="AN16" i="74"/>
  <c r="AN14" i="74"/>
  <c r="AN12" i="74"/>
  <c r="AN10" i="74"/>
  <c r="E48" i="2"/>
  <c r="A1" i="74" s="1"/>
  <c r="H1" i="73" l="1"/>
  <c r="F1" i="73"/>
  <c r="L113" i="1" l="1"/>
  <c r="T8" i="21" l="1"/>
  <c r="T9" i="21"/>
  <c r="T10" i="21"/>
  <c r="T11" i="21"/>
  <c r="T12" i="21"/>
  <c r="T13" i="21"/>
  <c r="T14" i="21"/>
  <c r="T15" i="21"/>
  <c r="T16" i="21"/>
  <c r="T17" i="21"/>
  <c r="T18" i="21"/>
  <c r="T19" i="21"/>
  <c r="T20" i="21"/>
  <c r="T21" i="21"/>
  <c r="T22" i="21"/>
  <c r="T23" i="21"/>
  <c r="T24" i="21"/>
  <c r="T25" i="21"/>
  <c r="T26" i="21"/>
  <c r="T27" i="21"/>
  <c r="T29" i="21"/>
  <c r="T28" i="21"/>
  <c r="T30" i="21"/>
  <c r="T31" i="21"/>
  <c r="T32" i="21"/>
  <c r="T33" i="21"/>
  <c r="T34" i="21"/>
  <c r="T35" i="21"/>
  <c r="T36" i="21"/>
  <c r="T37" i="21"/>
  <c r="T38" i="21"/>
  <c r="T39" i="21"/>
  <c r="T40" i="21"/>
  <c r="T41" i="21"/>
  <c r="T42" i="21"/>
  <c r="V42" i="21" s="1"/>
  <c r="T43" i="21"/>
  <c r="T44" i="21"/>
  <c r="V44" i="21" s="1"/>
  <c r="T45" i="21"/>
  <c r="T46" i="21"/>
  <c r="T47" i="21"/>
  <c r="T48" i="21"/>
  <c r="V48" i="21" s="1"/>
  <c r="T49" i="21"/>
  <c r="V49" i="21" s="1"/>
  <c r="T50" i="21"/>
  <c r="T51" i="21"/>
  <c r="U51" i="21" s="1"/>
  <c r="V51" i="21" s="1"/>
  <c r="T52" i="21"/>
  <c r="U52" i="21" s="1"/>
  <c r="V52" i="21" s="1"/>
  <c r="T53" i="21"/>
  <c r="T54" i="21"/>
  <c r="U54" i="21" s="1"/>
  <c r="V54" i="21" s="1"/>
  <c r="T55" i="21"/>
  <c r="U55" i="21" s="1"/>
  <c r="V55" i="21" s="1"/>
  <c r="T56" i="21"/>
  <c r="U56" i="21" s="1"/>
  <c r="V56" i="21" s="1"/>
  <c r="T57" i="21"/>
  <c r="U57" i="21" s="1"/>
  <c r="V57" i="21" s="1"/>
  <c r="T58" i="21"/>
  <c r="U58" i="21" s="1"/>
  <c r="V58" i="21" s="1"/>
  <c r="T59" i="21"/>
  <c r="U59" i="21" s="1"/>
  <c r="V59" i="21" s="1"/>
  <c r="T60" i="21"/>
  <c r="U60" i="21" s="1"/>
  <c r="V60" i="21" s="1"/>
  <c r="T61" i="21"/>
  <c r="U61" i="21" s="1"/>
  <c r="V61" i="21" s="1"/>
  <c r="T62" i="21"/>
  <c r="T63" i="21"/>
  <c r="U63" i="21" s="1"/>
  <c r="V63" i="21" s="1"/>
  <c r="T64" i="21"/>
  <c r="U64" i="21" s="1"/>
  <c r="V64" i="21" s="1"/>
  <c r="T65" i="21"/>
  <c r="U65" i="21" s="1"/>
  <c r="V65" i="21" s="1"/>
  <c r="T66" i="21"/>
  <c r="U66" i="21" s="1"/>
  <c r="V66" i="21" s="1"/>
  <c r="T67" i="21"/>
  <c r="U67" i="21" s="1"/>
  <c r="V67" i="21" s="1"/>
  <c r="T68" i="21"/>
  <c r="U68" i="21" s="1"/>
  <c r="V68" i="21" s="1"/>
  <c r="T69" i="21"/>
  <c r="U69" i="21" s="1"/>
  <c r="V69" i="21" s="1"/>
  <c r="T70" i="21"/>
  <c r="U70" i="21" s="1"/>
  <c r="V70" i="21" s="1"/>
  <c r="T71" i="21"/>
  <c r="U71" i="21" s="1"/>
  <c r="V71" i="21" s="1"/>
  <c r="T72" i="21"/>
  <c r="U72" i="21" s="1"/>
  <c r="V72" i="21" s="1"/>
  <c r="T7" i="21"/>
  <c r="X7" i="21"/>
  <c r="B8" i="21"/>
  <c r="C8" i="21"/>
  <c r="X8" i="21"/>
  <c r="B9" i="21"/>
  <c r="C9" i="21"/>
  <c r="X9" i="21"/>
  <c r="B10" i="21"/>
  <c r="C10" i="21"/>
  <c r="X10" i="21"/>
  <c r="B11" i="21"/>
  <c r="C11" i="21"/>
  <c r="X11" i="21"/>
  <c r="B12" i="21"/>
  <c r="C12" i="21"/>
  <c r="X12" i="21"/>
  <c r="B13" i="21"/>
  <c r="C13" i="21"/>
  <c r="X13" i="21"/>
  <c r="B14" i="21"/>
  <c r="C14" i="21"/>
  <c r="X14" i="21"/>
  <c r="B15" i="21"/>
  <c r="C15" i="21"/>
  <c r="X15" i="21"/>
  <c r="B16" i="21"/>
  <c r="C16" i="21"/>
  <c r="X16" i="21"/>
  <c r="B17" i="21"/>
  <c r="C17" i="21"/>
  <c r="X17" i="21"/>
  <c r="B18" i="21"/>
  <c r="C18" i="21"/>
  <c r="X18" i="21"/>
  <c r="B19" i="21"/>
  <c r="C19" i="21"/>
  <c r="X19" i="21"/>
  <c r="B20" i="21"/>
  <c r="C20" i="21"/>
  <c r="X20" i="21"/>
  <c r="B21" i="21"/>
  <c r="C21" i="21"/>
  <c r="X21" i="21"/>
  <c r="X22" i="21"/>
  <c r="B23" i="21"/>
  <c r="C23" i="21"/>
  <c r="X23" i="21"/>
  <c r="B24" i="21"/>
  <c r="C24" i="21"/>
  <c r="X24" i="21"/>
  <c r="X25" i="21"/>
  <c r="X26" i="21"/>
  <c r="B27" i="21"/>
  <c r="C27" i="21"/>
  <c r="X27" i="21"/>
  <c r="B29" i="21"/>
  <c r="C29" i="21"/>
  <c r="X29" i="21"/>
  <c r="B28" i="21"/>
  <c r="C28" i="21"/>
  <c r="X28" i="21"/>
  <c r="X30" i="21"/>
  <c r="X31" i="21"/>
  <c r="X32" i="21"/>
  <c r="B33" i="21"/>
  <c r="C33" i="21"/>
  <c r="X33" i="21"/>
  <c r="B34" i="21"/>
  <c r="C34" i="21"/>
  <c r="X34" i="21"/>
  <c r="B35" i="21"/>
  <c r="C35" i="21"/>
  <c r="X35" i="21"/>
  <c r="B36" i="21"/>
  <c r="C36" i="21"/>
  <c r="X36" i="21"/>
  <c r="C37" i="21"/>
  <c r="X37" i="21"/>
  <c r="X38" i="21"/>
  <c r="X39" i="21"/>
  <c r="X40" i="21"/>
  <c r="X41" i="21"/>
  <c r="B42" i="21"/>
  <c r="C42" i="21"/>
  <c r="X42" i="21"/>
  <c r="B43" i="21"/>
  <c r="C43" i="21"/>
  <c r="X43" i="21"/>
  <c r="B44" i="21"/>
  <c r="C44" i="21"/>
  <c r="X44" i="21"/>
  <c r="B45" i="21"/>
  <c r="C45" i="21"/>
  <c r="X45" i="21"/>
  <c r="B46" i="21"/>
  <c r="C46" i="21"/>
  <c r="X46" i="21"/>
  <c r="B47" i="21"/>
  <c r="C47" i="21"/>
  <c r="X47" i="21"/>
  <c r="B48" i="21"/>
  <c r="C48" i="21"/>
  <c r="X48" i="21"/>
  <c r="B49" i="21"/>
  <c r="C49" i="21"/>
  <c r="X49" i="21"/>
  <c r="X50" i="21"/>
  <c r="X51" i="21"/>
  <c r="B52" i="21"/>
  <c r="C52" i="21"/>
  <c r="X52" i="21"/>
  <c r="B53" i="21"/>
  <c r="C53" i="21"/>
  <c r="X53" i="21"/>
  <c r="B54" i="21"/>
  <c r="C54" i="21"/>
  <c r="X54" i="21"/>
  <c r="X55" i="21"/>
  <c r="X56" i="21"/>
  <c r="X57" i="21"/>
  <c r="X58" i="21"/>
  <c r="B59" i="21"/>
  <c r="C59" i="21"/>
  <c r="X59" i="21"/>
  <c r="B60" i="21"/>
  <c r="C60" i="21"/>
  <c r="X60" i="21"/>
  <c r="X61" i="21"/>
  <c r="X62" i="21"/>
  <c r="B63" i="21"/>
  <c r="C63" i="21"/>
  <c r="X63" i="21"/>
  <c r="X64" i="21"/>
  <c r="X65" i="21"/>
  <c r="X66" i="21"/>
  <c r="X67" i="21"/>
  <c r="X68" i="21"/>
  <c r="X69" i="21"/>
  <c r="B70" i="21"/>
  <c r="C70" i="21"/>
  <c r="X70" i="21"/>
  <c r="B71" i="21"/>
  <c r="C71" i="21"/>
  <c r="X71" i="21"/>
  <c r="B72" i="21"/>
  <c r="C72" i="21"/>
  <c r="X72" i="21"/>
  <c r="U53" i="21" l="1"/>
  <c r="U62" i="21"/>
  <c r="D67" i="21"/>
  <c r="D65" i="21"/>
  <c r="D63" i="21"/>
  <c r="D62" i="21"/>
  <c r="D58" i="21"/>
  <c r="D56" i="21"/>
  <c r="D54" i="21"/>
  <c r="D69" i="21"/>
  <c r="D70" i="21"/>
  <c r="D68" i="21"/>
  <c r="D61" i="21"/>
  <c r="D59" i="21"/>
  <c r="D44" i="21"/>
  <c r="D33" i="21"/>
  <c r="D29" i="21"/>
  <c r="D53" i="21"/>
  <c r="D51" i="21"/>
  <c r="D46" i="21"/>
  <c r="D37" i="21"/>
  <c r="D32" i="21"/>
  <c r="D26" i="21"/>
  <c r="D22" i="21"/>
  <c r="D20" i="21"/>
  <c r="D19" i="21"/>
  <c r="D18" i="21"/>
  <c r="D17" i="21"/>
  <c r="D16" i="21"/>
  <c r="D15" i="21"/>
  <c r="D14" i="21"/>
  <c r="D13" i="21"/>
  <c r="D12" i="21"/>
  <c r="D11" i="21"/>
  <c r="D10" i="21"/>
  <c r="D9" i="21"/>
  <c r="D8" i="21"/>
  <c r="D27" i="21"/>
  <c r="D25" i="21"/>
  <c r="D23" i="21"/>
  <c r="D21" i="21"/>
  <c r="D72" i="21"/>
  <c r="D71" i="21"/>
  <c r="D66" i="21"/>
  <c r="D64" i="21"/>
  <c r="D60" i="21"/>
  <c r="D57" i="21"/>
  <c r="D55" i="21"/>
  <c r="D52" i="21"/>
  <c r="D50" i="21"/>
  <c r="D49" i="21"/>
  <c r="D48" i="21"/>
  <c r="D47" i="21"/>
  <c r="D45" i="21"/>
  <c r="D43" i="21"/>
  <c r="D42" i="21"/>
  <c r="D41" i="21"/>
  <c r="D40" i="21"/>
  <c r="D39" i="21"/>
  <c r="D38" i="21"/>
  <c r="D36" i="21"/>
  <c r="D35" i="21"/>
  <c r="D34" i="21"/>
  <c r="D31" i="21"/>
  <c r="D30" i="21"/>
  <c r="D28" i="21"/>
  <c r="D24" i="21"/>
  <c r="C68" i="21"/>
  <c r="C50" i="21"/>
  <c r="C41" i="21"/>
  <c r="C39" i="21"/>
  <c r="C32" i="21"/>
  <c r="C31" i="21"/>
  <c r="C26" i="21"/>
  <c r="C22" i="21"/>
  <c r="C61" i="21"/>
  <c r="C69" i="21"/>
  <c r="C67" i="21"/>
  <c r="C66" i="21"/>
  <c r="C65" i="21"/>
  <c r="C64" i="21"/>
  <c r="C62" i="21"/>
  <c r="C58" i="21"/>
  <c r="C57" i="21"/>
  <c r="C56" i="21"/>
  <c r="C55" i="21"/>
  <c r="C51" i="21"/>
  <c r="C40" i="21"/>
  <c r="C38" i="21"/>
  <c r="C30" i="21"/>
  <c r="C25" i="21"/>
  <c r="C7" i="21"/>
  <c r="A73" i="21"/>
  <c r="V10" i="21" l="1"/>
  <c r="V8" i="21"/>
  <c r="V12" i="21"/>
  <c r="V16" i="21"/>
  <c r="V20" i="21"/>
  <c r="V24" i="21"/>
  <c r="V29" i="21"/>
  <c r="V32" i="21"/>
  <c r="V36" i="21"/>
  <c r="V40" i="21"/>
  <c r="V50" i="21"/>
  <c r="V9" i="21"/>
  <c r="V13" i="21"/>
  <c r="V17" i="21"/>
  <c r="V21" i="21"/>
  <c r="V25" i="21"/>
  <c r="V28" i="21"/>
  <c r="V33" i="21"/>
  <c r="V37" i="21"/>
  <c r="V41" i="21"/>
  <c r="V45" i="21"/>
  <c r="V53" i="21"/>
  <c r="V14" i="21"/>
  <c r="V18" i="21"/>
  <c r="V22" i="21"/>
  <c r="V26" i="21"/>
  <c r="V30" i="21"/>
  <c r="V34" i="21"/>
  <c r="V38" i="21"/>
  <c r="V46" i="21"/>
  <c r="V62" i="21"/>
  <c r="V11" i="21"/>
  <c r="V15" i="21"/>
  <c r="V19" i="21"/>
  <c r="V23" i="21"/>
  <c r="V27" i="21"/>
  <c r="V31" i="21"/>
  <c r="V35" i="21"/>
  <c r="V39" i="21"/>
  <c r="V43" i="21"/>
  <c r="V47" i="21"/>
  <c r="V7" i="21"/>
  <c r="B37" i="21"/>
  <c r="B7" i="21"/>
  <c r="B25" i="21"/>
  <c r="B38" i="21"/>
  <c r="B51" i="21"/>
  <c r="B56" i="21"/>
  <c r="B58" i="21"/>
  <c r="B64" i="21"/>
  <c r="B66" i="21"/>
  <c r="B69" i="21"/>
  <c r="B22" i="21"/>
  <c r="B31" i="21"/>
  <c r="B39" i="21"/>
  <c r="B50" i="21"/>
  <c r="B30" i="21"/>
  <c r="B40" i="21"/>
  <c r="B55" i="21"/>
  <c r="B57" i="21"/>
  <c r="B62" i="21"/>
  <c r="B65" i="21"/>
  <c r="B67" i="21"/>
  <c r="B61" i="21"/>
  <c r="B26" i="21"/>
  <c r="B32" i="21"/>
  <c r="B41" i="21"/>
  <c r="B68" i="21"/>
  <c r="I9" i="38" a="1"/>
  <c r="I9" i="38" s="1"/>
  <c r="I10" i="38" a="1"/>
  <c r="I10" i="38" s="1"/>
  <c r="I11" i="38" a="1"/>
  <c r="I11" i="38" s="1"/>
  <c r="I12" i="38" a="1"/>
  <c r="I12" i="38" s="1"/>
  <c r="I13" i="38" a="1"/>
  <c r="I13" i="38" s="1"/>
  <c r="I14" i="38" a="1"/>
  <c r="I14" i="38" s="1"/>
  <c r="I15" i="38" a="1"/>
  <c r="I15" i="38" s="1"/>
  <c r="I16" i="38" a="1"/>
  <c r="I16" i="38" s="1"/>
  <c r="I17" i="38" a="1"/>
  <c r="I17" i="38" s="1"/>
  <c r="I18" i="38" a="1"/>
  <c r="I18" i="38" s="1"/>
  <c r="I19" i="38" a="1"/>
  <c r="I19" i="38" s="1"/>
  <c r="I20" i="38" a="1"/>
  <c r="I20" i="38" s="1"/>
  <c r="I21" i="38" a="1"/>
  <c r="I21" i="38" s="1"/>
  <c r="I22" i="38" a="1"/>
  <c r="I22" i="38" s="1"/>
  <c r="I23" i="38" a="1"/>
  <c r="I23" i="38" s="1"/>
  <c r="I24" i="38" a="1"/>
  <c r="I24" i="38" s="1"/>
  <c r="I25" i="38" a="1"/>
  <c r="I25" i="38" s="1"/>
  <c r="I26" i="38" a="1"/>
  <c r="I26" i="38" s="1"/>
  <c r="I27" i="38" a="1"/>
  <c r="I27" i="38" s="1"/>
  <c r="I28" i="38" a="1"/>
  <c r="I28" i="38" s="1"/>
  <c r="I29" i="38" a="1"/>
  <c r="I29" i="38" s="1"/>
  <c r="I30" i="38" a="1"/>
  <c r="I30" i="38" s="1"/>
  <c r="I31" i="38" a="1"/>
  <c r="I31" i="38" s="1"/>
  <c r="I32" i="38" a="1"/>
  <c r="I32" i="38" s="1"/>
  <c r="I33" i="38" a="1"/>
  <c r="I33" i="38" s="1"/>
  <c r="I34" i="38" a="1"/>
  <c r="I34" i="38" s="1"/>
  <c r="I35" i="38" a="1"/>
  <c r="I35" i="38" s="1"/>
  <c r="I36" i="38" a="1"/>
  <c r="I36" i="38" s="1"/>
  <c r="I37" i="38" a="1"/>
  <c r="I37" i="38" s="1"/>
  <c r="I38" i="38" a="1"/>
  <c r="I38" i="38" s="1"/>
  <c r="I39" i="38" a="1"/>
  <c r="I39" i="38" s="1"/>
  <c r="I40" i="38" a="1"/>
  <c r="I40" i="38" s="1"/>
  <c r="I41" i="38" a="1"/>
  <c r="I41" i="38" s="1"/>
  <c r="I42" i="38" a="1"/>
  <c r="I42" i="38" s="1"/>
  <c r="I43" i="38" a="1"/>
  <c r="I43" i="38" s="1"/>
  <c r="I44" i="38" a="1"/>
  <c r="I44" i="38" s="1"/>
  <c r="I45" i="38" a="1"/>
  <c r="I45" i="38" s="1"/>
  <c r="I46" i="38" a="1"/>
  <c r="I46" i="38" s="1"/>
  <c r="I47" i="38" a="1"/>
  <c r="I47" i="38" s="1"/>
  <c r="I48" i="38" a="1"/>
  <c r="I48" i="38" s="1"/>
  <c r="I49" i="38" a="1"/>
  <c r="I49" i="38" s="1"/>
  <c r="I50" i="38" a="1"/>
  <c r="I50" i="38" s="1"/>
  <c r="I51" i="38" a="1"/>
  <c r="I51" i="38" s="1"/>
  <c r="I52" i="38" a="1"/>
  <c r="I52" i="38" s="1"/>
  <c r="I53" i="38" a="1"/>
  <c r="I53" i="38" s="1"/>
  <c r="I54" i="38" a="1"/>
  <c r="I54" i="38" s="1"/>
  <c r="I55" i="38" a="1"/>
  <c r="I55" i="38" s="1"/>
  <c r="I56" i="38" a="1"/>
  <c r="I56" i="38" s="1"/>
  <c r="I57" i="38" a="1"/>
  <c r="I57" i="38" s="1"/>
  <c r="I58" i="38" a="1"/>
  <c r="I58" i="38" s="1"/>
  <c r="I59" i="38" a="1"/>
  <c r="I59" i="38" s="1"/>
  <c r="I8" i="38" a="1"/>
  <c r="I8" i="38" s="1"/>
  <c r="G34" i="54" l="1"/>
  <c r="G33" i="54"/>
  <c r="G32" i="54"/>
  <c r="G31" i="54"/>
  <c r="E28" i="54"/>
  <c r="C28" i="54"/>
  <c r="G27" i="54"/>
  <c r="G26" i="54"/>
  <c r="G25" i="54"/>
  <c r="G22" i="54"/>
  <c r="G21" i="54"/>
  <c r="G20" i="54"/>
  <c r="G19" i="54"/>
  <c r="E16" i="54"/>
  <c r="C16" i="54"/>
  <c r="G15" i="54"/>
  <c r="G14" i="54"/>
  <c r="G13" i="54"/>
  <c r="M107" i="1" l="1"/>
  <c r="F46" i="2"/>
  <c r="F42" i="2"/>
  <c r="K100" i="1"/>
  <c r="E16" i="51" l="1"/>
  <c r="G15" i="51"/>
  <c r="G14" i="51"/>
  <c r="G13" i="51"/>
  <c r="H57" i="38" l="1"/>
  <c r="H58" i="38"/>
  <c r="H59" i="38"/>
  <c r="H50" i="38"/>
  <c r="G59" i="38" l="1"/>
  <c r="G57" i="38"/>
  <c r="G58" i="38"/>
  <c r="G50" i="38"/>
  <c r="A4" i="48"/>
  <c r="A2" i="48"/>
  <c r="A1" i="48"/>
  <c r="D1" i="68" l="1"/>
  <c r="M110" i="1" l="1"/>
  <c r="E22" i="45" l="1"/>
  <c r="C22" i="45"/>
  <c r="G21" i="45"/>
  <c r="G20" i="45"/>
  <c r="G19" i="45"/>
  <c r="E16" i="45"/>
  <c r="C16" i="45"/>
  <c r="G15" i="45"/>
  <c r="G14" i="45"/>
  <c r="G13" i="45"/>
  <c r="E10" i="54"/>
  <c r="C10" i="54"/>
  <c r="G9" i="54"/>
  <c r="G8" i="54"/>
  <c r="G7" i="54"/>
  <c r="G10" i="51"/>
  <c r="G9" i="51"/>
  <c r="G8" i="51"/>
  <c r="G7" i="51"/>
  <c r="A4" i="70" l="1"/>
  <c r="A2" i="70"/>
  <c r="H1" i="70"/>
  <c r="D1" i="70"/>
  <c r="A4" i="69"/>
  <c r="A2" i="69"/>
  <c r="H1" i="69"/>
  <c r="D1" i="69"/>
  <c r="A4" i="68"/>
  <c r="A2" i="68"/>
  <c r="H1" i="68"/>
  <c r="K105" i="1"/>
  <c r="E10" i="45" l="1"/>
  <c r="C10" i="45"/>
  <c r="G9" i="45"/>
  <c r="G8" i="45"/>
  <c r="G7" i="45"/>
  <c r="E34" i="2" l="1"/>
  <c r="A1" i="67" s="1"/>
  <c r="G80" i="1"/>
  <c r="J7" i="38"/>
  <c r="L7" i="38"/>
  <c r="M7" i="38"/>
  <c r="O7" i="38"/>
  <c r="Q7" i="38"/>
  <c r="R7" i="38"/>
  <c r="G16" i="67"/>
  <c r="G15" i="67"/>
  <c r="G14" i="67"/>
  <c r="G13" i="67"/>
  <c r="G20" i="67"/>
  <c r="A4" i="67"/>
  <c r="A2" i="67"/>
  <c r="C40" i="67"/>
  <c r="G39" i="67"/>
  <c r="G38" i="67"/>
  <c r="G37" i="67"/>
  <c r="C34" i="67"/>
  <c r="G33" i="67"/>
  <c r="G32" i="67"/>
  <c r="G31" i="67"/>
  <c r="C28" i="67"/>
  <c r="G27" i="67"/>
  <c r="G26" i="67"/>
  <c r="G25" i="67"/>
  <c r="C22" i="67"/>
  <c r="G21" i="67"/>
  <c r="G19" i="67"/>
  <c r="C10" i="67"/>
  <c r="G9" i="67"/>
  <c r="G8" i="67"/>
  <c r="G7" i="67"/>
  <c r="J1" i="67"/>
  <c r="H1" i="67"/>
  <c r="K80" i="1"/>
  <c r="K98" i="1" l="1"/>
  <c r="A4" i="66" l="1"/>
  <c r="A2" i="66"/>
  <c r="H1" i="66"/>
  <c r="D1" i="66"/>
  <c r="D60" i="38" l="1"/>
  <c r="H9" i="38"/>
  <c r="H10" i="38"/>
  <c r="H13" i="38"/>
  <c r="H12" i="38"/>
  <c r="H14" i="38"/>
  <c r="H17" i="38"/>
  <c r="H21" i="38"/>
  <c r="H15" i="38"/>
  <c r="H23" i="38"/>
  <c r="H11" i="38"/>
  <c r="H18" i="38"/>
  <c r="H24" i="38"/>
  <c r="H16" i="38"/>
  <c r="H19" i="38"/>
  <c r="H28" i="38"/>
  <c r="H27" i="38"/>
  <c r="H25" i="38"/>
  <c r="H26" i="38"/>
  <c r="H20" i="38"/>
  <c r="H22" i="38"/>
  <c r="H32" i="38"/>
  <c r="H31" i="38"/>
  <c r="H34" i="38"/>
  <c r="H29" i="38"/>
  <c r="H30" i="38"/>
  <c r="H33" i="38"/>
  <c r="H40" i="38"/>
  <c r="H35" i="38"/>
  <c r="H36" i="38"/>
  <c r="H46" i="38"/>
  <c r="H48" i="38"/>
  <c r="H37" i="38"/>
  <c r="H49" i="38"/>
  <c r="H52" i="38"/>
  <c r="H53" i="38"/>
  <c r="H54" i="38"/>
  <c r="H38" i="38"/>
  <c r="H39" i="38"/>
  <c r="H55" i="38"/>
  <c r="H41" i="38"/>
  <c r="H45" i="38"/>
  <c r="H43" i="38"/>
  <c r="H44" i="38"/>
  <c r="H42" i="38"/>
  <c r="H47" i="38"/>
  <c r="H51" i="38"/>
  <c r="H56" i="38"/>
  <c r="H8" i="38"/>
  <c r="M54" i="1" l="1"/>
  <c r="G32" i="1"/>
  <c r="G60" i="1"/>
  <c r="G63" i="1"/>
  <c r="G77" i="1"/>
  <c r="G85" i="1"/>
  <c r="M92" i="1"/>
  <c r="M95" i="1"/>
  <c r="M98" i="1"/>
  <c r="G82" i="1"/>
  <c r="E32" i="2"/>
  <c r="A4" i="65" l="1"/>
  <c r="A2" i="65"/>
  <c r="H1" i="65"/>
  <c r="D1" i="65"/>
  <c r="G28" i="48" l="1"/>
  <c r="G27" i="48"/>
  <c r="G25" i="48"/>
  <c r="E22" i="48"/>
  <c r="C22" i="48"/>
  <c r="G21" i="48"/>
  <c r="G20" i="48"/>
  <c r="G19" i="48"/>
  <c r="G16" i="48"/>
  <c r="G14" i="48"/>
  <c r="I29" i="2"/>
  <c r="E29" i="2"/>
  <c r="E22" i="47" l="1"/>
  <c r="C22" i="47"/>
  <c r="G21" i="47"/>
  <c r="G20" i="47"/>
  <c r="G19" i="47"/>
  <c r="E16" i="47"/>
  <c r="C16" i="47"/>
  <c r="G15" i="47"/>
  <c r="G14" i="47"/>
  <c r="G13" i="47"/>
  <c r="G10" i="48"/>
  <c r="G9" i="48"/>
  <c r="G8" i="48"/>
  <c r="G7" i="48"/>
  <c r="A3" i="48"/>
  <c r="A4" i="64" l="1"/>
  <c r="A2" i="64"/>
  <c r="H1" i="64"/>
  <c r="D1" i="64"/>
  <c r="A4" i="62" l="1"/>
  <c r="A3" i="62"/>
  <c r="A2" i="62"/>
  <c r="H1" i="62"/>
  <c r="D1" i="62"/>
  <c r="Q15" i="61" l="1"/>
  <c r="P15" i="61"/>
  <c r="N15" i="61"/>
  <c r="Q14" i="61"/>
  <c r="P14" i="61"/>
  <c r="N14" i="61"/>
  <c r="Q13" i="61"/>
  <c r="P13" i="61"/>
  <c r="N13" i="61"/>
  <c r="Q12" i="61"/>
  <c r="P12" i="61"/>
  <c r="N12" i="61"/>
  <c r="Q11" i="61"/>
  <c r="P11" i="61"/>
  <c r="N11" i="61"/>
  <c r="Q10" i="61"/>
  <c r="P10" i="61"/>
  <c r="N10" i="61"/>
  <c r="Q9" i="61"/>
  <c r="P9" i="61"/>
  <c r="N9" i="61"/>
  <c r="Q8" i="61"/>
  <c r="P8" i="61"/>
  <c r="N8" i="61"/>
  <c r="Q7" i="61"/>
  <c r="P7" i="61"/>
  <c r="N7" i="61"/>
  <c r="A4" i="61"/>
  <c r="N1" i="61"/>
  <c r="K1" i="61"/>
  <c r="F21" i="34"/>
  <c r="F22" i="34" s="1"/>
  <c r="F23" i="34" s="1"/>
  <c r="F24" i="34" s="1"/>
  <c r="F25" i="34" s="1"/>
  <c r="F26" i="34" s="1"/>
  <c r="F27" i="34" s="1"/>
  <c r="F28" i="34" s="1"/>
  <c r="F29" i="34" s="1"/>
  <c r="F30" i="34" s="1"/>
  <c r="F31" i="34" s="1"/>
  <c r="F32" i="34" s="1"/>
  <c r="F33" i="34" s="1"/>
  <c r="F34" i="34" s="1"/>
  <c r="F35" i="34" s="1"/>
  <c r="F36" i="34" s="1"/>
  <c r="F37" i="34" s="1"/>
  <c r="F38" i="34" s="1"/>
  <c r="F39" i="34" s="1"/>
  <c r="F40" i="34" s="1"/>
  <c r="F41" i="34" s="1"/>
  <c r="F42" i="34" s="1"/>
  <c r="F43" i="34" s="1"/>
  <c r="F44" i="34" s="1"/>
  <c r="F45" i="34" s="1"/>
  <c r="F46" i="34" s="1"/>
  <c r="F47" i="34" s="1"/>
  <c r="F48" i="34" s="1"/>
  <c r="F49" i="34" s="1"/>
  <c r="D21" i="34"/>
  <c r="D22" i="34" s="1"/>
  <c r="D23" i="34" s="1"/>
  <c r="D24" i="34" s="1"/>
  <c r="D25" i="34" s="1"/>
  <c r="D26" i="34" s="1"/>
  <c r="D27" i="34" s="1"/>
  <c r="D28" i="34" s="1"/>
  <c r="D29" i="34" s="1"/>
  <c r="D30" i="34" s="1"/>
  <c r="D31" i="34" s="1"/>
  <c r="D32" i="34" s="1"/>
  <c r="D33" i="34" s="1"/>
  <c r="D34" i="34" s="1"/>
  <c r="D35" i="34" s="1"/>
  <c r="D36" i="34" s="1"/>
  <c r="D37" i="34" s="1"/>
  <c r="D38" i="34" s="1"/>
  <c r="D39" i="34" s="1"/>
  <c r="D40" i="34" s="1"/>
  <c r="D41" i="34" s="1"/>
  <c r="D42" i="34" s="1"/>
  <c r="D43" i="34" s="1"/>
  <c r="D44" i="34" s="1"/>
  <c r="D45" i="34" s="1"/>
  <c r="D46" i="34" s="1"/>
  <c r="D47" i="34" s="1"/>
  <c r="D48" i="34" s="1"/>
  <c r="D49" i="34" s="1"/>
  <c r="O7" i="61" l="1"/>
  <c r="O9" i="61"/>
  <c r="O11" i="61"/>
  <c r="O13" i="61"/>
  <c r="O15" i="61"/>
  <c r="O8" i="61"/>
  <c r="O10" i="61"/>
  <c r="O12" i="61"/>
  <c r="O14" i="61"/>
  <c r="A2" i="60"/>
  <c r="A4" i="60"/>
  <c r="S13" i="60"/>
  <c r="U13" i="60"/>
  <c r="V13" i="60"/>
  <c r="V20" i="60"/>
  <c r="U20" i="60"/>
  <c r="S20" i="60"/>
  <c r="V19" i="60"/>
  <c r="U19" i="60"/>
  <c r="S19" i="60"/>
  <c r="V18" i="60"/>
  <c r="U18" i="60"/>
  <c r="S18" i="60"/>
  <c r="V17" i="60"/>
  <c r="U17" i="60"/>
  <c r="S17" i="60"/>
  <c r="V16" i="60"/>
  <c r="U16" i="60"/>
  <c r="S16" i="60"/>
  <c r="V15" i="60"/>
  <c r="U15" i="60"/>
  <c r="S15" i="60"/>
  <c r="V14" i="60"/>
  <c r="U14" i="60"/>
  <c r="S14" i="60"/>
  <c r="V12" i="60"/>
  <c r="U12" i="60"/>
  <c r="S12" i="60"/>
  <c r="V11" i="60"/>
  <c r="U11" i="60"/>
  <c r="S11" i="60"/>
  <c r="V10" i="60"/>
  <c r="U10" i="60"/>
  <c r="S10" i="60"/>
  <c r="V9" i="60"/>
  <c r="U9" i="60"/>
  <c r="S9" i="60"/>
  <c r="V8" i="60"/>
  <c r="U8" i="60"/>
  <c r="S8" i="60"/>
  <c r="V7" i="60"/>
  <c r="U7" i="60"/>
  <c r="S7" i="60"/>
  <c r="O1" i="60"/>
  <c r="L1" i="60"/>
  <c r="T13" i="60" l="1"/>
  <c r="T7" i="60"/>
  <c r="T8" i="60"/>
  <c r="T9" i="60"/>
  <c r="T11" i="60"/>
  <c r="T15" i="60"/>
  <c r="T17" i="60"/>
  <c r="T19" i="60"/>
  <c r="T10" i="60"/>
  <c r="T12" i="60"/>
  <c r="T14" i="60"/>
  <c r="T16" i="60"/>
  <c r="T18" i="60"/>
  <c r="T20" i="60"/>
  <c r="E10" i="47"/>
  <c r="C10" i="47"/>
  <c r="G9" i="47"/>
  <c r="G8" i="47"/>
  <c r="G7" i="47"/>
  <c r="A31" i="3" l="1"/>
  <c r="F31" i="3"/>
  <c r="A4" i="59" l="1"/>
  <c r="A2" i="59"/>
  <c r="W28" i="59"/>
  <c r="W27" i="59"/>
  <c r="W22" i="59"/>
  <c r="W21" i="59"/>
  <c r="W20" i="59"/>
  <c r="W19" i="59"/>
  <c r="W17" i="59"/>
  <c r="W16" i="59"/>
  <c r="W15" i="59"/>
  <c r="W14" i="59"/>
  <c r="W13" i="59"/>
  <c r="W12" i="59"/>
  <c r="W11" i="59"/>
  <c r="W10" i="59"/>
  <c r="W9" i="59"/>
  <c r="S1" i="59"/>
  <c r="N1" i="59"/>
  <c r="X28" i="59"/>
  <c r="X24" i="59"/>
  <c r="X27" i="59"/>
  <c r="X21" i="59" l="1"/>
  <c r="X19" i="59"/>
  <c r="X9" i="59"/>
  <c r="X20" i="59"/>
  <c r="X22" i="59"/>
  <c r="X10" i="59"/>
  <c r="X12" i="59"/>
  <c r="X14" i="59"/>
  <c r="X15" i="59"/>
  <c r="A4" i="58" l="1"/>
  <c r="A2" i="58"/>
  <c r="H1" i="58"/>
  <c r="D1" i="58"/>
  <c r="A3" i="70" l="1"/>
  <c r="A3" i="69"/>
  <c r="A3" i="68"/>
  <c r="A3" i="66"/>
  <c r="A3" i="65"/>
  <c r="A3" i="64"/>
  <c r="A3" i="58"/>
  <c r="A3" i="74" l="1"/>
  <c r="A3" i="73"/>
  <c r="A3" i="61"/>
  <c r="A3" i="60"/>
  <c r="F49" i="2"/>
  <c r="F43" i="2"/>
  <c r="F41" i="2"/>
  <c r="F37" i="2"/>
  <c r="F36" i="2"/>
  <c r="F35" i="2"/>
  <c r="F32" i="2"/>
  <c r="F34" i="2"/>
  <c r="A3" i="67" s="1"/>
  <c r="F26" i="2"/>
  <c r="F24" i="2"/>
  <c r="F23" i="2"/>
  <c r="F18" i="2"/>
  <c r="F17" i="2"/>
  <c r="F16" i="2"/>
  <c r="F15" i="2"/>
  <c r="F14" i="2"/>
  <c r="A3" i="59" s="1"/>
  <c r="F11" i="2"/>
  <c r="F9" i="2"/>
  <c r="F8" i="2"/>
  <c r="F6" i="2"/>
  <c r="F5" i="2"/>
  <c r="M116" i="1"/>
  <c r="M100" i="1"/>
  <c r="M97" i="1"/>
  <c r="K97" i="1"/>
  <c r="K94" i="1"/>
  <c r="M91" i="1"/>
  <c r="K91" i="1"/>
  <c r="G87" i="1"/>
  <c r="K84" i="1"/>
  <c r="M82" i="1"/>
  <c r="K82" i="1"/>
  <c r="M79" i="1"/>
  <c r="K79" i="1"/>
  <c r="I79" i="1"/>
  <c r="G79" i="1"/>
  <c r="M76" i="1"/>
  <c r="K76" i="1"/>
  <c r="K66" i="1"/>
  <c r="K59" i="1"/>
  <c r="M56" i="1"/>
  <c r="C56" i="1"/>
  <c r="K53" i="1"/>
  <c r="M51" i="1"/>
  <c r="K51" i="1"/>
  <c r="J47" i="1"/>
  <c r="G46" i="1"/>
  <c r="M40" i="1"/>
  <c r="K40" i="1"/>
  <c r="C40" i="1"/>
  <c r="M37" i="1"/>
  <c r="M34" i="1"/>
  <c r="K34" i="1"/>
  <c r="G34" i="1"/>
  <c r="M31" i="1"/>
  <c r="J31" i="1"/>
  <c r="M29" i="1"/>
  <c r="K29" i="1"/>
  <c r="M23" i="1"/>
  <c r="K23" i="1"/>
  <c r="G22" i="1"/>
  <c r="M16" i="1"/>
  <c r="K16" i="1"/>
  <c r="C16" i="1"/>
  <c r="M12" i="1"/>
  <c r="A9" i="1"/>
  <c r="M7" i="1"/>
  <c r="A7" i="1"/>
  <c r="L25" i="1" l="1"/>
  <c r="N25" i="1"/>
  <c r="L84" i="1" l="1"/>
  <c r="G47" i="1" l="1"/>
  <c r="G45" i="1"/>
  <c r="G31" i="1" l="1"/>
  <c r="M30" i="1"/>
  <c r="J30" i="1" l="1"/>
  <c r="M9" i="1" l="1"/>
  <c r="C40" i="43" l="1"/>
  <c r="G39" i="43"/>
  <c r="G38" i="43"/>
  <c r="G37" i="43"/>
  <c r="C34" i="43"/>
  <c r="G33" i="43"/>
  <c r="G32" i="43"/>
  <c r="G31" i="43"/>
  <c r="C28" i="43"/>
  <c r="G27" i="43"/>
  <c r="G26" i="43"/>
  <c r="G25" i="43"/>
  <c r="C22" i="43"/>
  <c r="G21" i="43"/>
  <c r="G19" i="43"/>
  <c r="C16" i="43"/>
  <c r="G15" i="43"/>
  <c r="G14" i="43"/>
  <c r="G13" i="43"/>
  <c r="A4" i="56" l="1"/>
  <c r="A2" i="56"/>
  <c r="H1" i="56"/>
  <c r="D1" i="56"/>
  <c r="A4" i="55"/>
  <c r="A2" i="55"/>
  <c r="H1" i="55"/>
  <c r="D1" i="55"/>
  <c r="G67" i="1" l="1"/>
  <c r="K72" i="1"/>
  <c r="K57" i="1" l="1"/>
  <c r="K54" i="1"/>
  <c r="L23" i="1"/>
  <c r="K7" i="3" l="1"/>
  <c r="K16" i="3"/>
  <c r="K11" i="3"/>
  <c r="K21" i="3"/>
  <c r="K10" i="3"/>
  <c r="K15" i="3"/>
  <c r="K9" i="3"/>
  <c r="K20" i="3"/>
  <c r="K17" i="3"/>
  <c r="K18" i="3"/>
  <c r="K19" i="3"/>
  <c r="K28" i="3"/>
  <c r="K29" i="3"/>
  <c r="K14" i="3"/>
  <c r="K12" i="3"/>
  <c r="K23" i="3"/>
  <c r="K13" i="3"/>
  <c r="K27" i="3"/>
  <c r="K22" i="3"/>
  <c r="K25" i="3"/>
  <c r="K26" i="3"/>
  <c r="K24" i="3"/>
  <c r="K30" i="3"/>
  <c r="K8" i="3"/>
  <c r="K9" i="1" l="1"/>
  <c r="L8" i="1"/>
  <c r="A8" i="1" l="1"/>
  <c r="N23" i="1" l="1"/>
  <c r="C10" i="43" l="1"/>
  <c r="G9" i="43"/>
  <c r="G8" i="43"/>
  <c r="G7" i="43"/>
  <c r="A3" i="55" l="1"/>
  <c r="A3" i="56"/>
  <c r="G21" i="41" l="1"/>
  <c r="G20" i="41"/>
  <c r="G19" i="41"/>
  <c r="G16" i="41"/>
  <c r="G15" i="41"/>
  <c r="G14" i="41"/>
  <c r="G13" i="41"/>
  <c r="G9" i="41"/>
  <c r="G8" i="41"/>
  <c r="G7" i="41"/>
  <c r="J41" i="1" l="1"/>
  <c r="K127" i="1" l="1"/>
  <c r="E20" i="1" l="1"/>
  <c r="E10" i="1"/>
  <c r="K67" i="1" l="1"/>
  <c r="N72" i="1"/>
  <c r="H72" i="1" l="1"/>
  <c r="L72" i="1"/>
  <c r="E36" i="2" l="1"/>
  <c r="E35" i="2"/>
  <c r="E17" i="2"/>
  <c r="E15" i="2"/>
  <c r="A4" i="46"/>
  <c r="A2" i="46"/>
  <c r="A4" i="51"/>
  <c r="A2" i="51"/>
  <c r="E40" i="2"/>
  <c r="E41" i="2"/>
  <c r="A1" i="51" s="1"/>
  <c r="M114" i="1" l="1"/>
  <c r="V7" i="38" l="1"/>
  <c r="U7" i="38"/>
  <c r="T7" i="38"/>
  <c r="S7" i="38"/>
  <c r="P7" i="38"/>
  <c r="N7" i="38"/>
  <c r="K7" i="38"/>
  <c r="E26" i="2"/>
  <c r="E11" i="2"/>
  <c r="E8" i="2"/>
  <c r="E6" i="2"/>
  <c r="E19" i="2"/>
  <c r="E14" i="2"/>
  <c r="A1" i="59" l="1"/>
  <c r="A6" i="1"/>
  <c r="K42" i="1" l="1"/>
  <c r="K17" i="1"/>
  <c r="K13" i="1"/>
  <c r="M13" i="1"/>
  <c r="A4" i="54"/>
  <c r="A2" i="54"/>
  <c r="A4" i="53"/>
  <c r="A3" i="53"/>
  <c r="A2" i="53"/>
  <c r="G1" i="54"/>
  <c r="E1" i="54"/>
  <c r="H1" i="53"/>
  <c r="F1" i="53"/>
  <c r="A4" i="50"/>
  <c r="A2" i="50"/>
  <c r="G1" i="51"/>
  <c r="E1" i="51"/>
  <c r="G1" i="50"/>
  <c r="E1" i="50"/>
  <c r="A4" i="47"/>
  <c r="A2" i="47"/>
  <c r="G1" i="48"/>
  <c r="E1" i="48"/>
  <c r="G1" i="47"/>
  <c r="E1" i="47"/>
  <c r="G20" i="1"/>
  <c r="M10" i="1"/>
  <c r="M5" i="1"/>
  <c r="M105" i="1"/>
  <c r="C54" i="1"/>
  <c r="C38" i="1"/>
  <c r="C13" i="1"/>
  <c r="E92" i="1"/>
  <c r="E80" i="1"/>
  <c r="E74" i="1"/>
  <c r="E63" i="1"/>
  <c r="E54" i="1"/>
  <c r="E45" i="1"/>
  <c r="E32" i="1"/>
  <c r="G1" i="46"/>
  <c r="E1" i="46"/>
  <c r="A4" i="45"/>
  <c r="A3" i="45"/>
  <c r="A2" i="45"/>
  <c r="G1" i="45"/>
  <c r="E1" i="45"/>
  <c r="L4" i="44"/>
  <c r="J4" i="44"/>
  <c r="K4" i="44"/>
  <c r="W4" i="21"/>
  <c r="S4" i="21"/>
  <c r="R4" i="21"/>
  <c r="Q4" i="21"/>
  <c r="P4" i="21"/>
  <c r="O4" i="21"/>
  <c r="N4" i="21"/>
  <c r="M4" i="21"/>
  <c r="L4" i="21"/>
  <c r="K4" i="21"/>
  <c r="J4" i="21"/>
  <c r="Q4" i="3"/>
  <c r="P4" i="3"/>
  <c r="O4" i="3"/>
  <c r="N4" i="3"/>
  <c r="M4" i="3"/>
  <c r="A1" i="50"/>
  <c r="A1" i="47"/>
  <c r="A1" i="45"/>
  <c r="V5" i="38"/>
  <c r="N5" i="38"/>
  <c r="M5" i="38"/>
  <c r="S5" i="38"/>
  <c r="Q5" i="38"/>
  <c r="R5" i="38"/>
  <c r="P5" i="38"/>
  <c r="O5" i="38"/>
  <c r="U5" i="38"/>
  <c r="T5" i="38"/>
  <c r="L5" i="38"/>
  <c r="K5" i="38"/>
  <c r="J5" i="38"/>
  <c r="E43" i="2"/>
  <c r="A1" i="54" s="1"/>
  <c r="E37" i="2"/>
  <c r="A1" i="46" s="1"/>
  <c r="A1" i="53" l="1"/>
  <c r="H1" i="2"/>
  <c r="G38" i="1" l="1"/>
  <c r="M20" i="1"/>
  <c r="L59" i="1" l="1"/>
  <c r="M35" i="1"/>
  <c r="M1" i="1"/>
  <c r="A4" i="43" l="1"/>
  <c r="A2" i="43"/>
  <c r="A4" i="42"/>
  <c r="A2" i="42"/>
  <c r="A4" i="41"/>
  <c r="A2" i="41"/>
  <c r="M39" i="44"/>
  <c r="N39" i="44"/>
  <c r="O39" i="44"/>
  <c r="M20" i="44"/>
  <c r="N20" i="44"/>
  <c r="O20" i="44"/>
  <c r="H39" i="44"/>
  <c r="I39" i="44"/>
  <c r="L42" i="44"/>
  <c r="K42" i="44"/>
  <c r="K43" i="44" s="1"/>
  <c r="J42" i="44"/>
  <c r="J43" i="44" s="1"/>
  <c r="B42" i="44"/>
  <c r="A42" i="44"/>
  <c r="D42" i="44"/>
  <c r="I20" i="44"/>
  <c r="H20" i="44"/>
  <c r="O35" i="44"/>
  <c r="N35" i="44"/>
  <c r="M35" i="44"/>
  <c r="I35" i="44"/>
  <c r="H35" i="44"/>
  <c r="O30" i="44"/>
  <c r="N30" i="44"/>
  <c r="M30" i="44"/>
  <c r="I30" i="44"/>
  <c r="H30" i="44"/>
  <c r="O34" i="44"/>
  <c r="N34" i="44"/>
  <c r="M34" i="44"/>
  <c r="I34" i="44"/>
  <c r="H34" i="44"/>
  <c r="O26" i="44"/>
  <c r="N26" i="44"/>
  <c r="M26" i="44"/>
  <c r="I26" i="44"/>
  <c r="H26" i="44"/>
  <c r="O41" i="44"/>
  <c r="N41" i="44"/>
  <c r="M41" i="44"/>
  <c r="I41" i="44"/>
  <c r="H41" i="44"/>
  <c r="O40" i="44"/>
  <c r="N40" i="44"/>
  <c r="M40" i="44"/>
  <c r="I40" i="44"/>
  <c r="H40" i="44"/>
  <c r="O24" i="44"/>
  <c r="N24" i="44"/>
  <c r="M24" i="44"/>
  <c r="I24" i="44"/>
  <c r="H24" i="44"/>
  <c r="O23" i="44"/>
  <c r="N23" i="44"/>
  <c r="M23" i="44"/>
  <c r="I23" i="44"/>
  <c r="H23" i="44"/>
  <c r="O19" i="44"/>
  <c r="N19" i="44"/>
  <c r="M19" i="44"/>
  <c r="I19" i="44"/>
  <c r="H19" i="44"/>
  <c r="O38" i="44"/>
  <c r="N38" i="44"/>
  <c r="M38" i="44"/>
  <c r="I38" i="44"/>
  <c r="H38" i="44"/>
  <c r="O22" i="44"/>
  <c r="N22" i="44"/>
  <c r="M22" i="44"/>
  <c r="I22" i="44"/>
  <c r="H22" i="44"/>
  <c r="O37" i="44"/>
  <c r="N37" i="44"/>
  <c r="M37" i="44"/>
  <c r="I37" i="44"/>
  <c r="H37" i="44"/>
  <c r="O15" i="44"/>
  <c r="N15" i="44"/>
  <c r="M15" i="44"/>
  <c r="I15" i="44"/>
  <c r="H15" i="44"/>
  <c r="O25" i="44"/>
  <c r="N25" i="44"/>
  <c r="M25" i="44"/>
  <c r="I25" i="44"/>
  <c r="H25" i="44"/>
  <c r="O36" i="44"/>
  <c r="N36" i="44"/>
  <c r="M36" i="44"/>
  <c r="I36" i="44"/>
  <c r="H36" i="44"/>
  <c r="O33" i="44"/>
  <c r="N33" i="44"/>
  <c r="M33" i="44"/>
  <c r="I33" i="44"/>
  <c r="H33" i="44"/>
  <c r="O18" i="44"/>
  <c r="N18" i="44"/>
  <c r="M18" i="44"/>
  <c r="I18" i="44"/>
  <c r="H18" i="44"/>
  <c r="O32" i="44"/>
  <c r="N32" i="44"/>
  <c r="M32" i="44"/>
  <c r="I32" i="44"/>
  <c r="H32" i="44"/>
  <c r="O31" i="44"/>
  <c r="N31" i="44"/>
  <c r="M31" i="44"/>
  <c r="I31" i="44"/>
  <c r="H31" i="44"/>
  <c r="O16" i="44"/>
  <c r="N16" i="44"/>
  <c r="M16" i="44"/>
  <c r="I16" i="44"/>
  <c r="H16" i="44"/>
  <c r="O27" i="44"/>
  <c r="N27" i="44"/>
  <c r="M27" i="44"/>
  <c r="I27" i="44"/>
  <c r="H27" i="44"/>
  <c r="O29" i="44"/>
  <c r="N29" i="44"/>
  <c r="M29" i="44"/>
  <c r="I29" i="44"/>
  <c r="H29" i="44"/>
  <c r="O17" i="44"/>
  <c r="N17" i="44"/>
  <c r="M17" i="44"/>
  <c r="I17" i="44"/>
  <c r="H17" i="44"/>
  <c r="O28" i="44"/>
  <c r="N28" i="44"/>
  <c r="M28" i="44"/>
  <c r="I28" i="44"/>
  <c r="H28" i="44"/>
  <c r="O13" i="44"/>
  <c r="N13" i="44"/>
  <c r="M13" i="44"/>
  <c r="I13" i="44"/>
  <c r="H13" i="44"/>
  <c r="O14" i="44"/>
  <c r="N14" i="44"/>
  <c r="M14" i="44"/>
  <c r="I14" i="44"/>
  <c r="H14" i="44"/>
  <c r="O11" i="44"/>
  <c r="N11" i="44"/>
  <c r="M11" i="44"/>
  <c r="I11" i="44"/>
  <c r="H11" i="44"/>
  <c r="O8" i="44"/>
  <c r="N8" i="44"/>
  <c r="M8" i="44"/>
  <c r="I8" i="44"/>
  <c r="H8" i="44"/>
  <c r="O12" i="44"/>
  <c r="N12" i="44"/>
  <c r="M12" i="44"/>
  <c r="I12" i="44"/>
  <c r="H12" i="44"/>
  <c r="O10" i="44"/>
  <c r="N10" i="44"/>
  <c r="M10" i="44"/>
  <c r="I10" i="44"/>
  <c r="H10" i="44"/>
  <c r="O21" i="44"/>
  <c r="N21" i="44"/>
  <c r="M21" i="44"/>
  <c r="I21" i="44"/>
  <c r="H21" i="44"/>
  <c r="O9" i="44"/>
  <c r="N9" i="44"/>
  <c r="M9" i="44"/>
  <c r="I9" i="44"/>
  <c r="H9" i="44"/>
  <c r="O7" i="44"/>
  <c r="N7" i="44"/>
  <c r="M7" i="44"/>
  <c r="I7" i="44"/>
  <c r="H7" i="44"/>
  <c r="L5" i="44"/>
  <c r="K5" i="44"/>
  <c r="J5" i="44"/>
  <c r="J1" i="43"/>
  <c r="H1" i="43"/>
  <c r="H1" i="42"/>
  <c r="F1" i="42"/>
  <c r="E1" i="41"/>
  <c r="C1" i="41"/>
  <c r="A4" i="40"/>
  <c r="A2" i="40"/>
  <c r="E5" i="2"/>
  <c r="X8" i="40"/>
  <c r="Z8" i="40"/>
  <c r="AA8" i="40"/>
  <c r="X9" i="40"/>
  <c r="Z9" i="40"/>
  <c r="AA9" i="40"/>
  <c r="X10" i="40"/>
  <c r="Z10" i="40"/>
  <c r="AA10" i="40"/>
  <c r="X11" i="40"/>
  <c r="Z11" i="40"/>
  <c r="AA11" i="40"/>
  <c r="X12" i="40"/>
  <c r="Z12" i="40"/>
  <c r="AA12" i="40"/>
  <c r="X13" i="40"/>
  <c r="Z13" i="40"/>
  <c r="AA13" i="40"/>
  <c r="X14" i="40"/>
  <c r="Z14" i="40"/>
  <c r="AA14" i="40"/>
  <c r="X15" i="40"/>
  <c r="Z15" i="40"/>
  <c r="AA15" i="40"/>
  <c r="X16" i="40"/>
  <c r="Z16" i="40"/>
  <c r="AA16" i="40"/>
  <c r="X17" i="40"/>
  <c r="Z17" i="40"/>
  <c r="AA17" i="40"/>
  <c r="X18" i="40"/>
  <c r="Z18" i="40"/>
  <c r="AA18" i="40"/>
  <c r="X19" i="40"/>
  <c r="Z19" i="40"/>
  <c r="AA19" i="40"/>
  <c r="X20" i="40"/>
  <c r="Z20" i="40"/>
  <c r="AA20" i="40"/>
  <c r="X21" i="40"/>
  <c r="Z21" i="40"/>
  <c r="AA21" i="40"/>
  <c r="X22" i="40"/>
  <c r="Z22" i="40"/>
  <c r="AA22" i="40"/>
  <c r="X23" i="40"/>
  <c r="Z23" i="40"/>
  <c r="AA23" i="40"/>
  <c r="X24" i="40"/>
  <c r="Z24" i="40"/>
  <c r="AA24" i="40"/>
  <c r="X25" i="40"/>
  <c r="Z25" i="40"/>
  <c r="AA25" i="40"/>
  <c r="AA7" i="40"/>
  <c r="Z7" i="40"/>
  <c r="X7" i="40"/>
  <c r="I1" i="39"/>
  <c r="G1" i="39"/>
  <c r="M1" i="40"/>
  <c r="R1" i="40"/>
  <c r="A1" i="39"/>
  <c r="A4" i="39"/>
  <c r="A3" i="39"/>
  <c r="A2" i="39"/>
  <c r="O42" i="44" l="1"/>
  <c r="G21" i="44"/>
  <c r="G11" i="44"/>
  <c r="Y8" i="40"/>
  <c r="Y10" i="40"/>
  <c r="Y12" i="40"/>
  <c r="Y14" i="40"/>
  <c r="Y16" i="40"/>
  <c r="Y18" i="40"/>
  <c r="Y20" i="40"/>
  <c r="Y22" i="40"/>
  <c r="Y9" i="40"/>
  <c r="Y11" i="40"/>
  <c r="Y13" i="40"/>
  <c r="Y15" i="40"/>
  <c r="Y17" i="40"/>
  <c r="Y19" i="40"/>
  <c r="Y21" i="40"/>
  <c r="Y23" i="40"/>
  <c r="Y25" i="40"/>
  <c r="Y7" i="40"/>
  <c r="N42" i="44"/>
  <c r="G10" i="44"/>
  <c r="G14" i="44"/>
  <c r="G12" i="44"/>
  <c r="G8" i="44"/>
  <c r="G9" i="44"/>
  <c r="G7" i="44"/>
  <c r="G20" i="44"/>
  <c r="G34" i="44"/>
  <c r="G30" i="44"/>
  <c r="G35" i="44"/>
  <c r="G13" i="44"/>
  <c r="G28" i="44"/>
  <c r="G17" i="44"/>
  <c r="G29" i="44"/>
  <c r="G27" i="44"/>
  <c r="G16" i="44"/>
  <c r="G31" i="44"/>
  <c r="G32" i="44"/>
  <c r="G18" i="44"/>
  <c r="G33" i="44"/>
  <c r="G36" i="44"/>
  <c r="G25" i="44"/>
  <c r="G15" i="44"/>
  <c r="G37" i="44"/>
  <c r="G22" i="44"/>
  <c r="G38" i="44"/>
  <c r="G19" i="44"/>
  <c r="C21" i="44" s="1"/>
  <c r="G23" i="44"/>
  <c r="G24" i="44"/>
  <c r="G40" i="44"/>
  <c r="G41" i="44"/>
  <c r="G26" i="44"/>
  <c r="G39" i="44"/>
  <c r="C39" i="44" s="1"/>
  <c r="C17" i="44"/>
  <c r="C26" i="44"/>
  <c r="C29" i="44"/>
  <c r="C32" i="44"/>
  <c r="C25" i="44"/>
  <c r="C38" i="44"/>
  <c r="C24" i="44"/>
  <c r="C41" i="44"/>
  <c r="C30" i="44"/>
  <c r="C20" i="44"/>
  <c r="C14" i="44" l="1"/>
  <c r="C36" i="44"/>
  <c r="C10" i="44"/>
  <c r="C22" i="44"/>
  <c r="C19" i="44"/>
  <c r="C15" i="44"/>
  <c r="C18" i="44"/>
  <c r="C27" i="44"/>
  <c r="C13" i="44"/>
  <c r="C12" i="44"/>
  <c r="C31" i="44"/>
  <c r="C11" i="44"/>
  <c r="C35" i="44"/>
  <c r="C34" i="44"/>
  <c r="C40" i="44"/>
  <c r="C23" i="44"/>
  <c r="C37" i="44"/>
  <c r="C33" i="44"/>
  <c r="C16" i="44"/>
  <c r="C28" i="44"/>
  <c r="C8" i="44"/>
  <c r="C9" i="44"/>
  <c r="C7" i="44"/>
  <c r="M38" i="1" l="1"/>
  <c r="K92" i="1" l="1"/>
  <c r="M89" i="1"/>
  <c r="K89" i="1"/>
  <c r="M80" i="1"/>
  <c r="M74" i="1"/>
  <c r="K74" i="1"/>
  <c r="M49" i="1"/>
  <c r="M32" i="1"/>
  <c r="K32" i="1"/>
  <c r="M27" i="1"/>
  <c r="K27" i="1"/>
  <c r="W52" i="38" l="1"/>
  <c r="X52" i="38"/>
  <c r="Y52" i="38"/>
  <c r="W53" i="38"/>
  <c r="X53" i="38"/>
  <c r="Y53" i="38"/>
  <c r="W54" i="38"/>
  <c r="X54" i="38"/>
  <c r="Y54" i="38"/>
  <c r="W42" i="38"/>
  <c r="X42" i="38"/>
  <c r="Y42" i="38"/>
  <c r="W56" i="38"/>
  <c r="X56" i="38"/>
  <c r="Y56" i="38"/>
  <c r="W50" i="38"/>
  <c r="X50" i="38"/>
  <c r="Y50" i="38"/>
  <c r="G42" i="38" l="1"/>
  <c r="G53" i="38"/>
  <c r="G56" i="38"/>
  <c r="G54" i="38"/>
  <c r="G52" i="38"/>
  <c r="V60" i="38" l="1"/>
  <c r="I43" i="2" s="1"/>
  <c r="U60" i="38"/>
  <c r="T60" i="38"/>
  <c r="S60" i="38"/>
  <c r="Q60" i="38"/>
  <c r="R60" i="38"/>
  <c r="I34" i="2" s="1"/>
  <c r="P60" i="38"/>
  <c r="O60" i="38"/>
  <c r="N60" i="38"/>
  <c r="I19" i="2" s="1"/>
  <c r="M60" i="38"/>
  <c r="I14" i="2" s="1"/>
  <c r="L60" i="38"/>
  <c r="I11" i="2" s="1"/>
  <c r="K60" i="38"/>
  <c r="J60" i="38"/>
  <c r="B60" i="38"/>
  <c r="A60" i="38"/>
  <c r="AB39" i="38"/>
  <c r="AA39" i="38"/>
  <c r="Z39" i="38"/>
  <c r="Y39" i="38"/>
  <c r="X39" i="38"/>
  <c r="W39" i="38"/>
  <c r="AB41" i="38"/>
  <c r="AA41" i="38"/>
  <c r="Z41" i="38"/>
  <c r="Y41" i="38"/>
  <c r="X41" i="38"/>
  <c r="W41" i="38"/>
  <c r="AB59" i="38"/>
  <c r="AA59" i="38"/>
  <c r="Z59" i="38"/>
  <c r="Y59" i="38"/>
  <c r="X59" i="38"/>
  <c r="W59" i="38"/>
  <c r="AB51" i="38"/>
  <c r="AA51" i="38"/>
  <c r="Z51" i="38"/>
  <c r="Y51" i="38"/>
  <c r="X51" i="38"/>
  <c r="W51" i="38"/>
  <c r="AB38" i="38"/>
  <c r="AA38" i="38"/>
  <c r="Z38" i="38"/>
  <c r="Y38" i="38"/>
  <c r="X38" i="38"/>
  <c r="W38" i="38"/>
  <c r="AB58" i="38"/>
  <c r="AA58" i="38"/>
  <c r="Z58" i="38"/>
  <c r="Y58" i="38"/>
  <c r="X58" i="38"/>
  <c r="W58" i="38"/>
  <c r="AB57" i="38"/>
  <c r="AA57" i="38"/>
  <c r="Z57" i="38"/>
  <c r="Y57" i="38"/>
  <c r="X57" i="38"/>
  <c r="W57" i="38"/>
  <c r="AB43" i="38"/>
  <c r="AA43" i="38"/>
  <c r="Z43" i="38"/>
  <c r="Y43" i="38"/>
  <c r="X43" i="38"/>
  <c r="W43" i="38"/>
  <c r="AB44" i="38"/>
  <c r="AA44" i="38"/>
  <c r="Z44" i="38"/>
  <c r="Y44" i="38"/>
  <c r="X44" i="38"/>
  <c r="W44" i="38"/>
  <c r="AB36" i="38"/>
  <c r="AA36" i="38"/>
  <c r="Z36" i="38"/>
  <c r="Y36" i="38"/>
  <c r="X36" i="38"/>
  <c r="W36" i="38"/>
  <c r="AB47" i="38"/>
  <c r="AA47" i="38"/>
  <c r="Z47" i="38"/>
  <c r="Y47" i="38"/>
  <c r="X47" i="38"/>
  <c r="W47" i="38"/>
  <c r="AB25" i="38"/>
  <c r="AA25" i="38"/>
  <c r="Z25" i="38"/>
  <c r="Y25" i="38"/>
  <c r="X25" i="38"/>
  <c r="W25" i="38"/>
  <c r="AB35" i="38"/>
  <c r="AA35" i="38"/>
  <c r="Z35" i="38"/>
  <c r="Y35" i="38"/>
  <c r="X35" i="38"/>
  <c r="W35" i="38"/>
  <c r="AB49" i="38"/>
  <c r="AA49" i="38"/>
  <c r="Z49" i="38"/>
  <c r="Y49" i="38"/>
  <c r="X49" i="38"/>
  <c r="W49" i="38"/>
  <c r="AB20" i="38"/>
  <c r="AA20" i="38"/>
  <c r="Z20" i="38"/>
  <c r="Y20" i="38"/>
  <c r="X20" i="38"/>
  <c r="W20" i="38"/>
  <c r="AB32" i="38"/>
  <c r="AA32" i="38"/>
  <c r="Z32" i="38"/>
  <c r="Y32" i="38"/>
  <c r="X32" i="38"/>
  <c r="W32" i="38"/>
  <c r="AB28" i="38"/>
  <c r="AA28" i="38"/>
  <c r="Z28" i="38"/>
  <c r="Y28" i="38"/>
  <c r="X28" i="38"/>
  <c r="W28" i="38"/>
  <c r="AB45" i="38"/>
  <c r="AA45" i="38"/>
  <c r="Z45" i="38"/>
  <c r="Y45" i="38"/>
  <c r="X45" i="38"/>
  <c r="W45" i="38"/>
  <c r="AB33" i="38"/>
  <c r="AA33" i="38"/>
  <c r="Z33" i="38"/>
  <c r="Y33" i="38"/>
  <c r="X33" i="38"/>
  <c r="W33" i="38"/>
  <c r="AB31" i="38"/>
  <c r="AA31" i="38"/>
  <c r="Z31" i="38"/>
  <c r="Y31" i="38"/>
  <c r="X31" i="38"/>
  <c r="W31" i="38"/>
  <c r="AB27" i="38"/>
  <c r="AA27" i="38"/>
  <c r="Z27" i="38"/>
  <c r="Y27" i="38"/>
  <c r="X27" i="38"/>
  <c r="W27" i="38"/>
  <c r="AB14" i="38"/>
  <c r="AA14" i="38"/>
  <c r="Z14" i="38"/>
  <c r="Y14" i="38"/>
  <c r="X14" i="38"/>
  <c r="W14" i="38"/>
  <c r="AB19" i="38"/>
  <c r="AA19" i="38"/>
  <c r="Z19" i="38"/>
  <c r="Y19" i="38"/>
  <c r="X19" i="38"/>
  <c r="W19" i="38"/>
  <c r="AB11" i="38"/>
  <c r="AA11" i="38"/>
  <c r="Z11" i="38"/>
  <c r="Y11" i="38"/>
  <c r="X11" i="38"/>
  <c r="W11" i="38"/>
  <c r="AB55" i="38"/>
  <c r="AA55" i="38"/>
  <c r="Z55" i="38"/>
  <c r="Y55" i="38"/>
  <c r="X55" i="38"/>
  <c r="W55" i="38"/>
  <c r="AB21" i="38"/>
  <c r="AA21" i="38"/>
  <c r="Z21" i="38"/>
  <c r="Y21" i="38"/>
  <c r="X21" i="38"/>
  <c r="W21" i="38"/>
  <c r="AB22" i="38"/>
  <c r="AA22" i="38"/>
  <c r="Z22" i="38"/>
  <c r="Y22" i="38"/>
  <c r="X22" i="38"/>
  <c r="W22" i="38"/>
  <c r="AB34" i="38"/>
  <c r="AA34" i="38"/>
  <c r="Z34" i="38"/>
  <c r="Y34" i="38"/>
  <c r="X34" i="38"/>
  <c r="W34" i="38"/>
  <c r="AB37" i="38"/>
  <c r="AA37" i="38"/>
  <c r="Z37" i="38"/>
  <c r="Y37" i="38"/>
  <c r="X37" i="38"/>
  <c r="W37" i="38"/>
  <c r="AB26" i="38"/>
  <c r="AA26" i="38"/>
  <c r="Z26" i="38"/>
  <c r="Y26" i="38"/>
  <c r="X26" i="38"/>
  <c r="W26" i="38"/>
  <c r="AB48" i="38"/>
  <c r="AA48" i="38"/>
  <c r="Z48" i="38"/>
  <c r="Y48" i="38"/>
  <c r="X48" i="38"/>
  <c r="W48" i="38"/>
  <c r="AB24" i="38"/>
  <c r="AA24" i="38"/>
  <c r="Z24" i="38"/>
  <c r="Y24" i="38"/>
  <c r="X24" i="38"/>
  <c r="W24" i="38"/>
  <c r="AB15" i="38"/>
  <c r="AA15" i="38"/>
  <c r="Z15" i="38"/>
  <c r="Y15" i="38"/>
  <c r="X15" i="38"/>
  <c r="W15" i="38"/>
  <c r="AB46" i="38"/>
  <c r="AA46" i="38"/>
  <c r="Z46" i="38"/>
  <c r="Y46" i="38"/>
  <c r="X46" i="38"/>
  <c r="W46" i="38"/>
  <c r="AB30" i="38"/>
  <c r="AA30" i="38"/>
  <c r="Z30" i="38"/>
  <c r="Y30" i="38"/>
  <c r="X30" i="38"/>
  <c r="W30" i="38"/>
  <c r="AB18" i="38"/>
  <c r="AA18" i="38"/>
  <c r="Z18" i="38"/>
  <c r="Y18" i="38"/>
  <c r="X18" i="38"/>
  <c r="W18" i="38"/>
  <c r="AB29" i="38"/>
  <c r="AA29" i="38"/>
  <c r="Z29" i="38"/>
  <c r="Y29" i="38"/>
  <c r="X29" i="38"/>
  <c r="W29" i="38"/>
  <c r="AB23" i="38"/>
  <c r="AA23" i="38"/>
  <c r="Z23" i="38"/>
  <c r="Y23" i="38"/>
  <c r="X23" i="38"/>
  <c r="W23" i="38"/>
  <c r="AB16" i="38"/>
  <c r="AA16" i="38"/>
  <c r="Z16" i="38"/>
  <c r="Y16" i="38"/>
  <c r="X16" i="38"/>
  <c r="W16" i="38"/>
  <c r="AB13" i="38"/>
  <c r="AA13" i="38"/>
  <c r="Z13" i="38"/>
  <c r="Y13" i="38"/>
  <c r="X13" i="38"/>
  <c r="W13" i="38"/>
  <c r="AB8" i="38"/>
  <c r="AA8" i="38"/>
  <c r="Z8" i="38"/>
  <c r="Y8" i="38"/>
  <c r="X8" i="38"/>
  <c r="W8" i="38"/>
  <c r="AB12" i="38"/>
  <c r="AA12" i="38"/>
  <c r="Z12" i="38"/>
  <c r="Y12" i="38"/>
  <c r="X12" i="38"/>
  <c r="W12" i="38"/>
  <c r="AB17" i="38"/>
  <c r="AA17" i="38"/>
  <c r="Z17" i="38"/>
  <c r="Y17" i="38"/>
  <c r="X17" i="38"/>
  <c r="W17" i="38"/>
  <c r="AB40" i="38"/>
  <c r="AA40" i="38"/>
  <c r="Z40" i="38"/>
  <c r="Y40" i="38"/>
  <c r="X40" i="38"/>
  <c r="W40" i="38"/>
  <c r="AB10" i="38"/>
  <c r="AA10" i="38"/>
  <c r="Z10" i="38"/>
  <c r="Y10" i="38"/>
  <c r="X10" i="38"/>
  <c r="W10" i="38"/>
  <c r="AB9" i="38"/>
  <c r="AA9" i="38"/>
  <c r="Z9" i="38"/>
  <c r="Y9" i="38"/>
  <c r="X9" i="38"/>
  <c r="W9" i="38"/>
  <c r="X60" i="38" l="1"/>
  <c r="O61" i="38"/>
  <c r="I26" i="2"/>
  <c r="S61" i="38"/>
  <c r="I37" i="2"/>
  <c r="U61" i="38"/>
  <c r="I41" i="2"/>
  <c r="J61" i="38"/>
  <c r="I6" i="2"/>
  <c r="P61" i="38"/>
  <c r="I27" i="2"/>
  <c r="Q61" i="38"/>
  <c r="I32" i="2"/>
  <c r="T61" i="38"/>
  <c r="I40" i="2"/>
  <c r="K61" i="38"/>
  <c r="I8" i="2"/>
  <c r="G36" i="38"/>
  <c r="G44" i="38"/>
  <c r="G43" i="38"/>
  <c r="G48" i="38"/>
  <c r="G17" i="38"/>
  <c r="G27" i="38"/>
  <c r="G9" i="38"/>
  <c r="G30" i="38"/>
  <c r="G46" i="38"/>
  <c r="G55" i="38"/>
  <c r="G28" i="38"/>
  <c r="G51" i="38"/>
  <c r="G41" i="38"/>
  <c r="G39" i="38"/>
  <c r="G12" i="38"/>
  <c r="G13" i="38"/>
  <c r="G26" i="38"/>
  <c r="G31" i="38"/>
  <c r="G11" i="38"/>
  <c r="Y60" i="38"/>
  <c r="G10" i="38"/>
  <c r="G40" i="38"/>
  <c r="G29" i="38"/>
  <c r="G18" i="38"/>
  <c r="G15" i="38"/>
  <c r="G24" i="38"/>
  <c r="G22" i="38"/>
  <c r="G21" i="38"/>
  <c r="G19" i="38"/>
  <c r="G14" i="38"/>
  <c r="G33" i="38"/>
  <c r="G45" i="38"/>
  <c r="G47" i="38"/>
  <c r="G38" i="38"/>
  <c r="G8" i="38"/>
  <c r="G16" i="38"/>
  <c r="G23" i="38"/>
  <c r="G37" i="38"/>
  <c r="G34" i="38"/>
  <c r="G32" i="38"/>
  <c r="G20" i="38"/>
  <c r="G49" i="38"/>
  <c r="G35" i="38"/>
  <c r="G25" i="38"/>
  <c r="C38" i="38" l="1"/>
  <c r="C54" i="38"/>
  <c r="C53" i="38"/>
  <c r="C56" i="38"/>
  <c r="C42" i="38"/>
  <c r="C50" i="38"/>
  <c r="C52" i="38"/>
  <c r="C58" i="38"/>
  <c r="C47" i="38"/>
  <c r="C21" i="38"/>
  <c r="C18" i="38"/>
  <c r="C35" i="38"/>
  <c r="C20" i="38"/>
  <c r="C45" i="38"/>
  <c r="C14" i="38"/>
  <c r="C34" i="38"/>
  <c r="C24" i="38"/>
  <c r="C23" i="38"/>
  <c r="C8" i="38"/>
  <c r="C10" i="38"/>
  <c r="C39" i="38"/>
  <c r="C41" i="38"/>
  <c r="C51" i="38"/>
  <c r="C43" i="38"/>
  <c r="C36" i="38"/>
  <c r="C31" i="38"/>
  <c r="C11" i="38"/>
  <c r="C26" i="38"/>
  <c r="C46" i="38"/>
  <c r="C13" i="38"/>
  <c r="C17" i="38"/>
  <c r="C25" i="38"/>
  <c r="C49" i="38"/>
  <c r="C32" i="38"/>
  <c r="C33" i="38"/>
  <c r="C19" i="38"/>
  <c r="C22" i="38"/>
  <c r="C37" i="38"/>
  <c r="C15" i="38"/>
  <c r="C29" i="38"/>
  <c r="C16" i="38"/>
  <c r="C40" i="38"/>
  <c r="C59" i="38"/>
  <c r="C57" i="38"/>
  <c r="C44" i="38"/>
  <c r="C28" i="38"/>
  <c r="C27" i="38"/>
  <c r="C55" i="38"/>
  <c r="C48" i="38"/>
  <c r="C30" i="38"/>
  <c r="C12" i="38"/>
  <c r="C9" i="38"/>
  <c r="A4" i="35" l="1"/>
  <c r="A2" i="35"/>
  <c r="H1" i="35"/>
  <c r="F1" i="35"/>
  <c r="C7" i="33" l="1"/>
  <c r="B40" i="33" l="1"/>
  <c r="D7" i="33" l="1"/>
  <c r="E7" i="33"/>
  <c r="D8" i="33"/>
  <c r="E8" i="33"/>
  <c r="D9" i="33"/>
  <c r="E9" i="33"/>
  <c r="D10" i="33"/>
  <c r="E10" i="33"/>
  <c r="D11" i="33"/>
  <c r="E11" i="33"/>
  <c r="D12" i="33"/>
  <c r="E12" i="33"/>
  <c r="D13" i="33"/>
  <c r="E13" i="33"/>
  <c r="D14" i="33"/>
  <c r="E14" i="33"/>
  <c r="D15" i="33"/>
  <c r="E15" i="33"/>
  <c r="D16" i="33"/>
  <c r="E16" i="33"/>
  <c r="D17" i="33"/>
  <c r="E17" i="33"/>
  <c r="D18" i="33"/>
  <c r="E18" i="33"/>
  <c r="C8" i="33"/>
  <c r="C9" i="33"/>
  <c r="C10" i="33"/>
  <c r="C11" i="33"/>
  <c r="C12" i="33"/>
  <c r="C13" i="33"/>
  <c r="C14" i="33"/>
  <c r="C15" i="33"/>
  <c r="C16" i="33"/>
  <c r="C17" i="33"/>
  <c r="C18" i="33"/>
  <c r="C19" i="33"/>
  <c r="D19" i="33"/>
  <c r="E19" i="33"/>
  <c r="C20" i="33"/>
  <c r="D20" i="33"/>
  <c r="E20" i="33"/>
  <c r="C21" i="33"/>
  <c r="D21" i="33"/>
  <c r="E21" i="33"/>
  <c r="C22" i="33"/>
  <c r="D22" i="33"/>
  <c r="E22" i="33"/>
  <c r="C23" i="33"/>
  <c r="D23" i="33"/>
  <c r="E23" i="33"/>
  <c r="C24" i="33"/>
  <c r="D24" i="33"/>
  <c r="E24" i="33"/>
  <c r="C25" i="33"/>
  <c r="D25" i="33"/>
  <c r="E25" i="33"/>
  <c r="C26" i="33"/>
  <c r="D26" i="33"/>
  <c r="E26" i="33"/>
  <c r="C27" i="33"/>
  <c r="D27" i="33"/>
  <c r="E27" i="33"/>
  <c r="C28" i="33"/>
  <c r="D28" i="33"/>
  <c r="E28" i="33"/>
  <c r="C29" i="33"/>
  <c r="D29" i="33"/>
  <c r="E29" i="33"/>
  <c r="C30" i="33"/>
  <c r="D30" i="33"/>
  <c r="E30" i="33"/>
  <c r="C31" i="33"/>
  <c r="D31" i="33"/>
  <c r="E31" i="33"/>
  <c r="C32" i="33"/>
  <c r="D32" i="33"/>
  <c r="E32" i="33"/>
  <c r="C33" i="33"/>
  <c r="D33" i="33"/>
  <c r="E33" i="33"/>
  <c r="C34" i="33"/>
  <c r="D34" i="33"/>
  <c r="E34" i="33"/>
  <c r="C35" i="33"/>
  <c r="D35" i="33"/>
  <c r="E35" i="33"/>
  <c r="C36" i="33"/>
  <c r="D36" i="33"/>
  <c r="E36" i="33"/>
  <c r="C37" i="33"/>
  <c r="D37" i="33"/>
  <c r="E37" i="33"/>
  <c r="C38" i="33"/>
  <c r="D38" i="33"/>
  <c r="E38" i="33"/>
  <c r="F38" i="33" l="1"/>
  <c r="F36" i="33"/>
  <c r="F34" i="33"/>
  <c r="F32" i="33"/>
  <c r="F30" i="33"/>
  <c r="F28" i="33"/>
  <c r="F26" i="33"/>
  <c r="F24" i="33"/>
  <c r="F22" i="33"/>
  <c r="F20" i="33"/>
  <c r="F18" i="33"/>
  <c r="F15" i="33"/>
  <c r="F11" i="33"/>
  <c r="F37" i="33"/>
  <c r="F35" i="33"/>
  <c r="F33" i="33"/>
  <c r="F31" i="33"/>
  <c r="F29" i="33"/>
  <c r="F27" i="33"/>
  <c r="F25" i="33"/>
  <c r="F23" i="33"/>
  <c r="F21" i="33"/>
  <c r="F19" i="33"/>
  <c r="F17" i="33"/>
  <c r="F13" i="33"/>
  <c r="F7" i="33"/>
  <c r="F10" i="33"/>
  <c r="F8" i="33"/>
  <c r="F16" i="33"/>
  <c r="F14" i="33"/>
  <c r="F12" i="33"/>
  <c r="F9" i="33"/>
  <c r="A4" i="34"/>
  <c r="A2" i="34"/>
  <c r="A4" i="33"/>
  <c r="A2" i="33"/>
  <c r="M66" i="1" l="1"/>
  <c r="E20" i="2" l="1"/>
  <c r="A3" i="34"/>
  <c r="G1" i="34"/>
  <c r="A1" i="34" l="1"/>
  <c r="A1" i="61"/>
  <c r="A1" i="60"/>
  <c r="E47" i="2"/>
  <c r="A1" i="73" s="1"/>
  <c r="N1" i="33" l="1"/>
  <c r="I1" i="33"/>
  <c r="A3" i="33"/>
  <c r="Y73" i="21"/>
  <c r="W73" i="21"/>
  <c r="S73" i="21"/>
  <c r="Z54" i="21" s="1"/>
  <c r="R73" i="21"/>
  <c r="Q73" i="21"/>
  <c r="P73" i="21"/>
  <c r="O73" i="21"/>
  <c r="N73" i="21"/>
  <c r="M73" i="21"/>
  <c r="L73" i="21"/>
  <c r="K73" i="21"/>
  <c r="J73" i="21"/>
  <c r="W6" i="21"/>
  <c r="S6" i="21"/>
  <c r="R6" i="21"/>
  <c r="Q6" i="21"/>
  <c r="P6" i="21"/>
  <c r="O6" i="21"/>
  <c r="N6" i="21"/>
  <c r="M6" i="21"/>
  <c r="L6" i="21"/>
  <c r="K6" i="21"/>
  <c r="J6" i="21"/>
  <c r="Z48" i="21" l="1"/>
  <c r="Z51" i="21"/>
  <c r="Z55" i="21"/>
  <c r="Z57" i="21"/>
  <c r="Z62" i="21"/>
  <c r="Z69" i="21"/>
  <c r="Z8" i="21"/>
  <c r="Z14" i="21"/>
  <c r="Z23" i="21"/>
  <c r="Z31" i="21"/>
  <c r="Z34" i="21"/>
  <c r="Z36" i="21"/>
  <c r="Z43" i="21"/>
  <c r="Z46" i="21"/>
  <c r="Z47" i="21"/>
  <c r="Z50" i="21"/>
  <c r="Z58" i="21"/>
  <c r="Z37" i="21"/>
  <c r="Z59" i="21"/>
  <c r="Z60" i="21"/>
  <c r="Z38" i="21"/>
  <c r="Z39" i="21"/>
  <c r="Z41" i="21"/>
  <c r="Z42" i="21"/>
  <c r="Z45" i="21"/>
  <c r="Z61" i="21"/>
  <c r="Z67" i="21"/>
  <c r="Z7" i="21"/>
  <c r="Z9" i="21"/>
  <c r="Z13" i="21"/>
  <c r="Z15" i="21"/>
  <c r="Z16" i="21"/>
  <c r="Z17" i="21"/>
  <c r="Z18" i="21"/>
  <c r="Z19" i="21"/>
  <c r="Z20" i="21"/>
  <c r="Z21" i="21"/>
  <c r="Z22" i="21"/>
  <c r="Z25" i="21"/>
  <c r="Z26" i="21"/>
  <c r="Z27" i="21"/>
  <c r="Z28" i="21"/>
  <c r="Z30" i="21"/>
  <c r="Z32" i="21"/>
  <c r="Z35" i="21"/>
  <c r="Z68" i="21"/>
  <c r="Z40" i="21"/>
  <c r="Z10" i="21"/>
  <c r="Z11" i="21"/>
  <c r="Z12" i="21"/>
  <c r="Z44" i="21"/>
  <c r="Z52" i="21"/>
  <c r="Z63" i="21"/>
  <c r="Z65" i="21"/>
  <c r="Z71" i="21"/>
  <c r="Z24" i="21"/>
  <c r="Z29" i="21"/>
  <c r="Z33" i="21"/>
  <c r="Z64" i="21"/>
  <c r="Z66" i="21"/>
  <c r="Z70" i="21"/>
  <c r="Z49" i="21"/>
  <c r="Z53" i="21"/>
  <c r="Z56" i="21"/>
  <c r="Z72" i="21"/>
  <c r="A1" i="33"/>
  <c r="K74" i="21"/>
  <c r="I10" i="2"/>
  <c r="M74" i="21"/>
  <c r="I21" i="2"/>
  <c r="O74" i="21"/>
  <c r="I28" i="2"/>
  <c r="Q74" i="21"/>
  <c r="I33" i="2"/>
  <c r="S74" i="21"/>
  <c r="I44" i="2"/>
  <c r="L74" i="21"/>
  <c r="I13" i="2"/>
  <c r="N74" i="21"/>
  <c r="I25" i="2"/>
  <c r="P74" i="21"/>
  <c r="I31" i="2"/>
  <c r="R74" i="21"/>
  <c r="I39" i="2"/>
  <c r="J74" i="21"/>
  <c r="I7" i="2"/>
  <c r="D73" i="21" l="1"/>
  <c r="E73" i="21"/>
  <c r="H25" i="1" l="1"/>
  <c r="A4" i="8" l="1"/>
  <c r="A2" i="8"/>
  <c r="A4" i="7"/>
  <c r="A2" i="7"/>
  <c r="A4" i="6"/>
  <c r="A2" i="6"/>
  <c r="A4" i="5"/>
  <c r="A2" i="5"/>
  <c r="A4" i="4"/>
  <c r="A2" i="4"/>
  <c r="R13" i="3"/>
  <c r="S13" i="3"/>
  <c r="T13" i="3"/>
  <c r="R27" i="3"/>
  <c r="S27" i="3"/>
  <c r="T27" i="3"/>
  <c r="R22" i="3"/>
  <c r="S22" i="3"/>
  <c r="T22" i="3"/>
  <c r="R25" i="3"/>
  <c r="S25" i="3"/>
  <c r="T25" i="3"/>
  <c r="R26" i="3"/>
  <c r="S26" i="3"/>
  <c r="T26" i="3"/>
  <c r="R24" i="3"/>
  <c r="S24" i="3"/>
  <c r="T24" i="3"/>
  <c r="R30" i="3"/>
  <c r="S30" i="3"/>
  <c r="T30" i="3"/>
  <c r="J13" i="3"/>
  <c r="L13" i="3" a="1"/>
  <c r="L13" i="3" s="1"/>
  <c r="J27" i="3"/>
  <c r="L27" i="3" a="1"/>
  <c r="L27" i="3" s="1"/>
  <c r="J22" i="3"/>
  <c r="L22" i="3" a="1"/>
  <c r="L22" i="3" s="1"/>
  <c r="J25" i="3"/>
  <c r="L25" i="3" a="1"/>
  <c r="L25" i="3" s="1"/>
  <c r="J26" i="3"/>
  <c r="L26" i="3" a="1"/>
  <c r="L26" i="3" s="1"/>
  <c r="J24" i="3"/>
  <c r="L24" i="3" a="1"/>
  <c r="L24" i="3" s="1"/>
  <c r="J30" i="3"/>
  <c r="L30" i="3" a="1"/>
  <c r="L30" i="3" s="1"/>
  <c r="I1" i="8"/>
  <c r="G1" i="8"/>
  <c r="G1" i="7"/>
  <c r="E1" i="7"/>
  <c r="H1" i="6"/>
  <c r="F1" i="6"/>
  <c r="G1" i="5"/>
  <c r="E1" i="5"/>
  <c r="H1" i="4"/>
  <c r="F1" i="4"/>
  <c r="Q31" i="3"/>
  <c r="I46" i="2" s="1"/>
  <c r="P31" i="3"/>
  <c r="P32" i="3" s="1"/>
  <c r="O31" i="3"/>
  <c r="O32" i="3" s="1"/>
  <c r="N31" i="3"/>
  <c r="M31" i="3"/>
  <c r="M32" i="3" s="1"/>
  <c r="D31" i="3"/>
  <c r="C31" i="3"/>
  <c r="B31" i="3"/>
  <c r="T23" i="3"/>
  <c r="S23" i="3"/>
  <c r="R23" i="3"/>
  <c r="L23" i="3" a="1"/>
  <c r="L23" i="3" s="1"/>
  <c r="J23" i="3"/>
  <c r="T12" i="3"/>
  <c r="S12" i="3"/>
  <c r="R12" i="3"/>
  <c r="L12" i="3" a="1"/>
  <c r="L12" i="3" s="1"/>
  <c r="J12" i="3"/>
  <c r="T14" i="3"/>
  <c r="S14" i="3"/>
  <c r="R14" i="3"/>
  <c r="L14" i="3" a="1"/>
  <c r="L14" i="3" s="1"/>
  <c r="J14" i="3"/>
  <c r="T29" i="3"/>
  <c r="S29" i="3"/>
  <c r="R29" i="3"/>
  <c r="L29" i="3" a="1"/>
  <c r="L29" i="3" s="1"/>
  <c r="J29" i="3"/>
  <c r="T28" i="3"/>
  <c r="S28" i="3"/>
  <c r="R28" i="3"/>
  <c r="L28" i="3" a="1"/>
  <c r="L28" i="3" s="1"/>
  <c r="J28" i="3"/>
  <c r="T19" i="3"/>
  <c r="S19" i="3"/>
  <c r="R19" i="3"/>
  <c r="L19" i="3" a="1"/>
  <c r="L19" i="3" s="1"/>
  <c r="J19" i="3"/>
  <c r="T18" i="3"/>
  <c r="S18" i="3"/>
  <c r="R18" i="3"/>
  <c r="L18" i="3" a="1"/>
  <c r="L18" i="3" s="1"/>
  <c r="J18" i="3"/>
  <c r="T17" i="3"/>
  <c r="S17" i="3"/>
  <c r="R17" i="3"/>
  <c r="L17" i="3" a="1"/>
  <c r="L17" i="3" s="1"/>
  <c r="J17" i="3"/>
  <c r="T20" i="3"/>
  <c r="S20" i="3"/>
  <c r="R20" i="3"/>
  <c r="L20" i="3" a="1"/>
  <c r="L20" i="3" s="1"/>
  <c r="J20" i="3"/>
  <c r="T9" i="3"/>
  <c r="S9" i="3"/>
  <c r="R9" i="3"/>
  <c r="L9" i="3" a="1"/>
  <c r="L9" i="3" s="1"/>
  <c r="J9" i="3"/>
  <c r="T15" i="3"/>
  <c r="S15" i="3"/>
  <c r="R15" i="3"/>
  <c r="L15" i="3" a="1"/>
  <c r="L15" i="3" s="1"/>
  <c r="J15" i="3"/>
  <c r="T10" i="3"/>
  <c r="S10" i="3"/>
  <c r="R10" i="3"/>
  <c r="L10" i="3" a="1"/>
  <c r="L10" i="3" s="1"/>
  <c r="J10" i="3"/>
  <c r="T21" i="3"/>
  <c r="S21" i="3"/>
  <c r="R21" i="3"/>
  <c r="L21" i="3" a="1"/>
  <c r="L21" i="3" s="1"/>
  <c r="J21" i="3"/>
  <c r="T11" i="3"/>
  <c r="S11" i="3"/>
  <c r="R11" i="3"/>
  <c r="L11" i="3" a="1"/>
  <c r="L11" i="3" s="1"/>
  <c r="J11" i="3"/>
  <c r="T16" i="3"/>
  <c r="S16" i="3"/>
  <c r="R16" i="3"/>
  <c r="L16" i="3" a="1"/>
  <c r="L16" i="3" s="1"/>
  <c r="J16" i="3"/>
  <c r="T7" i="3"/>
  <c r="S7" i="3"/>
  <c r="R7" i="3"/>
  <c r="L7" i="3" a="1"/>
  <c r="L7" i="3" s="1"/>
  <c r="J7" i="3"/>
  <c r="T8" i="3"/>
  <c r="S8" i="3"/>
  <c r="R8" i="3"/>
  <c r="L8" i="3" a="1"/>
  <c r="L8" i="3" s="1"/>
  <c r="J8" i="3"/>
  <c r="Q6" i="3"/>
  <c r="P6" i="3"/>
  <c r="O6" i="3"/>
  <c r="N6" i="3"/>
  <c r="M6" i="3"/>
  <c r="N32" i="3" l="1"/>
  <c r="I18" i="2"/>
  <c r="I8" i="3"/>
  <c r="I16" i="3"/>
  <c r="I21" i="3"/>
  <c r="I15" i="3"/>
  <c r="I20" i="3"/>
  <c r="I18" i="3"/>
  <c r="I28" i="3"/>
  <c r="I14" i="3"/>
  <c r="I23" i="3"/>
  <c r="E23" i="3" s="1"/>
  <c r="I30" i="3"/>
  <c r="I24" i="3"/>
  <c r="I26" i="3"/>
  <c r="I25" i="3"/>
  <c r="I22" i="3"/>
  <c r="I27" i="3"/>
  <c r="I13" i="3"/>
  <c r="I7" i="3"/>
  <c r="I11" i="3"/>
  <c r="I10" i="3"/>
  <c r="I9" i="3"/>
  <c r="I17" i="3"/>
  <c r="I19" i="3"/>
  <c r="I29" i="3"/>
  <c r="I12" i="3"/>
  <c r="I24" i="2"/>
  <c r="I42" i="2"/>
  <c r="I9" i="2"/>
  <c r="T31" i="3"/>
  <c r="S31" i="3"/>
  <c r="E16" i="3" l="1"/>
  <c r="E27" i="3"/>
  <c r="E25" i="3"/>
  <c r="E24" i="3"/>
  <c r="E13" i="3"/>
  <c r="E22" i="3"/>
  <c r="E26" i="3"/>
  <c r="E30" i="3"/>
  <c r="E12" i="3"/>
  <c r="E10" i="3"/>
  <c r="E17" i="3"/>
  <c r="E29" i="3"/>
  <c r="E7" i="3"/>
  <c r="E19" i="3"/>
  <c r="E9" i="3"/>
  <c r="E14" i="3"/>
  <c r="E15" i="3"/>
  <c r="E11" i="3"/>
  <c r="E18" i="3"/>
  <c r="E28" i="3"/>
  <c r="E20" i="3"/>
  <c r="E21" i="3"/>
  <c r="E8" i="3"/>
  <c r="A3" i="4" l="1"/>
  <c r="A3" i="5"/>
  <c r="A3" i="6"/>
  <c r="A3" i="7"/>
  <c r="A3" i="8"/>
  <c r="A3" i="40"/>
  <c r="E49" i="2"/>
  <c r="A1" i="40" s="1"/>
  <c r="E46" i="2"/>
  <c r="A1" i="8" s="1"/>
  <c r="E44" i="2"/>
  <c r="A1" i="70" s="1"/>
  <c r="E39" i="2"/>
  <c r="A1" i="69" s="1"/>
  <c r="A3" i="51"/>
  <c r="E42" i="2"/>
  <c r="A1" i="7" s="1"/>
  <c r="E33" i="2"/>
  <c r="A1" i="68" s="1"/>
  <c r="A3" i="46"/>
  <c r="E31" i="2"/>
  <c r="A1" i="66" s="1"/>
  <c r="A3" i="54"/>
  <c r="A3" i="47"/>
  <c r="E28" i="2"/>
  <c r="A1" i="65" s="1"/>
  <c r="A3" i="50"/>
  <c r="E25" i="2"/>
  <c r="A1" i="64" s="1"/>
  <c r="E24" i="2"/>
  <c r="A1" i="6" s="1"/>
  <c r="E21" i="2"/>
  <c r="A1" i="62" s="1"/>
  <c r="E18" i="2"/>
  <c r="A1" i="5" s="1"/>
  <c r="A3" i="35"/>
  <c r="E16" i="2"/>
  <c r="A1" i="35" s="1"/>
  <c r="E13" i="2"/>
  <c r="A1" i="58" s="1"/>
  <c r="A3" i="43"/>
  <c r="A1" i="43"/>
  <c r="E10" i="2"/>
  <c r="E9" i="2"/>
  <c r="A1" i="4" s="1"/>
  <c r="A3" i="42"/>
  <c r="A1" i="42"/>
  <c r="A3" i="41"/>
  <c r="A1" i="41"/>
  <c r="E7" i="2"/>
  <c r="A1" i="55" l="1"/>
  <c r="A1" i="56"/>
  <c r="L61" i="1" l="1"/>
  <c r="K44" i="1" l="1"/>
  <c r="M17" i="1"/>
</calcChain>
</file>

<file path=xl/comments1.xml><?xml version="1.0" encoding="utf-8"?>
<comments xmlns="http://schemas.openxmlformats.org/spreadsheetml/2006/main">
  <authors>
    <author>Author</author>
  </authors>
  <commentList>
    <comment ref="I3" authorId="0">
      <text>
        <r>
          <rPr>
            <b/>
            <sz val="8"/>
            <color indexed="81"/>
            <rFont val="Tahoma"/>
            <family val="2"/>
            <charset val="186"/>
          </rPr>
          <t>Osalejate arv</t>
        </r>
      </text>
    </comment>
    <comment ref="F5" authorId="0">
      <text>
        <r>
          <rPr>
            <b/>
            <sz val="8"/>
            <color indexed="81"/>
            <rFont val="Tahoma"/>
            <family val="2"/>
            <charset val="186"/>
          </rPr>
          <t>Kohtla-Järve, Järveküla tee 44
Spordihoone taga</t>
        </r>
      </text>
    </comment>
    <comment ref="F6" authorId="0">
      <text>
        <r>
          <rPr>
            <b/>
            <sz val="8"/>
            <color indexed="81"/>
            <rFont val="Tahoma"/>
            <family val="2"/>
            <charset val="186"/>
          </rPr>
          <t>Kohtla-Järve, Järveküla tee 44
Spordihoone taga</t>
        </r>
      </text>
    </comment>
    <comment ref="F7" authorId="0">
      <text>
        <r>
          <rPr>
            <b/>
            <sz val="8"/>
            <color indexed="81"/>
            <rFont val="Tahoma"/>
            <family val="2"/>
            <charset val="186"/>
          </rPr>
          <t>Voka, Metsa 2
Voka staadion</t>
        </r>
      </text>
    </comment>
    <comment ref="F8" authorId="0">
      <text>
        <r>
          <rPr>
            <b/>
            <sz val="8"/>
            <color indexed="81"/>
            <rFont val="Tahoma"/>
            <family val="2"/>
            <charset val="186"/>
          </rPr>
          <t>Kohtla-Järve, Järveküla tee 44
Spordihoone taga</t>
        </r>
      </text>
    </comment>
    <comment ref="F9" authorId="0">
      <text>
        <r>
          <rPr>
            <b/>
            <sz val="8"/>
            <color indexed="81"/>
            <rFont val="Tahoma"/>
            <family val="2"/>
            <charset val="186"/>
          </rPr>
          <t>Mäetaguse mõisa vastas üle maantee</t>
        </r>
      </text>
    </comment>
    <comment ref="F10" authorId="0">
      <text>
        <r>
          <rPr>
            <b/>
            <sz val="8"/>
            <color indexed="81"/>
            <rFont val="Tahoma"/>
            <family val="2"/>
            <charset val="186"/>
          </rPr>
          <t>Voka, Metsa 2
Voka staadion</t>
        </r>
      </text>
    </comment>
    <comment ref="F11" authorId="0">
      <text>
        <r>
          <rPr>
            <b/>
            <sz val="8"/>
            <color indexed="81"/>
            <rFont val="Tahoma"/>
            <family val="2"/>
            <charset val="186"/>
          </rPr>
          <t>Kohtla-Järve, Järveküla tee 44
Spordihoone taga</t>
        </r>
      </text>
    </comment>
    <comment ref="F13" authorId="0">
      <text>
        <r>
          <rPr>
            <b/>
            <sz val="8"/>
            <color indexed="81"/>
            <rFont val="Tahoma"/>
            <family val="2"/>
            <charset val="186"/>
          </rPr>
          <t>Voka, Metsa 2
Voka staadion</t>
        </r>
      </text>
    </comment>
    <comment ref="F14" authorId="0">
      <text>
        <r>
          <rPr>
            <b/>
            <sz val="8"/>
            <color indexed="81"/>
            <rFont val="Tahoma"/>
            <family val="2"/>
            <charset val="186"/>
          </rPr>
          <t>Kohtla-Järve, Järveküla tee 44
Spordihoone taga</t>
        </r>
      </text>
    </comment>
    <comment ref="F15" authorId="0">
      <text>
        <r>
          <rPr>
            <b/>
            <sz val="8"/>
            <color indexed="81"/>
            <rFont val="Tahoma"/>
            <family val="2"/>
            <charset val="186"/>
          </rPr>
          <t>Jõhvi, 
Narva mnt 139b</t>
        </r>
      </text>
    </comment>
    <comment ref="H15" authorId="0">
      <text>
        <r>
          <rPr>
            <b/>
            <sz val="8"/>
            <color indexed="81"/>
            <rFont val="Tahoma"/>
            <family val="2"/>
            <charset val="186"/>
          </rPr>
          <t>Juunioridel 2 €
Osalustasu sisaldab sooja suppi 
Eesti meistrivõistlustel osalemiseks peavad olema: 
 - petankeri litsents, 
 - võistluskuulid.</t>
        </r>
      </text>
    </comment>
    <comment ref="F16" authorId="0">
      <text>
        <r>
          <rPr>
            <b/>
            <sz val="8"/>
            <color indexed="81"/>
            <rFont val="Tahoma"/>
            <family val="2"/>
            <charset val="186"/>
          </rPr>
          <t>Voka, Metsa 2
Voka staadion</t>
        </r>
      </text>
    </comment>
    <comment ref="F17" authorId="0">
      <text>
        <r>
          <rPr>
            <b/>
            <sz val="8"/>
            <color indexed="81"/>
            <rFont val="Tahoma"/>
            <family val="2"/>
            <charset val="186"/>
          </rPr>
          <t>Kohtla-Järve, Järveküla tee 44
Spordihoone taga</t>
        </r>
      </text>
    </comment>
    <comment ref="H17" authorId="0">
      <text>
        <r>
          <rPr>
            <b/>
            <sz val="8"/>
            <color indexed="81"/>
            <rFont val="Tahoma"/>
            <family val="2"/>
            <charset val="186"/>
          </rPr>
          <t>Juunioridel 2 €
Eesti meistrivõistlustel osalemiseks peavad olema: 
 - petankeri litsents, 
 - võistluskuulid.</t>
        </r>
      </text>
    </comment>
    <comment ref="F18" authorId="0">
      <text>
        <r>
          <rPr>
            <b/>
            <sz val="8"/>
            <color indexed="81"/>
            <rFont val="Tahoma"/>
            <family val="2"/>
            <charset val="186"/>
          </rPr>
          <t>Mäetaguse mõisa vastas üle maantee</t>
        </r>
      </text>
    </comment>
    <comment ref="F19" authorId="0">
      <text>
        <r>
          <rPr>
            <b/>
            <sz val="8"/>
            <color indexed="81"/>
            <rFont val="Tahoma"/>
            <family val="2"/>
            <charset val="186"/>
          </rPr>
          <t>Voka, Metsa 2
Voka staadion</t>
        </r>
      </text>
    </comment>
    <comment ref="F20" authorId="0">
      <text>
        <r>
          <rPr>
            <b/>
            <sz val="8"/>
            <color indexed="81"/>
            <rFont val="Tahoma"/>
            <family val="2"/>
            <charset val="186"/>
          </rPr>
          <t>Voka, Metsa 2
Voka staadion</t>
        </r>
      </text>
    </comment>
    <comment ref="F21" authorId="0">
      <text>
        <r>
          <rPr>
            <b/>
            <sz val="8"/>
            <color indexed="81"/>
            <rFont val="Tahoma"/>
            <family val="2"/>
            <charset val="186"/>
          </rPr>
          <t>Voka, Metsa 2
Voka staadion</t>
        </r>
      </text>
    </comment>
    <comment ref="F23" authorId="0">
      <text>
        <r>
          <rPr>
            <b/>
            <sz val="8"/>
            <color indexed="81"/>
            <rFont val="Tahoma"/>
            <family val="2"/>
            <charset val="186"/>
          </rPr>
          <t>Voka, Metsa 2
Voka staadion</t>
        </r>
      </text>
    </comment>
    <comment ref="F24" authorId="0">
      <text>
        <r>
          <rPr>
            <b/>
            <sz val="8"/>
            <color indexed="81"/>
            <rFont val="Tahoma"/>
            <family val="2"/>
            <charset val="186"/>
          </rPr>
          <t>Mäetaguse mõisa vastas üle maantee</t>
        </r>
      </text>
    </comment>
    <comment ref="F25" authorId="0">
      <text>
        <r>
          <rPr>
            <b/>
            <sz val="8"/>
            <color indexed="81"/>
            <rFont val="Tahoma"/>
            <family val="2"/>
            <charset val="186"/>
          </rPr>
          <t>Voka, Metsa 2
Voka staadion</t>
        </r>
      </text>
    </comment>
    <comment ref="F26" authorId="0">
      <text>
        <r>
          <rPr>
            <b/>
            <sz val="8"/>
            <color indexed="81"/>
            <rFont val="Tahoma"/>
            <family val="2"/>
            <charset val="186"/>
          </rPr>
          <t>Jõhvi, 
Narva mnt 139b</t>
        </r>
      </text>
    </comment>
    <comment ref="F27" authorId="0">
      <text>
        <r>
          <rPr>
            <b/>
            <sz val="8"/>
            <color indexed="81"/>
            <rFont val="Tahoma"/>
            <family val="2"/>
            <charset val="186"/>
          </rPr>
          <t>Voka, Metsa 2
Voka staadion</t>
        </r>
      </text>
    </comment>
    <comment ref="F28" authorId="0">
      <text>
        <r>
          <rPr>
            <b/>
            <sz val="8"/>
            <color indexed="81"/>
            <rFont val="Tahoma"/>
            <family val="2"/>
            <charset val="186"/>
          </rPr>
          <t>Voka, Metsa 2
Voka staadion</t>
        </r>
      </text>
    </comment>
    <comment ref="C29" authorId="0">
      <text>
        <r>
          <rPr>
            <b/>
            <sz val="8"/>
            <color indexed="81"/>
            <rFont val="Tahoma"/>
            <family val="2"/>
            <charset val="186"/>
          </rPr>
          <t>K-Järve üksikmängu MV asemel toimub Ida-Virumaa MV duodele  teine osa, sest võistlus katkestati lausvihma tõttu</t>
        </r>
      </text>
    </comment>
    <comment ref="F29" authorId="0">
      <text>
        <r>
          <rPr>
            <b/>
            <sz val="8"/>
            <color indexed="81"/>
            <rFont val="Tahoma"/>
            <family val="2"/>
            <charset val="186"/>
          </rPr>
          <t>Voka, Metsa 2
Voka staadion</t>
        </r>
      </text>
    </comment>
    <comment ref="F31" authorId="0">
      <text>
        <r>
          <rPr>
            <b/>
            <sz val="8"/>
            <color indexed="81"/>
            <rFont val="Tahoma"/>
            <family val="2"/>
            <charset val="186"/>
          </rPr>
          <t>Voka, Metsa 2
Voka staadion</t>
        </r>
      </text>
    </comment>
    <comment ref="F32" authorId="0">
      <text>
        <r>
          <rPr>
            <b/>
            <sz val="8"/>
            <color indexed="81"/>
            <rFont val="Tahoma"/>
            <family val="2"/>
            <charset val="186"/>
          </rPr>
          <t>Jõhvi, 
Narva mnt 139b</t>
        </r>
      </text>
    </comment>
    <comment ref="F33" authorId="0">
      <text>
        <r>
          <rPr>
            <b/>
            <sz val="8"/>
            <color indexed="81"/>
            <rFont val="Tahoma"/>
            <family val="2"/>
            <charset val="186"/>
          </rPr>
          <t>Voka, Metsa 2
Voka staadion</t>
        </r>
      </text>
    </comment>
    <comment ref="F34" authorId="0">
      <text>
        <r>
          <rPr>
            <b/>
            <sz val="8"/>
            <color indexed="81"/>
            <rFont val="Tahoma"/>
            <family val="2"/>
            <charset val="186"/>
          </rPr>
          <t>Kohtla-Järve, Järveküla tee 44
Spordihoone taga</t>
        </r>
      </text>
    </comment>
    <comment ref="F35" authorId="0">
      <text>
        <r>
          <rPr>
            <b/>
            <sz val="8"/>
            <color indexed="81"/>
            <rFont val="Tahoma"/>
            <family val="2"/>
            <charset val="186"/>
          </rPr>
          <t>Kohtla-Järve, Järveküla tee 44
Spordihoone taga</t>
        </r>
      </text>
    </comment>
    <comment ref="H35" authorId="0">
      <text>
        <r>
          <rPr>
            <b/>
            <sz val="8"/>
            <color indexed="81"/>
            <rFont val="Tahoma"/>
            <family val="2"/>
            <charset val="186"/>
          </rPr>
          <t>Juunioridel 2 €
Eesti meistrivõistlustel osalemiseks peavad olema: 
 - petankeri litsents, 
 - võistluskuulid, 
 - meeskonnal ühtne võistlussärk.</t>
        </r>
      </text>
    </comment>
    <comment ref="F36" authorId="0">
      <text>
        <r>
          <rPr>
            <b/>
            <sz val="8"/>
            <color indexed="81"/>
            <rFont val="Tahoma"/>
            <family val="2"/>
            <charset val="186"/>
          </rPr>
          <t>Kohtla-Järve, Järveküla tee 44
Spordihoone taga</t>
        </r>
      </text>
    </comment>
    <comment ref="H36" authorId="0">
      <text>
        <r>
          <rPr>
            <b/>
            <sz val="8"/>
            <color indexed="81"/>
            <rFont val="Tahoma"/>
            <family val="2"/>
            <charset val="186"/>
          </rPr>
          <t>Juunioridel 2 €</t>
        </r>
      </text>
    </comment>
    <comment ref="F37" authorId="0">
      <text>
        <r>
          <rPr>
            <b/>
            <sz val="8"/>
            <color indexed="81"/>
            <rFont val="Tahoma"/>
            <family val="2"/>
            <charset val="186"/>
          </rPr>
          <t>Kohtla-Järve, Järveküla tee 44
Spordihoone taga</t>
        </r>
      </text>
    </comment>
    <comment ref="F39" authorId="0">
      <text>
        <r>
          <rPr>
            <b/>
            <sz val="8"/>
            <color indexed="81"/>
            <rFont val="Tahoma"/>
            <family val="2"/>
            <charset val="186"/>
          </rPr>
          <t>Voka, Metsa 2
Voka staadion</t>
        </r>
      </text>
    </comment>
    <comment ref="F40" authorId="0">
      <text>
        <r>
          <rPr>
            <b/>
            <sz val="8"/>
            <color indexed="81"/>
            <rFont val="Tahoma"/>
            <family val="2"/>
            <charset val="186"/>
          </rPr>
          <t>Voka, Metsa 2
Voka staadion</t>
        </r>
      </text>
    </comment>
    <comment ref="F41" authorId="0">
      <text>
        <r>
          <rPr>
            <b/>
            <sz val="8"/>
            <color indexed="81"/>
            <rFont val="Tahoma"/>
            <family val="2"/>
            <charset val="186"/>
          </rPr>
          <t>Kohtla-Järve, Järveküla tee 44
Spordihoone taga</t>
        </r>
      </text>
    </comment>
    <comment ref="F42" authorId="0">
      <text>
        <r>
          <rPr>
            <b/>
            <sz val="8"/>
            <color indexed="81"/>
            <rFont val="Tahoma"/>
            <family val="2"/>
            <charset val="186"/>
          </rPr>
          <t>Mäetaguse, Pargi 2
Mäetaguse Põhikooli staadion</t>
        </r>
      </text>
    </comment>
    <comment ref="F43" authorId="0">
      <text>
        <r>
          <rPr>
            <b/>
            <sz val="8"/>
            <color indexed="81"/>
            <rFont val="Tahoma"/>
            <family val="2"/>
            <charset val="186"/>
          </rPr>
          <t>Jõhvi, 
Narva mnt 139b</t>
        </r>
      </text>
    </comment>
    <comment ref="F44" authorId="0">
      <text>
        <r>
          <rPr>
            <b/>
            <sz val="8"/>
            <color indexed="81"/>
            <rFont val="Tahoma"/>
            <family val="2"/>
            <charset val="186"/>
          </rPr>
          <t>Voka, Metsa 2
Voka staadion</t>
        </r>
      </text>
    </comment>
    <comment ref="F46" authorId="0">
      <text>
        <r>
          <rPr>
            <b/>
            <sz val="8"/>
            <color indexed="81"/>
            <rFont val="Tahoma"/>
            <family val="2"/>
            <charset val="186"/>
          </rPr>
          <t>Mäetaguse, Pargi 2
Mäetaguse Põhikooli staadion</t>
        </r>
      </text>
    </comment>
    <comment ref="F47" authorId="0">
      <text>
        <r>
          <rPr>
            <b/>
            <sz val="8"/>
            <color indexed="81"/>
            <rFont val="Tahoma"/>
            <family val="2"/>
            <charset val="186"/>
          </rPr>
          <t>Voka, Metsa 2
Voka staadion</t>
        </r>
      </text>
    </comment>
    <comment ref="F49" authorId="0">
      <text>
        <r>
          <rPr>
            <b/>
            <sz val="8"/>
            <color indexed="81"/>
            <rFont val="Tahoma"/>
            <family val="2"/>
            <charset val="186"/>
          </rPr>
          <t>Kohtla-Järve, Järveküla tee 44
Spordihoone taga</t>
        </r>
      </text>
    </comment>
  </commentList>
</comments>
</file>

<file path=xl/comments2.xml><?xml version="1.0" encoding="utf-8"?>
<comments xmlns="http://schemas.openxmlformats.org/spreadsheetml/2006/main">
  <authors>
    <author>Author</author>
  </authors>
  <commentList>
    <comment ref="B5" authorId="0">
      <text>
        <r>
          <rPr>
            <b/>
            <sz val="8"/>
            <color indexed="81"/>
            <rFont val="Tahoma"/>
            <family val="2"/>
            <charset val="186"/>
          </rPr>
          <t>kevadpüha</t>
        </r>
      </text>
    </comment>
    <comment ref="B7" authorId="0">
      <text>
        <r>
          <rPr>
            <b/>
            <sz val="8"/>
            <color indexed="81"/>
            <rFont val="Tahoma"/>
            <family val="2"/>
            <charset val="186"/>
          </rPr>
          <t>Kohtla-Järve, Järveküla tee 44
Spordihoone taga</t>
        </r>
      </text>
    </comment>
    <comment ref="M7" authorId="0">
      <text>
        <r>
          <rPr>
            <b/>
            <sz val="8"/>
            <color indexed="81"/>
            <rFont val="Tahoma"/>
            <family val="2"/>
            <charset val="186"/>
          </rPr>
          <t>Kohtla-Järve, Järveküla tee 44
Spordihoone taga</t>
        </r>
      </text>
    </comment>
    <comment ref="B8" authorId="0">
      <text>
        <r>
          <rPr>
            <sz val="10"/>
            <color indexed="81"/>
            <rFont val="Arial"/>
            <family val="2"/>
            <charset val="186"/>
          </rPr>
          <t>Osavõtjad: 
Klubide ehk mängijate poolt moodustatud 5-liikmelised võistkonnad, kelle koosseisus on vähemalt 2 naist. 
Võistkondade arv ei ole piiratud.
Võistluste süsteem:
Võistkonnad mängivad turniirisüsteemis, kui osavõtvaid võistkondi on kuni 6. 
7-8 osavõtja võistkonna puhul loositakse alagrupid ning edasi mängitakse karikasüsteemis. 
Üle 8 võistkonna puhul mängitaks Šveitsi süsteemis 5 vooru. Iga kohtumine koosneb kahest mängust: kohtuvad triod ja duppelid, millede koosseisude valik on vaba (M ja N suhtes). 
Iga kohtumise eel võib triode ja duppelite koosseise muuta. 
Eelmise aasta 3 paremat võistkonda pannakse tabelitesse paigutusega. Võistkonda käsitletakse sama võistkonnana, kui vähemalt 3 mängijat on samad mis eelmisel aastal.</t>
        </r>
      </text>
    </comment>
    <comment ref="K8" authorId="0">
      <text>
        <r>
          <rPr>
            <b/>
            <sz val="8"/>
            <color indexed="81"/>
            <rFont val="Tahoma"/>
            <family val="2"/>
            <charset val="186"/>
          </rPr>
          <t>Eestist sõitis võistlema 25 petankerit</t>
        </r>
      </text>
    </comment>
    <comment ref="B9" authorId="0">
      <text>
        <r>
          <rPr>
            <b/>
            <sz val="8"/>
            <color indexed="81"/>
            <rFont val="Tahoma"/>
            <family val="2"/>
            <charset val="186"/>
          </rPr>
          <t>Tartu, Lossi 25 
Toomkiriku varemed</t>
        </r>
      </text>
    </comment>
    <comment ref="K9" authorId="0">
      <text>
        <r>
          <rPr>
            <b/>
            <sz val="8"/>
            <color indexed="81"/>
            <rFont val="Tahoma"/>
            <family val="2"/>
            <charset val="186"/>
          </rPr>
          <t>парк Подзамковый
park Pidzamkovyj
Україна, м. Ужгород, 
вул. Анкудінова / Шумна  
парк культури та відпочинку  “Підзамковий ”</t>
        </r>
      </text>
    </comment>
    <comment ref="E12" authorId="0">
      <text>
        <r>
          <rPr>
            <b/>
            <sz val="8"/>
            <color indexed="81"/>
            <rFont val="Tahoma"/>
            <family val="2"/>
            <charset val="186"/>
          </rPr>
          <t>Voka, Metsa 2
Voka staadion</t>
        </r>
      </text>
    </comment>
    <comment ref="M12" authorId="0">
      <text>
        <r>
          <rPr>
            <b/>
            <sz val="8"/>
            <color indexed="81"/>
            <rFont val="Tahoma"/>
            <family val="2"/>
            <charset val="186"/>
          </rPr>
          <t>Kohtla-Järve, Järveküla tee 44
Spordihoone taga</t>
        </r>
      </text>
    </comment>
    <comment ref="C16" authorId="0">
      <text>
        <r>
          <rPr>
            <b/>
            <sz val="8"/>
            <color indexed="81"/>
            <rFont val="Tahoma"/>
            <family val="2"/>
            <charset val="186"/>
          </rPr>
          <t>Mäetaguse mõisa vastas üle maantee</t>
        </r>
      </text>
    </comment>
    <comment ref="K16" authorId="0">
      <text>
        <r>
          <rPr>
            <b/>
            <sz val="8"/>
            <color indexed="81"/>
            <rFont val="Tahoma"/>
            <family val="2"/>
            <charset val="186"/>
          </rPr>
          <t>Saku, Teaduse 2
Teaduse 2 maja taga asuv hokiväljak, kruusakate
12 väljakut</t>
        </r>
      </text>
    </comment>
    <comment ref="M16" authorId="0">
      <text>
        <r>
          <rPr>
            <b/>
            <sz val="8"/>
            <color indexed="81"/>
            <rFont val="Tahoma"/>
            <family val="2"/>
            <charset val="186"/>
          </rPr>
          <t>Saku, Teaduse 2
Teaduse 2 maja taga asuv hokiväljak, kruusakate
12 väljakut</t>
        </r>
      </text>
    </comment>
    <comment ref="M20" authorId="0">
      <text>
        <r>
          <rPr>
            <b/>
            <sz val="8"/>
            <color indexed="81"/>
            <rFont val="Tahoma"/>
            <family val="2"/>
            <charset val="186"/>
          </rPr>
          <t>Osa võivad võtta maakondade võistkonnad, kusjuures üks maakond võib olla esindatud piiramatu arvu võistkondadega.
Võistlusviis: trio
Võistkonnas võib olla kuni 4 liiget. 
Võistlusklassid: põhiklass ja naised 
Üks võistleja saab võistelda ainult ühes võistlusklassis.
Võistkond peab olema ühtses võistlusvormis või T-särkides.</t>
        </r>
      </text>
    </comment>
    <comment ref="C21" authorId="0">
      <text>
        <r>
          <rPr>
            <b/>
            <sz val="8"/>
            <color indexed="81"/>
            <rFont val="Tahoma"/>
            <family val="2"/>
            <charset val="186"/>
          </rPr>
          <t>Registreerimise tähtaeg ESVL MV-le 
24. mai kella 21ks.</t>
        </r>
      </text>
    </comment>
    <comment ref="C22" authorId="0">
      <text>
        <r>
          <rPr>
            <b/>
            <sz val="8"/>
            <color indexed="81"/>
            <rFont val="Tahoma"/>
            <family val="2"/>
            <charset val="186"/>
          </rPr>
          <t>Registreerimise tähtaeg EMSL Jõud MV-le 
24. mai kella 21ks.</t>
        </r>
      </text>
    </comment>
    <comment ref="E22" authorId="0">
      <text>
        <r>
          <rPr>
            <b/>
            <sz val="8"/>
            <color indexed="81"/>
            <rFont val="Tahoma"/>
            <family val="2"/>
            <charset val="186"/>
          </rPr>
          <t>Voka, Metsa 2
Voka staadion</t>
        </r>
      </text>
    </comment>
    <comment ref="G22" authorId="0">
      <text>
        <r>
          <rPr>
            <b/>
            <sz val="8"/>
            <color indexed="81"/>
            <rFont val="Tahoma"/>
            <family val="2"/>
            <charset val="186"/>
          </rPr>
          <t>Kohtla-Järve, Järveküla tee 44
Spordihoone taga</t>
        </r>
      </text>
    </comment>
    <comment ref="G23" authorId="0">
      <text>
        <r>
          <rPr>
            <b/>
            <sz val="8"/>
            <color indexed="81"/>
            <rFont val="Tahoma"/>
            <family val="2"/>
            <charset val="186"/>
          </rPr>
          <t>Registrerimine 9.00-9.30 kohapeal. 
Võistluse algus 10.00
Osalustasu 30 € võistkond. 
Auhindadeks karikad, medalid ja kinkekaardid. 
Võistlus algab kuueste alagruppidega. 
1. ja 2. pääsevad A-finaali
3. ja 4. pääsevad B-finaali
5. ja 6. pääsevad C-finaali
Helatorstai</t>
        </r>
      </text>
    </comment>
    <comment ref="K23" authorId="0">
      <text>
        <r>
          <rPr>
            <b/>
            <sz val="8"/>
            <color indexed="81"/>
            <rFont val="Tahoma"/>
            <family val="2"/>
            <charset val="186"/>
          </rPr>
          <t>Valga, Pärna pst 17a 
nn “Tivoli väljak“
kell 11.00</t>
        </r>
      </text>
    </comment>
    <comment ref="M23" authorId="0">
      <text>
        <r>
          <rPr>
            <b/>
            <sz val="8"/>
            <color indexed="81"/>
            <rFont val="Tahoma"/>
            <family val="2"/>
            <charset val="186"/>
          </rPr>
          <t>Metsa ja Jõe tänava ristist keerata Pedeli jõe poole</t>
        </r>
      </text>
    </comment>
    <comment ref="G25" authorId="0">
      <text>
        <r>
          <rPr>
            <b/>
            <sz val="8"/>
            <color indexed="81"/>
            <rFont val="Tahoma"/>
            <family val="2"/>
            <charset val="186"/>
          </rPr>
          <t>Helsingi, Pohjoinen Hesperiankatu 23</t>
        </r>
      </text>
    </comment>
    <comment ref="H25" authorId="0">
      <text>
        <r>
          <rPr>
            <b/>
            <sz val="8"/>
            <color indexed="81"/>
            <rFont val="Tahoma"/>
            <family val="2"/>
            <charset val="186"/>
          </rPr>
          <t>Maaret Komsi (räägib eesti keeles)
+358 50 541 9151</t>
        </r>
      </text>
    </comment>
    <comment ref="N27" authorId="0">
      <text>
        <r>
          <rPr>
            <b/>
            <sz val="8"/>
            <color indexed="81"/>
            <rFont val="Tahoma"/>
            <family val="2"/>
            <charset val="186"/>
          </rPr>
          <t>nelipühade 1. püha</t>
        </r>
      </text>
    </comment>
    <comment ref="K29" authorId="0">
      <text>
        <r>
          <rPr>
            <b/>
            <sz val="8"/>
            <color indexed="81"/>
            <rFont val="Tahoma"/>
            <family val="2"/>
            <charset val="186"/>
          </rPr>
          <t>Uuskalda, Kärbla küla, Lääne-Nigula vald, Läänemaa</t>
        </r>
      </text>
    </comment>
    <comment ref="M29" authorId="0">
      <text>
        <r>
          <rPr>
            <b/>
            <sz val="8"/>
            <color indexed="81"/>
            <rFont val="Tahoma"/>
            <family val="2"/>
            <charset val="186"/>
          </rPr>
          <t>Uuskalda, Kärbla küla, Lääne-Nigula vald, Läänemaa</t>
        </r>
      </text>
    </comment>
    <comment ref="J30" authorId="0">
      <text>
        <r>
          <rPr>
            <b/>
            <sz val="8"/>
            <color indexed="81"/>
            <rFont val="Tahoma"/>
            <family val="2"/>
            <charset val="186"/>
          </rPr>
          <t>Viljandis 
Reedel kell 16:00 Hansacandle, DUO
Pühapäeval kell 11:00 Hansaturniir, TRIO</t>
        </r>
      </text>
    </comment>
    <comment ref="N30" authorId="0">
      <text>
        <r>
          <rPr>
            <b/>
            <sz val="8"/>
            <color indexed="81"/>
            <rFont val="Tahoma"/>
            <family val="2"/>
            <charset val="186"/>
          </rPr>
          <t>Viljandis 
Reedel kell 16:00 Hansacandle, DUO
Pühapäeval kell 11:00 Hansaturniir, TRIO</t>
        </r>
      </text>
    </comment>
    <comment ref="J31" authorId="0">
      <text>
        <r>
          <rPr>
            <b/>
            <sz val="8"/>
            <color indexed="81"/>
            <rFont val="Tahoma"/>
            <family val="2"/>
            <charset val="186"/>
          </rPr>
          <t>Viljandi, Järve tn 9</t>
        </r>
      </text>
    </comment>
    <comment ref="M31" authorId="0">
      <text>
        <r>
          <rPr>
            <b/>
            <sz val="8"/>
            <color indexed="81"/>
            <rFont val="Tahoma"/>
            <family val="2"/>
            <charset val="186"/>
          </rPr>
          <t>Viljandi, Järve tn 9</t>
        </r>
      </text>
    </comment>
    <comment ref="L33" authorId="0">
      <text>
        <r>
          <rPr>
            <b/>
            <sz val="8"/>
            <color indexed="81"/>
            <rFont val="Tahoma"/>
            <family val="2"/>
            <charset val="186"/>
          </rPr>
          <t>Juunioridel 2 €
Osalustasu sisaldab sooja suppi 
Eesti meistrivõistlustel osalemiseks peavad olema: 
 - petankeri litsents, 
 - võistluskuulid.</t>
        </r>
      </text>
    </comment>
    <comment ref="N33" authorId="0">
      <text>
        <r>
          <rPr>
            <b/>
            <sz val="8"/>
            <color indexed="81"/>
            <rFont val="Tahoma"/>
            <family val="2"/>
            <charset val="186"/>
          </rPr>
          <t>Juunioridel 2 €
Eesti meistrivõistlustel osalemiseks peavad olema: 
 - petankeri litsents, 
 - võistluskuulid.</t>
        </r>
      </text>
    </comment>
    <comment ref="E34" authorId="0">
      <text>
        <r>
          <rPr>
            <b/>
            <sz val="8"/>
            <color indexed="81"/>
            <rFont val="Tahoma"/>
            <family val="2"/>
            <charset val="186"/>
          </rPr>
          <t>Voka, Metsa 2
Voka staadion</t>
        </r>
      </text>
    </comment>
    <comment ref="G34" authorId="0">
      <text>
        <r>
          <rPr>
            <b/>
            <sz val="8"/>
            <color indexed="81"/>
            <rFont val="Tahoma"/>
            <family val="2"/>
            <charset val="186"/>
          </rPr>
          <t>Kohtla-Järve, Järveküla tee 44
Spordihoone taga</t>
        </r>
      </text>
    </comment>
    <comment ref="K34" authorId="0">
      <text>
        <r>
          <rPr>
            <b/>
            <sz val="8"/>
            <color indexed="81"/>
            <rFont val="Tahoma"/>
            <family val="2"/>
            <charset val="186"/>
          </rPr>
          <t>Jõhvi, 
Narva mnt 139b</t>
        </r>
      </text>
    </comment>
    <comment ref="M34" authorId="0">
      <text>
        <r>
          <rPr>
            <b/>
            <sz val="8"/>
            <color indexed="81"/>
            <rFont val="Tahoma"/>
            <family val="2"/>
            <charset val="186"/>
          </rPr>
          <t>Kohtla-Järve, Järveküla tee 44
Spordihoone taga</t>
        </r>
      </text>
    </comment>
    <comment ref="M37" authorId="0">
      <text>
        <r>
          <rPr>
            <b/>
            <sz val="8"/>
            <color indexed="81"/>
            <rFont val="Tahoma"/>
            <family val="2"/>
            <charset val="186"/>
          </rPr>
          <t>Voka, Metsa 2
Voka staadion</t>
        </r>
      </text>
    </comment>
    <comment ref="C40" authorId="0">
      <text>
        <r>
          <rPr>
            <b/>
            <sz val="8"/>
            <color indexed="81"/>
            <rFont val="Tahoma"/>
            <family val="2"/>
            <charset val="186"/>
          </rPr>
          <t>Mäetaguse mõisa vastas üle maantee</t>
        </r>
      </text>
    </comment>
    <comment ref="G40" authorId="0">
      <text>
        <r>
          <rPr>
            <b/>
            <sz val="8"/>
            <color indexed="81"/>
            <rFont val="Tahoma"/>
            <family val="2"/>
            <charset val="186"/>
          </rPr>
          <t>Voka, Metsa 2
Voka staadion</t>
        </r>
      </text>
    </comment>
    <comment ref="K40" authorId="0">
      <text>
        <r>
          <rPr>
            <b/>
            <sz val="8"/>
            <color indexed="81"/>
            <rFont val="Tahoma"/>
            <family val="2"/>
            <charset val="186"/>
          </rPr>
          <t>Tallinn, Linnu teel Kotka jalgpallihalli territooriumil</t>
        </r>
      </text>
    </comment>
    <comment ref="M40" authorId="0">
      <text>
        <r>
          <rPr>
            <b/>
            <sz val="8"/>
            <color indexed="81"/>
            <rFont val="Tahoma"/>
            <family val="2"/>
            <charset val="186"/>
          </rPr>
          <t>Tallinn, Linnu teel Kotka jalgpallihalli territooriumil</t>
        </r>
      </text>
    </comment>
    <comment ref="K41" authorId="0">
      <text>
        <r>
          <rPr>
            <b/>
            <sz val="8"/>
            <color indexed="81"/>
            <rFont val="Tahoma"/>
            <family val="2"/>
            <charset val="186"/>
          </rPr>
          <t>Voka, Metsa 2
Voka staadion</t>
        </r>
      </text>
    </comment>
    <comment ref="K44" authorId="0">
      <text>
        <r>
          <rPr>
            <b/>
            <sz val="8"/>
            <color indexed="81"/>
            <rFont val="Tahoma"/>
            <family val="2"/>
            <charset val="186"/>
          </rPr>
          <t>Zaķumuiža staadion, Parka tänav, Zaķumuiža</t>
        </r>
      </text>
    </comment>
    <comment ref="J45" authorId="0">
      <text>
        <r>
          <rPr>
            <b/>
            <sz val="8"/>
            <color indexed="81"/>
            <rFont val="Tahoma"/>
            <family val="2"/>
            <charset val="186"/>
          </rPr>
          <t>võidupüha</t>
        </r>
      </text>
    </comment>
    <comment ref="L45" authorId="0">
      <text>
        <r>
          <rPr>
            <b/>
            <sz val="8"/>
            <color indexed="81"/>
            <rFont val="Tahoma"/>
            <family val="2"/>
            <charset val="186"/>
          </rPr>
          <t>jaanipäev</t>
        </r>
      </text>
    </comment>
    <comment ref="G46" authorId="0">
      <text>
        <r>
          <rPr>
            <b/>
            <sz val="8"/>
            <color indexed="81"/>
            <rFont val="Tahoma"/>
            <family val="2"/>
            <charset val="186"/>
          </rPr>
          <t>Saku, Teaduse 2
Teaduse 2 maja taga asuv hokiväljak, kruusakate
12 väljakut</t>
        </r>
      </text>
    </comment>
    <comment ref="E47" authorId="0">
      <text>
        <r>
          <rPr>
            <b/>
            <sz val="8"/>
            <color indexed="81"/>
            <rFont val="Tahoma"/>
            <family val="2"/>
            <charset val="186"/>
          </rPr>
          <t>Voka, Metsa 2
Voka staadion</t>
        </r>
      </text>
    </comment>
    <comment ref="C51" authorId="0">
      <text>
        <r>
          <rPr>
            <b/>
            <sz val="8"/>
            <color indexed="81"/>
            <rFont val="Tahoma"/>
            <family val="2"/>
            <charset val="186"/>
          </rPr>
          <t>Registreerimise tähtaeg linnade ja valdade suvemängudeks
27. juuni.</t>
        </r>
      </text>
    </comment>
    <comment ref="G51" authorId="0">
      <text>
        <r>
          <rPr>
            <b/>
            <sz val="8"/>
            <color indexed="81"/>
            <rFont val="Tahoma"/>
            <family val="2"/>
            <charset val="186"/>
          </rPr>
          <t xml:space="preserve">4. REGISTREERIMINE 
Spordimängudel osalemine eeldab eelregistreerimist. Eelregistreerimine alade kaupa tuleb teha elektrooniliselt hiljemalt  1. juuliks 2017. a, etteantud näidise järgi.
Nimeline registreerimine etteantud formaadis 15. juuliks 2017. a.peeterorav@hot.ee 
 Registreerimislehel märkida ära kindlasti võistleja sünniaasta (kergejõustikus ka sünnikuupäev) ning võistkonna esindaja nimi, e-posti aadress ja kontakttelefon. 
Kõik ülesandmisega seotud muudatused esitada kirjalikult 22. juulil 2017. a kella 8.30 - 10.00 sekretariaadis (spordialade kaupa). 
</t>
        </r>
      </text>
    </comment>
    <comment ref="K51" authorId="0">
      <text>
        <r>
          <rPr>
            <b/>
            <sz val="8"/>
            <color indexed="81"/>
            <rFont val="Tahoma"/>
            <family val="2"/>
            <charset val="186"/>
          </rPr>
          <t>Voka, Metsa 2
Voka staadion</t>
        </r>
      </text>
    </comment>
    <comment ref="M51" authorId="0">
      <text>
        <r>
          <rPr>
            <b/>
            <sz val="8"/>
            <color indexed="81"/>
            <rFont val="Tahoma"/>
            <family val="2"/>
            <charset val="186"/>
          </rPr>
          <t>Metsa ja Jõe tänava ristist keerata Pedeli jõe poole</t>
        </r>
      </text>
    </comment>
    <comment ref="K53" authorId="0">
      <text>
        <r>
          <rPr>
            <b/>
            <sz val="8"/>
            <color indexed="81"/>
            <rFont val="Tahoma"/>
            <family val="2"/>
            <charset val="186"/>
          </rPr>
          <t>Metsa ja Jõe tänava ristist keerata Pedeli jõe poole</t>
        </r>
      </text>
    </comment>
    <comment ref="K55" authorId="0">
      <text>
        <r>
          <rPr>
            <b/>
            <sz val="8"/>
            <color indexed="81"/>
            <rFont val="Tahoma"/>
            <family val="2"/>
            <charset val="186"/>
          </rPr>
          <t>Algus kell 11:15</t>
        </r>
      </text>
    </comment>
    <comment ref="C56" authorId="0">
      <text>
        <r>
          <rPr>
            <b/>
            <sz val="8"/>
            <color indexed="81"/>
            <rFont val="Tahoma"/>
            <family val="2"/>
            <charset val="186"/>
          </rPr>
          <t>Mäetaguse mõisa vastas üle maantee</t>
        </r>
      </text>
    </comment>
    <comment ref="E56" authorId="0">
      <text>
        <r>
          <rPr>
            <b/>
            <sz val="8"/>
            <color indexed="81"/>
            <rFont val="Tahoma"/>
            <family val="2"/>
            <charset val="186"/>
          </rPr>
          <t>Voka, Metsa 2
Voka staadion</t>
        </r>
      </text>
    </comment>
    <comment ref="K56" authorId="0">
      <text>
        <r>
          <rPr>
            <b/>
            <sz val="8"/>
            <color indexed="81"/>
            <rFont val="Tahoma"/>
            <family val="2"/>
            <charset val="186"/>
          </rPr>
          <t>Vinni, Tammiku 9</t>
        </r>
      </text>
    </comment>
    <comment ref="M56" authorId="0">
      <text>
        <r>
          <rPr>
            <b/>
            <sz val="8"/>
            <color indexed="81"/>
            <rFont val="Tahoma"/>
            <family val="2"/>
            <charset val="186"/>
          </rPr>
          <t>Jõhvi, 
Narva mnt 139b</t>
        </r>
      </text>
    </comment>
    <comment ref="K58" authorId="0">
      <text>
        <r>
          <rPr>
            <b/>
            <sz val="8"/>
            <color indexed="81"/>
            <rFont val="Tahoma"/>
            <family val="2"/>
            <charset val="186"/>
          </rPr>
          <t xml:space="preserve">Algus kell 11:30
IV. Osavõtjad
1. Suvemängudest lubatakse osa võtma kõikide Eesti linnade võistkondi ühe võistkonnaga
mängude kavas olevatel spordialadel.
2. Suvemängudel lubatakse osaleda ka vallasisestel linnadel.
3. Võistkonnad moodustatakse antud linna territooriumil elavatest, töötavatest, õppivatest või
antud linna spordiklubides registreeritud sportlastest.
4. Iga sportlane võib võistelda ainult ühe omavalitsuse/võistkonna eest. </t>
        </r>
      </text>
    </comment>
    <comment ref="K59" authorId="0">
      <text>
        <r>
          <rPr>
            <b/>
            <sz val="8"/>
            <color indexed="81"/>
            <rFont val="Tahoma"/>
            <family val="2"/>
            <charset val="186"/>
          </rPr>
          <t>Metsa ja Jõe tänava ristist keerata Pedeli jõe poole</t>
        </r>
      </text>
    </comment>
    <comment ref="J61" authorId="0">
      <text>
        <r>
          <rPr>
            <b/>
            <sz val="8"/>
            <color indexed="81"/>
            <rFont val="Tahoma"/>
            <family val="2"/>
            <charset val="186"/>
          </rPr>
          <t>LOOSIDUO
Algus 15:00</t>
        </r>
      </text>
    </comment>
    <comment ref="L61" authorId="0">
      <text>
        <r>
          <rPr>
            <b/>
            <sz val="8"/>
            <color indexed="81"/>
            <rFont val="Tahoma"/>
            <family val="2"/>
            <charset val="186"/>
          </rPr>
          <t>TRIO
Algus 10:00
Registreerimine kuni 13.07.2017
(max 48 võistkonda, 4 5€ võistkond)</t>
        </r>
      </text>
    </comment>
    <comment ref="N61" authorId="0">
      <text>
        <r>
          <rPr>
            <b/>
            <sz val="8"/>
            <color indexed="81"/>
            <rFont val="Tahoma"/>
            <family val="2"/>
            <charset val="186"/>
          </rPr>
          <t>DUO
Algus 10:00
Registreerimine kuni 9:45 
20 € võistkond</t>
        </r>
      </text>
    </comment>
    <comment ref="G62" authorId="0">
      <text>
        <r>
          <rPr>
            <b/>
            <sz val="8"/>
            <color indexed="81"/>
            <rFont val="Tahoma"/>
            <family val="2"/>
            <charset val="186"/>
          </rPr>
          <t>Voka, Metsa 2
Voka staadion</t>
        </r>
      </text>
    </comment>
    <comment ref="I62" authorId="0">
      <text>
        <r>
          <rPr>
            <b/>
            <sz val="8"/>
            <color indexed="81"/>
            <rFont val="Tahoma"/>
            <family val="2"/>
            <charset val="186"/>
          </rPr>
          <t>Saku, Tallinna mnt 2a</t>
        </r>
      </text>
    </comment>
    <comment ref="K62" authorId="0">
      <text>
        <r>
          <rPr>
            <b/>
            <sz val="8"/>
            <color indexed="81"/>
            <rFont val="Tahoma"/>
            <family val="2"/>
            <charset val="186"/>
          </rPr>
          <t>Saku, Tallinna mnt 2a</t>
        </r>
      </text>
    </comment>
    <comment ref="M62" authorId="0">
      <text>
        <r>
          <rPr>
            <b/>
            <sz val="8"/>
            <color indexed="81"/>
            <rFont val="Tahoma"/>
            <family val="2"/>
            <charset val="186"/>
          </rPr>
          <t>Saku, Tallinna mnt 2a</t>
        </r>
      </text>
    </comment>
    <comment ref="G63" authorId="0">
      <text>
        <r>
          <rPr>
            <b/>
            <sz val="8"/>
            <color indexed="81"/>
            <rFont val="Tahoma"/>
            <family val="2"/>
            <charset val="186"/>
          </rPr>
          <t>K-Järve üksikmängu MV asemel toimub Ida-Virumaa MV duodele  teine osa, sest võistlus katkestati lausvihma tõttu</t>
        </r>
      </text>
    </comment>
    <comment ref="K64" authorId="0">
      <text>
        <r>
          <rPr>
            <b/>
            <sz val="8"/>
            <color indexed="81"/>
            <rFont val="Tahoma"/>
            <family val="2"/>
            <charset val="186"/>
          </rPr>
          <t xml:space="preserve">9.3. Petank 22. ja 23. juuli 2017. a.
Segatrio.  
Võistkonna suurus 3-4 mängijat, nendest vähemalt 1 naine.
Korraga väljakul 3 mängijat, nendest 1 naine.
Võisteldakse rahvusvaheliste võistlusreeglite järgi. 
Iga maakond võib välja panna kuni 2 võistkonda, kusjuures arvesse läheb parema võistkonna tulemus. 
Võistluste läbiviimise süsteem teatatakse koos ajakavaga pärast võistkondade registreerimist. 
Mängimiseks 8 graniitsõelmekattega välisväljakut.
Ala peakohtunik: Jüri Kõresaar, 5248878
</t>
        </r>
      </text>
    </comment>
    <comment ref="G65" authorId="0">
      <text>
        <r>
          <rPr>
            <b/>
            <sz val="8"/>
            <color indexed="81"/>
            <rFont val="Tahoma"/>
            <family val="2"/>
            <charset val="186"/>
          </rPr>
          <t>Voka, Metsa 2
Voka staadion</t>
        </r>
      </text>
    </comment>
    <comment ref="E66" authorId="0">
      <text>
        <r>
          <rPr>
            <b/>
            <sz val="8"/>
            <color indexed="81"/>
            <rFont val="Tahoma"/>
            <family val="2"/>
            <charset val="186"/>
          </rPr>
          <t>Voka, Metsa 2
Voka staadion</t>
        </r>
      </text>
    </comment>
    <comment ref="G66" authorId="0">
      <text>
        <r>
          <rPr>
            <b/>
            <sz val="8"/>
            <color indexed="81"/>
            <rFont val="Tahoma"/>
            <family val="2"/>
            <charset val="186"/>
          </rPr>
          <t>Voka, Metsa 2
Voka staadion</t>
        </r>
      </text>
    </comment>
    <comment ref="K66" authorId="0">
      <text>
        <r>
          <rPr>
            <b/>
            <sz val="8"/>
            <color indexed="81"/>
            <rFont val="Tahoma"/>
            <family val="2"/>
            <charset val="186"/>
          </rPr>
          <t xml:space="preserve">Jõulumäe Tervisespordikeskus Pärnumaal </t>
        </r>
      </text>
    </comment>
    <comment ref="M71" authorId="0">
      <text>
        <r>
          <rPr>
            <b/>
            <sz val="8"/>
            <color indexed="81"/>
            <rFont val="Tahoma"/>
            <family val="2"/>
            <charset val="186"/>
          </rPr>
          <t>Eestit esindab EuroCup-il Kohtla-Järve Spordihuvi klubi</t>
        </r>
      </text>
    </comment>
    <comment ref="K72" authorId="0">
      <text>
        <r>
          <rPr>
            <b/>
            <sz val="8"/>
            <color indexed="81"/>
            <rFont val="Tahoma"/>
            <family val="2"/>
            <charset val="186"/>
          </rPr>
          <t>Google-i kaardil on võõrustav Taani klubi "Hedebo Petanque Club" Karlslundes, mis asub Kopenhaageni lähedal (32 km Kastrupi lennujaamast). 
EuroCup toimub hoovis asuvatele väljakutele ehitatud uues hallis Karlslundehallerne, mida google kaardil veel ei ole.
Karlslundehallerne, 
Kongens Enge 42, 2690 Karlslunde, Taani</t>
        </r>
      </text>
    </comment>
    <comment ref="E76" authorId="0">
      <text>
        <r>
          <rPr>
            <b/>
            <sz val="8"/>
            <color indexed="81"/>
            <rFont val="Tahoma"/>
            <family val="2"/>
            <charset val="186"/>
          </rPr>
          <t>Voka, Metsa 2
Voka staadion</t>
        </r>
      </text>
    </comment>
    <comment ref="K76" authorId="0">
      <text>
        <r>
          <rPr>
            <b/>
            <sz val="8"/>
            <color indexed="81"/>
            <rFont val="Tahoma"/>
            <family val="2"/>
            <charset val="186"/>
          </rPr>
          <t>Jüri, Laste 3
Jüri terviseradade alguses Kelgumäe taga
Petangiväljak asub staadionist paremalt poolt mööda, eemalt paistab kelgumägi. Liikuda kelgumäe suunas.</t>
        </r>
      </text>
    </comment>
    <comment ref="M76" authorId="0">
      <text>
        <r>
          <rPr>
            <b/>
            <sz val="8"/>
            <color indexed="81"/>
            <rFont val="Tahoma"/>
            <family val="2"/>
            <charset val="186"/>
          </rPr>
          <t>Jüri, Laste 3
Jüri terviseradade alguses Kelgumäe taga
Petangiväljak asub staadionist paremalt poolt mööda, eemalt paistab kelgumägi. Liikuda kelgumäe suunas.</t>
        </r>
      </text>
    </comment>
    <comment ref="G79" authorId="0">
      <text>
        <r>
          <rPr>
            <b/>
            <sz val="8"/>
            <color indexed="81"/>
            <rFont val="Tahoma"/>
            <family val="2"/>
            <charset val="186"/>
          </rPr>
          <t>Jõhvi, 
Narva mnt 139b</t>
        </r>
      </text>
    </comment>
    <comment ref="J79" authorId="0">
      <text>
        <r>
          <rPr>
            <b/>
            <sz val="8"/>
            <color indexed="81"/>
            <rFont val="Tahoma"/>
            <family val="2"/>
            <charset val="186"/>
          </rPr>
          <t>Uuskalda, Kärbla küla, Lääne-Nigula vald, Läänemaa</t>
        </r>
      </text>
    </comment>
    <comment ref="K79" authorId="0">
      <text>
        <r>
          <rPr>
            <b/>
            <sz val="8"/>
            <color indexed="81"/>
            <rFont val="Tahoma"/>
            <family val="2"/>
            <charset val="186"/>
          </rPr>
          <t>Uuskalda, Kärbla küla, Lääne-Nigula vald, Läänemaa</t>
        </r>
      </text>
    </comment>
    <comment ref="M79" authorId="0">
      <text>
        <r>
          <rPr>
            <b/>
            <sz val="8"/>
            <color indexed="81"/>
            <rFont val="Tahoma"/>
            <family val="2"/>
            <charset val="186"/>
          </rPr>
          <t>Uuskalda, Kärbla küla, Lääne-Nigula vald, Läänemaa</t>
        </r>
      </text>
    </comment>
    <comment ref="K80" authorId="0">
      <text>
        <r>
          <rPr>
            <b/>
            <sz val="8"/>
            <color indexed="81"/>
            <rFont val="Tahoma"/>
            <family val="2"/>
            <charset val="186"/>
          </rPr>
          <t>Eesti meistrivõistlustel osalemiseks peavad olema: 
 - petankeri litsents, 
 - võistluskuulid, 
 - meeskonnal ühtne võistlussärk.</t>
        </r>
      </text>
    </comment>
    <comment ref="N80" authorId="0">
      <text>
        <r>
          <rPr>
            <b/>
            <sz val="8"/>
            <color indexed="81"/>
            <rFont val="Tahoma"/>
            <family val="2"/>
            <charset val="186"/>
          </rPr>
          <t>taasiseseisvumispäev</t>
        </r>
      </text>
    </comment>
    <comment ref="E82" authorId="0">
      <text>
        <r>
          <rPr>
            <b/>
            <sz val="8"/>
            <color indexed="81"/>
            <rFont val="Tahoma"/>
            <family val="2"/>
            <charset val="186"/>
          </rPr>
          <t>Voka, Metsa 2
Voka staadion</t>
        </r>
      </text>
    </comment>
    <comment ref="G82" authorId="0">
      <text>
        <r>
          <rPr>
            <b/>
            <sz val="8"/>
            <color indexed="81"/>
            <rFont val="Tahoma"/>
            <family val="2"/>
            <charset val="186"/>
          </rPr>
          <t>Kohtla-Järve, Järveküla tee 44
Spordihoone taga</t>
        </r>
      </text>
    </comment>
    <comment ref="K82" authorId="0">
      <text>
        <r>
          <rPr>
            <b/>
            <sz val="8"/>
            <color indexed="81"/>
            <rFont val="Tahoma"/>
            <family val="2"/>
            <charset val="186"/>
          </rPr>
          <t>Kohtla-Järve, Järveküla tee 44
Spordihoone taga</t>
        </r>
      </text>
    </comment>
    <comment ref="M82" authorId="0">
      <text>
        <r>
          <rPr>
            <b/>
            <sz val="8"/>
            <color indexed="81"/>
            <rFont val="Tahoma"/>
            <family val="2"/>
            <charset val="186"/>
          </rPr>
          <t>Kohtla-Järve, Järveküla tee 44
Spordihoone taga</t>
        </r>
      </text>
    </comment>
    <comment ref="K84" authorId="0">
      <text>
        <r>
          <rPr>
            <b/>
            <sz val="8"/>
            <color indexed="81"/>
            <rFont val="Tahoma"/>
            <family val="2"/>
            <charset val="186"/>
          </rPr>
          <t>Võru, Roosi tn 28 
Võru Linnastaadioni uued petangiväljakud</t>
        </r>
      </text>
    </comment>
    <comment ref="K85" authorId="0">
      <text>
        <r>
          <rPr>
            <b/>
            <sz val="8"/>
            <color indexed="81"/>
            <rFont val="Tahoma"/>
            <family val="2"/>
            <charset val="186"/>
          </rPr>
          <t xml:space="preserve">Tegemist on uue võistlusega, millel võivad osaleda ka EPKL-i mittekuuluvad klubid. 
Traditsiooniline Klubide karikas (uue nimega Klubide MV) toimub järgmisel kevadel. 
Kahju, et ei suudetud uuele võistlusele uut nime  välja mõelda (kasvõi "Klubide sügisturniir") ja tekitatakse vaid segadust. 
Kõikides Euroopa riikides toimuvad Klubide karikad, mille võitnud klubi pääseb EuroCup-ile. </t>
        </r>
      </text>
    </comment>
    <comment ref="M86" authorId="0">
      <text>
        <r>
          <rPr>
            <b/>
            <sz val="8"/>
            <color indexed="81"/>
            <rFont val="Tahoma"/>
            <family val="2"/>
            <charset val="186"/>
          </rPr>
          <t xml:space="preserve">Klubide karikas hakkab toimuma EuroCUP-ile eelneva aasta sügise asemel 
jooksva aasta kevadel.        </t>
        </r>
      </text>
    </comment>
    <comment ref="G87" authorId="0">
      <text>
        <r>
          <rPr>
            <b/>
            <sz val="8"/>
            <color indexed="81"/>
            <rFont val="Tahoma"/>
            <family val="2"/>
            <charset val="186"/>
          </rPr>
          <t>Kohtla-Järve, Järveküla tee 44
Spordihoone taga</t>
        </r>
      </text>
    </comment>
    <comment ref="K91" authorId="0">
      <text>
        <r>
          <rPr>
            <b/>
            <sz val="8"/>
            <color indexed="81"/>
            <rFont val="Tahoma"/>
            <family val="2"/>
            <charset val="186"/>
          </rPr>
          <t>Saku, Teaduse 2
Teaduse 2 maja taga asuv hokiväljak, kruusakate
12 väljakut</t>
        </r>
      </text>
    </comment>
    <comment ref="M91" authorId="0">
      <text>
        <r>
          <rPr>
            <b/>
            <sz val="8"/>
            <color indexed="81"/>
            <rFont val="Tahoma"/>
            <family val="2"/>
            <charset val="186"/>
          </rPr>
          <t>Saku, Teaduse 2
Teaduse 2 maja taga asuv hokiväljak, kruusakate
12 väljakut</t>
        </r>
      </text>
    </comment>
    <comment ref="E94" authorId="0">
      <text>
        <r>
          <rPr>
            <b/>
            <sz val="8"/>
            <color indexed="81"/>
            <rFont val="Tahoma"/>
            <family val="2"/>
            <charset val="186"/>
          </rPr>
          <t>Voka, Metsa 2
Voka staadion</t>
        </r>
      </text>
    </comment>
    <comment ref="K94" authorId="0">
      <text>
        <r>
          <rPr>
            <b/>
            <sz val="8"/>
            <color indexed="81"/>
            <rFont val="Tahoma"/>
            <family val="2"/>
            <charset val="186"/>
          </rPr>
          <t>Tallinn, Linnu teel Kotka jalgpallihalli territooriumil</t>
        </r>
      </text>
    </comment>
    <comment ref="M94" authorId="0">
      <text>
        <r>
          <rPr>
            <b/>
            <sz val="8"/>
            <color indexed="81"/>
            <rFont val="Tahoma"/>
            <family val="2"/>
            <charset val="186"/>
          </rPr>
          <t>Voka, Metsa 2
Voka staadion</t>
        </r>
      </text>
    </comment>
    <comment ref="K95" authorId="0">
      <text>
        <r>
          <rPr>
            <b/>
            <sz val="8"/>
            <color indexed="81"/>
            <rFont val="Tahoma"/>
            <family val="2"/>
            <charset val="186"/>
          </rPr>
          <t>Välishooaja lõputurniir</t>
        </r>
      </text>
    </comment>
    <comment ref="K97" authorId="0">
      <text>
        <r>
          <rPr>
            <b/>
            <sz val="8"/>
            <color indexed="81"/>
            <rFont val="Tahoma"/>
            <family val="2"/>
            <charset val="186"/>
          </rPr>
          <t>Saku, Teaduse 2</t>
        </r>
      </text>
    </comment>
    <comment ref="M97" authorId="0">
      <text>
        <r>
          <rPr>
            <b/>
            <sz val="8"/>
            <color indexed="81"/>
            <rFont val="Tahoma"/>
            <family val="2"/>
            <charset val="186"/>
          </rPr>
          <t>Kohtla-Järve, Järveküla tee 44
Spordihoone taga</t>
        </r>
      </text>
    </comment>
    <comment ref="K100" authorId="0">
      <text>
        <r>
          <rPr>
            <b/>
            <sz val="8"/>
            <color indexed="81"/>
            <rFont val="Tahoma"/>
            <family val="2"/>
            <charset val="186"/>
          </rPr>
          <t>Mäetaguse, Pargi 2
Mäetaguse Põhikooli staadion</t>
        </r>
      </text>
    </comment>
    <comment ref="M100" authorId="0">
      <text>
        <r>
          <rPr>
            <b/>
            <sz val="8"/>
            <color indexed="81"/>
            <rFont val="Tahoma"/>
            <family val="2"/>
            <charset val="186"/>
          </rPr>
          <t>Jõhvi, 
Narva mnt 139b</t>
        </r>
      </text>
    </comment>
    <comment ref="K103" authorId="0">
      <text>
        <r>
          <rPr>
            <b/>
            <sz val="8"/>
            <color indexed="81"/>
            <rFont val="Tahoma"/>
            <family val="2"/>
            <charset val="186"/>
          </rPr>
          <t>Boulodrome Henri Salvador
Avenue du Dué, 76320 
Saint Pierre les Elbeuf, 
Prantsusmaa</t>
        </r>
      </text>
    </comment>
    <comment ref="K107" authorId="0">
      <text>
        <r>
          <rPr>
            <b/>
            <sz val="8"/>
            <color indexed="81"/>
            <rFont val="Tahoma"/>
            <family val="2"/>
            <charset val="186"/>
          </rPr>
          <t>Voka, Metsa 2
Voka staadion</t>
        </r>
      </text>
    </comment>
    <comment ref="M107" authorId="0">
      <text>
        <r>
          <rPr>
            <b/>
            <sz val="8"/>
            <color indexed="81"/>
            <rFont val="Tahoma"/>
            <family val="2"/>
            <charset val="186"/>
          </rPr>
          <t>Mäetaguse, Pargi 2
Mäetaguse Põhikooli staadion</t>
        </r>
      </text>
    </comment>
    <comment ref="M111" authorId="0">
      <text>
        <r>
          <rPr>
            <b/>
            <sz val="8"/>
            <color indexed="81"/>
            <rFont val="Tahoma"/>
            <family val="2"/>
            <charset val="186"/>
          </rPr>
          <t>Voka, Metsa 2
Voka staadion</t>
        </r>
      </text>
    </comment>
    <comment ref="L112" authorId="0">
      <text>
        <r>
          <rPr>
            <b/>
            <sz val="8"/>
            <color indexed="81"/>
            <rFont val="Tahoma"/>
            <family val="2"/>
            <charset val="186"/>
          </rPr>
          <t xml:space="preserve">Eestit esindavad veteranide EM-il: 
</t>
        </r>
        <r>
          <rPr>
            <sz val="8"/>
            <color indexed="81"/>
            <rFont val="Tahoma"/>
            <family val="2"/>
            <charset val="186"/>
          </rPr>
          <t xml:space="preserve">
</t>
        </r>
        <r>
          <rPr>
            <b/>
            <sz val="8"/>
            <color indexed="81"/>
            <rFont val="Tahoma"/>
            <family val="2"/>
            <charset val="186"/>
          </rPr>
          <t>Ivar Viljaste</t>
        </r>
        <r>
          <rPr>
            <sz val="8"/>
            <color indexed="81"/>
            <rFont val="Tahoma"/>
            <family val="2"/>
            <charset val="186"/>
          </rPr>
          <t xml:space="preserve">, Kalju Olmre, </t>
        </r>
        <r>
          <rPr>
            <b/>
            <sz val="8"/>
            <color indexed="81"/>
            <rFont val="Tahoma"/>
            <family val="2"/>
            <charset val="186"/>
          </rPr>
          <t>Matti Vinni</t>
        </r>
        <r>
          <rPr>
            <sz val="8"/>
            <color indexed="81"/>
            <rFont val="Tahoma"/>
            <family val="2"/>
            <charset val="186"/>
          </rPr>
          <t xml:space="preserve">, </t>
        </r>
        <r>
          <rPr>
            <b/>
            <sz val="8"/>
            <color indexed="81"/>
            <rFont val="Tahoma"/>
            <family val="2"/>
            <charset val="186"/>
          </rPr>
          <t>Sirje Viljaste</t>
        </r>
      </text>
    </comment>
    <comment ref="M113" authorId="0">
      <text>
        <r>
          <rPr>
            <b/>
            <sz val="8"/>
            <color indexed="81"/>
            <rFont val="Tahoma"/>
            <family val="2"/>
            <charset val="186"/>
          </rPr>
          <t xml:space="preserve">Karlslundehallerne, 
Kongens Enge, 2690 Karlslunde, Taani
Veteranide EM toimub petangiväljakutele ehitatud tuttuues hallis Karlslundehallerne, mida google kaardil veel ei ole (32 km Kastrupi lennujaamast). </t>
        </r>
      </text>
    </comment>
    <comment ref="M116" authorId="0">
      <text>
        <r>
          <rPr>
            <b/>
            <sz val="8"/>
            <color indexed="81"/>
            <rFont val="Tahoma"/>
            <family val="2"/>
            <charset val="186"/>
          </rPr>
          <t>Kohtla-Järve, Järveküla tee 44
Spordihoone taga</t>
        </r>
      </text>
    </comment>
    <comment ref="K118" authorId="0">
      <text>
        <r>
          <rPr>
            <b/>
            <sz val="8"/>
            <color indexed="81"/>
            <rFont val="Tahoma"/>
            <family val="2"/>
            <charset val="186"/>
          </rPr>
          <t>Voka, Narva mnt 2</t>
        </r>
      </text>
    </comment>
    <comment ref="J123" authorId="0">
      <text>
        <r>
          <rPr>
            <b/>
            <sz val="8"/>
            <color indexed="81"/>
            <rFont val="Tahoma"/>
            <family val="2"/>
            <charset val="186"/>
          </rPr>
          <t>Eestit esindavad: 
Merike Aava, 
Katri Aavekukk, 
Külli Kariste, 
Marju Velga</t>
        </r>
      </text>
    </comment>
  </commentList>
</comments>
</file>

<file path=xl/comments3.xml><?xml version="1.0" encoding="utf-8"?>
<comments xmlns="http://schemas.openxmlformats.org/spreadsheetml/2006/main">
  <authors>
    <author>Author</author>
  </authors>
  <commentList>
    <comment ref="U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P5" authorId="0">
      <text>
        <r>
          <rPr>
            <b/>
            <sz val="8"/>
            <color indexed="81"/>
            <rFont val="Tahoma"/>
            <family val="2"/>
            <charset val="186"/>
          </rPr>
          <t>Võistlus katkestati vihma tõttu puulide lõppedes ja jätkus 20.07.2017 karikasüsteemis</t>
        </r>
      </text>
    </comment>
    <comment ref="C7" authorId="0">
      <text>
        <r>
          <rPr>
            <b/>
            <sz val="8"/>
            <color indexed="81"/>
            <rFont val="Tahoma"/>
            <family val="2"/>
            <charset val="186"/>
          </rPr>
          <t>Valem arvutab punktisumma järgi võistleja koha. 
Võrdse punktisumma korral annab kõrgema koha võistlejale, kellel on rohkem 40-t, siis rohkem 34-a, 30-t jne.
Valem töötab Microsoft ja WPS Office-ga. 
Vahel ei tööta Libre ja Open Office-ga.</t>
        </r>
      </text>
    </comment>
    <comment ref="G7" authorId="0">
      <text>
        <r>
          <rPr>
            <b/>
            <sz val="8"/>
            <color indexed="81"/>
            <rFont val="Tahoma"/>
            <family val="2"/>
            <charset val="186"/>
          </rPr>
          <t xml:space="preserve">Valem arvutab punktisumma ja võtab kehvemad tulemused maha.
Valem töötab Microsoft ja WPS Office-ga. 
Vahel ei tööta Libre ja Open Office-ga.
</t>
        </r>
      </text>
    </comment>
    <comment ref="M12" authorId="0">
      <text>
        <r>
          <rPr>
            <b/>
            <sz val="8"/>
            <color indexed="81"/>
            <rFont val="Tahoma"/>
            <family val="2"/>
            <charset val="186"/>
          </rPr>
          <t>100. Ida-Virumaa reitinguvõistlus</t>
        </r>
      </text>
    </comment>
    <comment ref="T26" authorId="0">
      <text>
        <r>
          <rPr>
            <b/>
            <sz val="8"/>
            <color indexed="81"/>
            <rFont val="Tahoma"/>
            <family val="2"/>
            <charset val="186"/>
          </rPr>
          <t>100. Ida-Virumaa reitinguvõistlus</t>
        </r>
      </text>
    </comment>
    <comment ref="E27" authorId="0">
      <text>
        <r>
          <rPr>
            <b/>
            <sz val="8"/>
            <color indexed="81"/>
            <rFont val="Tahoma"/>
            <family val="2"/>
            <charset val="186"/>
          </rPr>
          <t>Aasta uustulnukas</t>
        </r>
      </text>
    </comment>
  </commentList>
</comments>
</file>

<file path=xl/comments4.xml><?xml version="1.0" encoding="utf-8"?>
<comments xmlns="http://schemas.openxmlformats.org/spreadsheetml/2006/main">
  <authors>
    <author>Author</author>
  </authors>
  <commentList>
    <comment ref="P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C6" authorId="0">
      <text>
        <r>
          <rPr>
            <b/>
            <sz val="8"/>
            <color indexed="81"/>
            <rFont val="Tahoma"/>
            <family val="2"/>
            <charset val="186"/>
          </rPr>
          <t>Valem arvutab punktisumma järgi võistleja koha. 
Võdrse punktisumma korral annab parema koha võistlejale, kellel on üksikmängus rohkem punkte.
Valem töötab Microsoft ja WPS Office-ga. 
Vahel ei tööta Libre ja Open Office-ga.</t>
        </r>
      </text>
    </comment>
    <comment ref="G6" authorId="0">
      <text>
        <r>
          <rPr>
            <b/>
            <sz val="8"/>
            <color indexed="81"/>
            <rFont val="Tahoma"/>
            <family val="2"/>
            <charset val="186"/>
          </rPr>
          <t xml:space="preserve">Valem arvutab punktisumma ja võtab kehvemad tulemused maha.
Valem töötab Microsoft ja WPS Office-ga. 
Vahel ei tööta Libre ja Open Office-ga.
</t>
        </r>
      </text>
    </comment>
  </commentList>
</comments>
</file>

<file path=xl/comments5.xml><?xml version="1.0" encoding="utf-8"?>
<comments xmlns="http://schemas.openxmlformats.org/spreadsheetml/2006/main">
  <authors>
    <author>Author</author>
  </authors>
  <commentList>
    <comment ref="B15" authorId="0">
      <text>
        <r>
          <rPr>
            <b/>
            <sz val="8"/>
            <color indexed="81"/>
            <rFont val="Tahoma"/>
            <family val="2"/>
            <charset val="186"/>
          </rPr>
          <t>Protokollis oli Enn Tokmani asemel kirjas Illar</t>
        </r>
      </text>
    </comment>
  </commentList>
</comments>
</file>

<file path=xl/comments6.xml><?xml version="1.0" encoding="utf-8"?>
<comments xmlns="http://schemas.openxmlformats.org/spreadsheetml/2006/main">
  <authors>
    <author>Author</author>
  </authors>
  <commentList>
    <comment ref="Q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D6" authorId="0">
      <text>
        <r>
          <rPr>
            <b/>
            <sz val="8"/>
            <color indexed="81"/>
            <rFont val="Tahoma"/>
            <family val="2"/>
            <charset val="186"/>
          </rPr>
          <t>Kohalikud mängijad</t>
        </r>
      </text>
    </comment>
    <comment ref="E6" authorId="0">
      <text>
        <r>
          <rPr>
            <b/>
            <sz val="8"/>
            <color indexed="81"/>
            <rFont val="Tahoma"/>
            <family val="2"/>
            <charset val="186"/>
          </rPr>
          <t>Valem arvutab punktisumma järgi võistleja koha. 
Võdrse punktisumma korral annab parema koha võistlejale, kellel on üksikmängus rohkem punkte.
Valem töötab Microsoft ja WPS Office-ga. 
Vahel ei tööta Libre ja Open Office-ga.</t>
        </r>
      </text>
    </comment>
    <comment ref="I6" authorId="0">
      <text>
        <r>
          <rPr>
            <b/>
            <sz val="8"/>
            <color indexed="81"/>
            <rFont val="Tahoma"/>
            <family val="2"/>
            <charset val="186"/>
          </rPr>
          <t xml:space="preserve">Valem arvutab punktisumma ja võtab kehvemad tulemused maha. 
Võrdse punktisumma korral paneb sorteerimisel ettepoole mängija, kellel on üksikmängus suuremad punktid. 
Valem töötab Microsoft ja WPS Office-ga. 
Vahel ei tööta Libre ja Open Office-ga.
</t>
        </r>
      </text>
    </comment>
    <comment ref="K6" authorId="0">
      <text>
        <r>
          <rPr>
            <b/>
            <sz val="8"/>
            <color indexed="81"/>
            <rFont val="Tahoma"/>
            <family val="2"/>
            <charset val="186"/>
          </rPr>
          <t>Vajalik vaid siis kui võrdse punktisumma saanud mängijad pole osalenud üksikmängus</t>
        </r>
      </text>
    </comment>
  </commentList>
</comments>
</file>

<file path=xl/comments7.xml><?xml version="1.0" encoding="utf-8"?>
<comments xmlns="http://schemas.openxmlformats.org/spreadsheetml/2006/main">
  <authors>
    <author>Author</author>
  </authors>
  <commentList>
    <comment ref="J5" authorId="0">
      <text>
        <r>
          <rPr>
            <b/>
            <sz val="8"/>
            <color indexed="81"/>
            <rFont val="Tahoma"/>
            <family val="2"/>
            <charset val="186"/>
          </rPr>
          <t>Pronksireegel kustutatud</t>
        </r>
        <r>
          <rPr>
            <sz val="8"/>
            <color indexed="81"/>
            <rFont val="Tahoma"/>
            <family val="2"/>
            <charset val="186"/>
          </rPr>
          <t xml:space="preserve">
</t>
        </r>
      </text>
    </comment>
    <comment ref="L5" authorId="0">
      <text>
        <r>
          <rPr>
            <b/>
            <sz val="8"/>
            <color indexed="81"/>
            <rFont val="Tahoma"/>
            <family val="2"/>
            <charset val="186"/>
          </rPr>
          <t>Hõbeda- ja pronksireegel kustutatud</t>
        </r>
        <r>
          <rPr>
            <sz val="8"/>
            <color indexed="81"/>
            <rFont val="Tahoma"/>
            <family val="2"/>
            <charset val="186"/>
          </rPr>
          <t xml:space="preserve">
</t>
        </r>
      </text>
    </comment>
    <comment ref="N5" authorId="0">
      <text>
        <r>
          <rPr>
            <b/>
            <sz val="8"/>
            <color indexed="81"/>
            <rFont val="Tahoma"/>
            <family val="2"/>
            <charset val="186"/>
          </rPr>
          <t>Pronksireegel kustutatud</t>
        </r>
        <r>
          <rPr>
            <sz val="8"/>
            <color indexed="81"/>
            <rFont val="Tahoma"/>
            <family val="2"/>
            <charset val="186"/>
          </rPr>
          <t xml:space="preserve">
</t>
        </r>
      </text>
    </comment>
    <comment ref="A6" authorId="0">
      <text>
        <r>
          <rPr>
            <b/>
            <sz val="8"/>
            <color indexed="81"/>
            <rFont val="Tahoma"/>
            <family val="2"/>
            <charset val="186"/>
          </rPr>
          <t>Kohalikud mängijad</t>
        </r>
      </text>
    </comment>
  </commentList>
</comments>
</file>

<file path=xl/comments8.xml><?xml version="1.0" encoding="utf-8"?>
<comments xmlns="http://schemas.openxmlformats.org/spreadsheetml/2006/main">
  <authors>
    <author>Author</author>
  </authors>
  <commentList>
    <comment ref="AN6" authorId="0">
      <text>
        <r>
          <rPr>
            <b/>
            <sz val="8"/>
            <color indexed="81"/>
            <rFont val="Tahoma"/>
            <family val="2"/>
            <charset val="186"/>
          </rPr>
          <t>Valemiga</t>
        </r>
      </text>
    </comment>
  </commentList>
</comments>
</file>

<file path=xl/sharedStrings.xml><?xml version="1.0" encoding="utf-8"?>
<sst xmlns="http://schemas.openxmlformats.org/spreadsheetml/2006/main" count="5477" uniqueCount="707">
  <si>
    <t>EESTI JA IDA-VIRUMAA PETANGIKALENDER 2017</t>
  </si>
  <si>
    <t>Esmaspäev</t>
  </si>
  <si>
    <t>Teisipäev</t>
  </si>
  <si>
    <t>Kolmapäev</t>
  </si>
  <si>
    <t>Neljapäev</t>
  </si>
  <si>
    <t>Reede</t>
  </si>
  <si>
    <t>Laupäev</t>
  </si>
  <si>
    <t>Pühapäev</t>
  </si>
  <si>
    <t>Mai 2017</t>
  </si>
  <si>
    <t>TRIO</t>
  </si>
  <si>
    <t>Juuni 2017</t>
  </si>
  <si>
    <t>Juuli 2017</t>
  </si>
  <si>
    <t>ÜKSIK, DUO, SEGADUO, TRIO, SEGATRIO</t>
  </si>
  <si>
    <t xml:space="preserve"> </t>
  </si>
  <si>
    <t>August 2017</t>
  </si>
  <si>
    <t>September 2017</t>
  </si>
  <si>
    <t>Oktoober 2017</t>
  </si>
  <si>
    <t>November 2017</t>
  </si>
  <si>
    <t>Detsember 2017</t>
  </si>
  <si>
    <t>Kaihua (Hiina)</t>
  </si>
  <si>
    <t>Ida-Viru reitinguvõistlused on rasvases trükis ja sinise taustaga</t>
  </si>
  <si>
    <t>Viimased muudatused on punasega</t>
  </si>
  <si>
    <t>Rahvusvahelised ja katsevõistlused on sinisega ja kaldkirjas</t>
  </si>
  <si>
    <t xml:space="preserve">Voka karikavõistlused on rohelise taustaga. </t>
  </si>
  <si>
    <t>mängud, SEGATRIO</t>
  </si>
  <si>
    <t>registr ESL 1.07</t>
  </si>
  <si>
    <t>10. Sakura, TRIO</t>
  </si>
  <si>
    <t>LOOSIDUO</t>
  </si>
  <si>
    <t>Helsingi (Soome)</t>
  </si>
  <si>
    <t>DUO</t>
  </si>
  <si>
    <t>KV 1. etapp, DUO</t>
  </si>
  <si>
    <t>KV 2. etapp, TRIO</t>
  </si>
  <si>
    <t>KV 3. etapp, DUO</t>
  </si>
  <si>
    <t>KV 4. etapp, TRIO</t>
  </si>
  <si>
    <t>5. etapp, ÜKSIK</t>
  </si>
  <si>
    <t>Mäetaguse karikavõistlused on punase taustaga. Arvesse läheb 3 võistlust 5st (üksikmäng + duo + trio)</t>
  </si>
  <si>
    <t>Mäetaguse karikavõistlused on punase taustaga. Arvesse läheb 3 võistlust 5st (üksikmäng + 1 duo + 1 trio)</t>
  </si>
  <si>
    <t>Kuupäev</t>
  </si>
  <si>
    <t>Aeg</t>
  </si>
  <si>
    <t>Võistlus</t>
  </si>
  <si>
    <t>Mänguviis</t>
  </si>
  <si>
    <t>R</t>
  </si>
  <si>
    <t>Toimumiskoht</t>
  </si>
  <si>
    <t>Korraldaja</t>
  </si>
  <si>
    <t>T</t>
  </si>
  <si>
    <t>Osal</t>
  </si>
  <si>
    <t>11:00</t>
  </si>
  <si>
    <t>Välishooaja avavõistlus</t>
  </si>
  <si>
    <t>Üksik</t>
  </si>
  <si>
    <t>K-Järve SHK, Ivar Viljaste</t>
  </si>
  <si>
    <t>18:00</t>
  </si>
  <si>
    <t>Duo</t>
  </si>
  <si>
    <t>Johannes Neiland</t>
  </si>
  <si>
    <t>Trio</t>
  </si>
  <si>
    <t>Mäetaguse SK, Taavi Toomel</t>
  </si>
  <si>
    <t>Ida-Virumaa MV</t>
  </si>
  <si>
    <t>10:00</t>
  </si>
  <si>
    <t>Toila vald, Johannes Neiland</t>
  </si>
  <si>
    <t>LTK Üks-Teist, Tõnu Kapper</t>
  </si>
  <si>
    <t>Ivari karikas</t>
  </si>
  <si>
    <t>Tulistamine</t>
  </si>
  <si>
    <t>Voka pliks-plaks</t>
  </si>
  <si>
    <t>Hooaja lõpetamine (pliks-plaks)</t>
  </si>
  <si>
    <t>Ida-Viru reitinguvõistlused on rasvases trükis</t>
  </si>
  <si>
    <t>Eesti reitingusarja võistlused on kollase taustaga</t>
  </si>
  <si>
    <t>IDA-VIRUMAA PETANGIKALENDER 2017</t>
  </si>
  <si>
    <t>T, 16.05.2017</t>
  </si>
  <si>
    <t>T, 13.06.2017</t>
  </si>
  <si>
    <t>T, 04.07.2017</t>
  </si>
  <si>
    <t>P, 01.10.2017</t>
  </si>
  <si>
    <t xml:space="preserve">Punktid </t>
  </si>
  <si>
    <t>Kuld</t>
  </si>
  <si>
    <t>Arvesse läheb 3 võistlust 5st (üksikmäng + duo + trio)</t>
  </si>
  <si>
    <t>Hõbe</t>
  </si>
  <si>
    <t>Pronks</t>
  </si>
  <si>
    <t>Osalusi</t>
  </si>
  <si>
    <t>Medaleid</t>
  </si>
  <si>
    <t>Võite</t>
  </si>
  <si>
    <t>KOHT</t>
  </si>
  <si>
    <t>val</t>
  </si>
  <si>
    <t>M</t>
  </si>
  <si>
    <t>N</t>
  </si>
  <si>
    <t>J</t>
  </si>
  <si>
    <t>K</t>
  </si>
  <si>
    <t>Nimi</t>
  </si>
  <si>
    <t>valem3</t>
  </si>
  <si>
    <t>valem1</t>
  </si>
  <si>
    <t>**</t>
  </si>
  <si>
    <t>***</t>
  </si>
  <si>
    <t>*</t>
  </si>
  <si>
    <t>Osalejaid</t>
  </si>
  <si>
    <t>Võistkondi</t>
  </si>
  <si>
    <t xml:space="preserve">Kui kahel või enamal mängijal on võrdselt punkte, siis saab parema koha see, </t>
  </si>
  <si>
    <t>kes sai üksikmängus rohkem punkte.</t>
  </si>
  <si>
    <t xml:space="preserve">2. Saku Open, </t>
  </si>
  <si>
    <t xml:space="preserve">20. EuroCup finaalid, </t>
  </si>
  <si>
    <t>ÜKSIK</t>
  </si>
  <si>
    <t>1. etapp, TRIO</t>
  </si>
  <si>
    <t>Tallinn</t>
  </si>
  <si>
    <t>SEGADUO</t>
  </si>
  <si>
    <t>SEGATRIO</t>
  </si>
  <si>
    <t>4. Viru karikas, DUO</t>
  </si>
  <si>
    <t>maavõistlus, TRIO</t>
  </si>
  <si>
    <t>2. Saku Fun</t>
  </si>
  <si>
    <t xml:space="preserve">6. Valge Daam </t>
  </si>
  <si>
    <t>6. Valge Daam</t>
  </si>
  <si>
    <t>L, 19.08.2017</t>
  </si>
  <si>
    <t>12. Eesti MV</t>
  </si>
  <si>
    <t>P, 20.08.2017</t>
  </si>
  <si>
    <t>Eesti reiting, 4. Viru karikas</t>
  </si>
  <si>
    <t>(16. muruturniir), ÜKSIK</t>
  </si>
  <si>
    <t xml:space="preserve">Finaali pääsemiseks on vajalik osavõtt vähemalt 3st etapist. </t>
  </si>
  <si>
    <t>Finaal mängitakse kahe kaotuse süsteemis üksimängus.</t>
  </si>
  <si>
    <t>Kõik mängud algasid seisult 1:1</t>
  </si>
  <si>
    <t>1. voor</t>
  </si>
  <si>
    <t>2. voor</t>
  </si>
  <si>
    <t>3. voor</t>
  </si>
  <si>
    <t>4. voor</t>
  </si>
  <si>
    <t>5. voor</t>
  </si>
  <si>
    <t>2-1</t>
  </si>
  <si>
    <t>IV</t>
  </si>
  <si>
    <t>1-1</t>
  </si>
  <si>
    <t>Paremusjärjestus</t>
  </si>
  <si>
    <t>KV 1. etapp</t>
  </si>
  <si>
    <t>KV 2. etapp</t>
  </si>
  <si>
    <t>KV 3. etapp</t>
  </si>
  <si>
    <t>KV 4. etapp</t>
  </si>
  <si>
    <t>KV 5. etapp</t>
  </si>
  <si>
    <t>KV 6. etapp</t>
  </si>
  <si>
    <t>KV 7. etapp</t>
  </si>
  <si>
    <t>KV 8. etapp</t>
  </si>
  <si>
    <t>KV 9. etapp</t>
  </si>
  <si>
    <t>K, 07.06.2017</t>
  </si>
  <si>
    <t>K, 21.06.2017</t>
  </si>
  <si>
    <t>K, 05.07.2017</t>
  </si>
  <si>
    <t>K, 19.07.2017</t>
  </si>
  <si>
    <t>K, 02.08.2017</t>
  </si>
  <si>
    <t>K, 16.08.2017</t>
  </si>
  <si>
    <t>K, 06.09.2017</t>
  </si>
  <si>
    <t>P, 08.10.2017</t>
  </si>
  <si>
    <t>Võit - 2 punkti</t>
  </si>
  <si>
    <t>Viik - 1 punkt</t>
  </si>
  <si>
    <t>Kaotus - 0 punkti</t>
  </si>
  <si>
    <t>jrk</t>
  </si>
  <si>
    <t>Kokku</t>
  </si>
  <si>
    <t>Koht</t>
  </si>
  <si>
    <t>Viike</t>
  </si>
  <si>
    <t>ÜKSIK (kõik kõigiga)</t>
  </si>
  <si>
    <t>TUL</t>
  </si>
  <si>
    <t>Voka 24 tunni turniir</t>
  </si>
  <si>
    <t>gud (35+),SEGATRIO</t>
  </si>
  <si>
    <t>KV 10.etapp</t>
  </si>
  <si>
    <t>Arvesse läheb 9 võistlust 13st (3 üksikmängu (sh tulistamine) 5st + 3 duot 4st  + 3 triot 4st)</t>
  </si>
  <si>
    <t>KOKKU</t>
  </si>
  <si>
    <t>valem2</t>
  </si>
  <si>
    <t>Ivar Viljaste</t>
  </si>
  <si>
    <t>Janek Tarto</t>
  </si>
  <si>
    <t>Aarne Välja</t>
  </si>
  <si>
    <t>Ülo Piik</t>
  </si>
  <si>
    <t>Tõnu Piik</t>
  </si>
  <si>
    <t>Elmo Lageda</t>
  </si>
  <si>
    <t>Matti Vinni</t>
  </si>
  <si>
    <t>Jaan Sepp</t>
  </si>
  <si>
    <t>Kalle Orro</t>
  </si>
  <si>
    <t>Andres Veski</t>
  </si>
  <si>
    <t>Sirje Viljaste</t>
  </si>
  <si>
    <t>Oskar Sepp</t>
  </si>
  <si>
    <t>Mait Metsla</t>
  </si>
  <si>
    <t>Tõnu Kapper</t>
  </si>
  <si>
    <t>Andrei Grintšak</t>
  </si>
  <si>
    <t>Vladimir Ogneštšikov</t>
  </si>
  <si>
    <t>Svetlana Veski</t>
  </si>
  <si>
    <t>Kristo Viljaste</t>
  </si>
  <si>
    <t>Emil Murzajev</t>
  </si>
  <si>
    <t>Lemmit Toomra</t>
  </si>
  <si>
    <t>Boriss Klubov</t>
  </si>
  <si>
    <t>Karla Purgats</t>
  </si>
  <si>
    <t>Argo Sepp</t>
  </si>
  <si>
    <t>Aigi Orro</t>
  </si>
  <si>
    <t>Daniil Alekankin</t>
  </si>
  <si>
    <t>Enno Konsa</t>
  </si>
  <si>
    <t>Tõnis Anton</t>
  </si>
  <si>
    <t>Vello Vasser</t>
  </si>
  <si>
    <t>Oleg Rõndenkov</t>
  </si>
  <si>
    <t>Klavdia Piik</t>
  </si>
  <si>
    <t>Jaan Rooden</t>
  </si>
  <si>
    <t xml:space="preserve">Rasvases trükis on aasta uustulnuka tiitli kandidaadid (mängijad, kes pole kolmel eelmisel </t>
  </si>
  <si>
    <t>aastal mahtunud reitingus 30 parema hulka)</t>
  </si>
  <si>
    <t>Kaldkirjas on teiste maakondade mängijad</t>
  </si>
  <si>
    <t>Hugo Müüdla</t>
  </si>
  <si>
    <t>Artjom Kolkin</t>
  </si>
  <si>
    <t>IDA-VIRUMAA PETANGIREITING 2017</t>
  </si>
  <si>
    <t xml:space="preserve">2017 aasta uustulnukaks ei saa kandideerida: </t>
  </si>
  <si>
    <t>27. Eesti MV</t>
  </si>
  <si>
    <t>17. Eesti MV</t>
  </si>
  <si>
    <t>luste 2. etapp, TRIO</t>
  </si>
  <si>
    <t>luste finaal, TRIO</t>
  </si>
  <si>
    <t>Jrk</t>
  </si>
  <si>
    <t xml:space="preserve">Kui kahel või enamal mängijal on võrdselt punkte, siis saab parema koha see, kellel on rohkem võite. </t>
  </si>
  <si>
    <t xml:space="preserve">Kui ka võitude arv on võrdne, siis vaadatakse nende mängijate omavaheliste mängude suhet. </t>
  </si>
  <si>
    <t xml:space="preserve">Kui omavahel mängiti viiki, toimub nende vahel kordusmäng. </t>
  </si>
  <si>
    <t>Kolme etapi tulemused liidetakse kokku</t>
  </si>
  <si>
    <t>KOHTLA-JÄRVE 16. KARIKAVÕISTLUSED 2017</t>
  </si>
  <si>
    <t>Jõhvi 17. MV</t>
  </si>
  <si>
    <t>Jõhvi 15. MV</t>
  </si>
  <si>
    <t>K-Järve 16. MV</t>
  </si>
  <si>
    <t>K-Järve 18. MV</t>
  </si>
  <si>
    <t>2. etapp, DUO</t>
  </si>
  <si>
    <t>P, 07.05.2017</t>
  </si>
  <si>
    <t>P, 14.05.2017</t>
  </si>
  <si>
    <t>N, 25.05.2017</t>
  </si>
  <si>
    <t xml:space="preserve">võistkondlikud MV </t>
  </si>
  <si>
    <t>(35+), ÜKSIK</t>
  </si>
  <si>
    <t>TRIO (põhiklass, nais)</t>
  </si>
  <si>
    <t>(pliks-plaks), ÜKSIK</t>
  </si>
  <si>
    <t>N, 08.06.2017</t>
  </si>
  <si>
    <t>N, 15.06.2017</t>
  </si>
  <si>
    <t>P, 09.07.2017</t>
  </si>
  <si>
    <t>N, 13.07.2017</t>
  </si>
  <si>
    <t>N, 20.07.2017</t>
  </si>
  <si>
    <t>N, 10.08.2017</t>
  </si>
  <si>
    <t>N, 24.08.2017</t>
  </si>
  <si>
    <t>P, 10.09.2017</t>
  </si>
  <si>
    <t>P, 17.09.2017</t>
  </si>
  <si>
    <t>P, 24.09.2017</t>
  </si>
  <si>
    <t>K-Järve 16. KV 1. etapp</t>
  </si>
  <si>
    <t>K-Järve 16. KV 2. etapp</t>
  </si>
  <si>
    <t>Mäetaguse 8. KV 1. etapp</t>
  </si>
  <si>
    <t>K-Järve 16. KV 3. etapp</t>
  </si>
  <si>
    <t>Mäetaguse 8. KV 2. etapp</t>
  </si>
  <si>
    <t>Mäetaguse 8. KV 3. etapp</t>
  </si>
  <si>
    <t>Mäetaguse 8. KV 4. etapp</t>
  </si>
  <si>
    <t>Mäetaguse 8. KV 5. etapp</t>
  </si>
  <si>
    <t>Voka 4. KV 1. etapp</t>
  </si>
  <si>
    <t>Voka 4. KV 2. etapp</t>
  </si>
  <si>
    <t>Voka 4. KV 3. etapp</t>
  </si>
  <si>
    <t>Voka 4. KV 4. etapp</t>
  </si>
  <si>
    <t>Voka 4. KV 5. etapp</t>
  </si>
  <si>
    <t>Voka 4. KV 6. etapp</t>
  </si>
  <si>
    <t>Voka 4. KV 7. etapp</t>
  </si>
  <si>
    <t>Voka 4. KV 8. etapp</t>
  </si>
  <si>
    <t>Voka 4. KV 9. etapp</t>
  </si>
  <si>
    <t>Voka 4. KV 10. etapp</t>
  </si>
  <si>
    <t>50. ESVL Spordimän-</t>
  </si>
  <si>
    <t>20. EuroCup kvalifikatsioon, ÜKSIK, DUO, SEGADUO, TRIO, SEGATRIO</t>
  </si>
  <si>
    <t>luste 1. etapp, TRIO</t>
  </si>
  <si>
    <t>P, 15.10.2017</t>
  </si>
  <si>
    <t>L, 10.06.2017</t>
  </si>
  <si>
    <t>P, 11.06.2017</t>
  </si>
  <si>
    <t>28.Baltique Duppeli,</t>
  </si>
  <si>
    <t>E, 01.05.2017</t>
  </si>
  <si>
    <t xml:space="preserve">  </t>
  </si>
  <si>
    <t>R, 16.06.2017</t>
  </si>
  <si>
    <t>Toila valla MV (16. muruturniir)</t>
  </si>
  <si>
    <t>VK-KV</t>
  </si>
  <si>
    <t>A-puul</t>
  </si>
  <si>
    <t>1-4,2-3</t>
  </si>
  <si>
    <t>Võitjad</t>
  </si>
  <si>
    <t>Kaotajad</t>
  </si>
  <si>
    <t>K, 10.05.2017</t>
  </si>
  <si>
    <t>K, 24.05.2017</t>
  </si>
  <si>
    <t>3. etapp, ÜKSIK</t>
  </si>
  <si>
    <t>TRIO, DUO, ÜKSIK</t>
  </si>
  <si>
    <t>A</t>
  </si>
  <si>
    <t>V-K</t>
  </si>
  <si>
    <t>1-2</t>
  </si>
  <si>
    <t>III</t>
  </si>
  <si>
    <t>II</t>
  </si>
  <si>
    <t>3-0</t>
  </si>
  <si>
    <t>I</t>
  </si>
  <si>
    <t>0-3</t>
  </si>
  <si>
    <t>B</t>
  </si>
  <si>
    <t>C</t>
  </si>
  <si>
    <t>D</t>
  </si>
  <si>
    <t>-2</t>
  </si>
  <si>
    <t>+4</t>
  </si>
  <si>
    <t>1-4</t>
  </si>
  <si>
    <t>2-3</t>
  </si>
  <si>
    <t>1-3</t>
  </si>
  <si>
    <t>2-4</t>
  </si>
  <si>
    <t>3-4</t>
  </si>
  <si>
    <t>1 - 8 koht</t>
  </si>
  <si>
    <t>C1</t>
  </si>
  <si>
    <t>B2</t>
  </si>
  <si>
    <t>D1</t>
  </si>
  <si>
    <t>A2</t>
  </si>
  <si>
    <t>B1</t>
  </si>
  <si>
    <t>I koht</t>
  </si>
  <si>
    <t>D2</t>
  </si>
  <si>
    <t>II koht</t>
  </si>
  <si>
    <t>A1</t>
  </si>
  <si>
    <t>C2</t>
  </si>
  <si>
    <t>III koht</t>
  </si>
  <si>
    <t>4. koht</t>
  </si>
  <si>
    <t>5. koht</t>
  </si>
  <si>
    <t>6. koht</t>
  </si>
  <si>
    <t>7. koht</t>
  </si>
  <si>
    <t>8. koht</t>
  </si>
  <si>
    <t>9 - 16 koht</t>
  </si>
  <si>
    <t>C3</t>
  </si>
  <si>
    <t>B4</t>
  </si>
  <si>
    <t>D3</t>
  </si>
  <si>
    <t>B3</t>
  </si>
  <si>
    <t>9. koht</t>
  </si>
  <si>
    <t>10. koht</t>
  </si>
  <si>
    <t>A3</t>
  </si>
  <si>
    <t>-</t>
  </si>
  <si>
    <t>11. koht</t>
  </si>
  <si>
    <t>12. koht</t>
  </si>
  <si>
    <t>13. koht</t>
  </si>
  <si>
    <t>14. koht</t>
  </si>
  <si>
    <t>15. koht</t>
  </si>
  <si>
    <t>16. koht</t>
  </si>
  <si>
    <t>Ljudmila Varendi</t>
  </si>
  <si>
    <t>Viktor Švarõgin</t>
  </si>
  <si>
    <t>A4</t>
  </si>
  <si>
    <t>0-2</t>
  </si>
  <si>
    <t>2-0</t>
  </si>
  <si>
    <t>B-puul</t>
  </si>
  <si>
    <t>C-puul</t>
  </si>
  <si>
    <t>Aigi Orro, Elmo Lageda, Kalle Orro</t>
  </si>
  <si>
    <t>Johannes Neiland, Oksana Sažina, Oleg Rõndenkov</t>
  </si>
  <si>
    <t>Boriss Klubov, Ljudmila Varendi, Viktor Švarõgin</t>
  </si>
  <si>
    <t>Ivar Viljaste, Janek Tarto, Sirje Viljaste</t>
  </si>
  <si>
    <t>Argo Sepp, Jaan Sepp, Oskar Sepp</t>
  </si>
  <si>
    <t>Karla Purgats, Tõnu Kapper, Vladimir Ogneštšikov</t>
  </si>
  <si>
    <t>Klavdia Piik, Tõnu Piik, Ülo Piik</t>
  </si>
  <si>
    <t>Aarne Välja, Andres Veski, Svetlana Veski</t>
  </si>
  <si>
    <t>Heili Vasser, Matti Vinni, Vello Vasser</t>
  </si>
  <si>
    <t>9 - 12 koht</t>
  </si>
  <si>
    <t>Alina Andrejeva</t>
  </si>
  <si>
    <t>Heili Vasser</t>
  </si>
  <si>
    <t>Oksana Sažina</t>
  </si>
  <si>
    <t>Janek Tarto, Romek Tarto</t>
  </si>
  <si>
    <t>Elmo Lageda, Tõnu Piik</t>
  </si>
  <si>
    <t>Ljudmila Varendi, Viktor Švarõgin</t>
  </si>
  <si>
    <t>Oksana Sažina, Oleg Rõndenkov</t>
  </si>
  <si>
    <t>Illar Tõnurist, Jaan Saar</t>
  </si>
  <si>
    <t>Aigi Orro, Kalle Orro</t>
  </si>
  <si>
    <t>Tõnu Kapper, Vladimir Ogneštšikov</t>
  </si>
  <si>
    <t>3-8</t>
  </si>
  <si>
    <t>Johannes Neiland, Ülo Piik</t>
  </si>
  <si>
    <t>Enn Tokman, Tarmo Bombe</t>
  </si>
  <si>
    <t>10-11</t>
  </si>
  <si>
    <t>Henri Mitt, Mats Peetsalu</t>
  </si>
  <si>
    <t>Klavdia Piik, Väino Aul</t>
  </si>
  <si>
    <t>12-13</t>
  </si>
  <si>
    <t>Romek Tarto</t>
  </si>
  <si>
    <t>Illar Tõnurist</t>
  </si>
  <si>
    <t>Jaan Saar</t>
  </si>
  <si>
    <t>Meelis Luud</t>
  </si>
  <si>
    <t>Henri Mitt</t>
  </si>
  <si>
    <t>Mats Peetsalu</t>
  </si>
  <si>
    <t>Enn Tokman</t>
  </si>
  <si>
    <t>Tarmo Bombe</t>
  </si>
  <si>
    <t>Väino Aul</t>
  </si>
  <si>
    <t>Evely East</t>
  </si>
  <si>
    <t>Anton Detotšenko</t>
  </si>
  <si>
    <t>Anton Detotšenko, Evely East</t>
  </si>
  <si>
    <t>1-5</t>
  </si>
  <si>
    <t>4-5</t>
  </si>
  <si>
    <t>2-5</t>
  </si>
  <si>
    <t>3-5</t>
  </si>
  <si>
    <t>Jaan Sepp, Oskar Sepp</t>
  </si>
  <si>
    <t>Argo Sepp, Tõnu Piik</t>
  </si>
  <si>
    <t>Ivar Viljaste, Vladimir Ogneštšikov</t>
  </si>
  <si>
    <t>Aarne Välja, Janek Tarto</t>
  </si>
  <si>
    <t>Andres Veski, Svetlana Veski</t>
  </si>
  <si>
    <t>Mait Metsla, Matti Vinni</t>
  </si>
  <si>
    <t>Lemmit Toomra, Tõnu Kortel</t>
  </si>
  <si>
    <t>3-1</t>
  </si>
  <si>
    <t>2-2</t>
  </si>
  <si>
    <t>V</t>
  </si>
  <si>
    <t>Boriss Klubov, Elmo Lageda</t>
  </si>
  <si>
    <t>Tõnu Kortel</t>
  </si>
  <si>
    <t>Üld</t>
  </si>
  <si>
    <t>Mait Metsla, Ülo Piik</t>
  </si>
  <si>
    <t>Alar Peek, Vello Vasser</t>
  </si>
  <si>
    <t>Karla Purgats, Tõnu Kapper</t>
  </si>
  <si>
    <t>Klavdia Piik, Tõnu Piik</t>
  </si>
  <si>
    <t>Alar Peek</t>
  </si>
  <si>
    <t>Alagrupimängud ja poolfinaalid toimusid ajalimiidiga 40 minutit + 1 snadivise</t>
  </si>
  <si>
    <t>MÄETAGUSE 8. KARIKAVÕISTLUSED 2017</t>
  </si>
  <si>
    <t>VOKA 4. KARIKAVÕISTLUSED 2017</t>
  </si>
  <si>
    <t>ESVL Individuaal-</t>
  </si>
  <si>
    <t>Registr linnade ja</t>
  </si>
  <si>
    <t>valdade suvemängudeks</t>
  </si>
  <si>
    <t>Alina Alekankina</t>
  </si>
  <si>
    <t>Alina Alekankina, Andrei Grintšak, Daniil Alekankin</t>
  </si>
  <si>
    <t>Argo Sepp, Jaan Sepp</t>
  </si>
  <si>
    <t>Einar Juhkam, Jüri Mitt</t>
  </si>
  <si>
    <t>Andreas Astok, Joana Taalberg</t>
  </si>
  <si>
    <t>Henri Müür, Taavi Press</t>
  </si>
  <si>
    <t>Andrei Grintšak, Karla Purgats</t>
  </si>
  <si>
    <t>4-8</t>
  </si>
  <si>
    <t>9-10</t>
  </si>
  <si>
    <t>Jüri Mitt</t>
  </si>
  <si>
    <t>Einar Juhkam</t>
  </si>
  <si>
    <t>Andreas Astok</t>
  </si>
  <si>
    <t>Joana Taalberg</t>
  </si>
  <si>
    <t>Henri Müür</t>
  </si>
  <si>
    <t>Taavi Press</t>
  </si>
  <si>
    <t>:</t>
  </si>
  <si>
    <t>Rasvases trükis on kohalikud mängijad</t>
  </si>
  <si>
    <t>Urmas Randlaine</t>
  </si>
  <si>
    <t>Meelis Luud, Urmas Randlaine</t>
  </si>
  <si>
    <t>k</t>
  </si>
  <si>
    <t>Koh</t>
  </si>
  <si>
    <t/>
  </si>
  <si>
    <t>Baltic Cup 3. etapp, TRIO</t>
  </si>
  <si>
    <t>1 - 4 koht</t>
  </si>
  <si>
    <t>E1</t>
  </si>
  <si>
    <t>F2</t>
  </si>
  <si>
    <t>F1</t>
  </si>
  <si>
    <t>E2</t>
  </si>
  <si>
    <t>5 - 8 koht</t>
  </si>
  <si>
    <t>13 - 18 koht</t>
  </si>
  <si>
    <t>D-puul</t>
  </si>
  <si>
    <t>E-puul</t>
  </si>
  <si>
    <t>F-puul</t>
  </si>
  <si>
    <t>17. koht</t>
  </si>
  <si>
    <t>18. koht</t>
  </si>
  <si>
    <t>E3</t>
  </si>
  <si>
    <t>F3</t>
  </si>
  <si>
    <t>L, 01.07.2017</t>
  </si>
  <si>
    <t>EELVOOR</t>
  </si>
  <si>
    <t>POOLFINAALID</t>
  </si>
  <si>
    <t>PRONKSIMÄNG</t>
  </si>
  <si>
    <t>FINAAL</t>
  </si>
  <si>
    <t>10:30</t>
  </si>
  <si>
    <t>Pliks plaks 101 (kõik-kõigiga)</t>
  </si>
  <si>
    <t>Matti Vinni, Vello Vasser</t>
  </si>
  <si>
    <t>Johannes Neiland, Karla Purgats</t>
  </si>
  <si>
    <t>4-7</t>
  </si>
  <si>
    <t>Henri Müür, Oleg Rõndenkov</t>
  </si>
  <si>
    <t>Henri Mitt, Melika Lehtla</t>
  </si>
  <si>
    <t>Melika Lehtla</t>
  </si>
  <si>
    <t>Illar Tõnurist, Jüri Mitt</t>
  </si>
  <si>
    <t>13-14</t>
  </si>
  <si>
    <t>Illar Tõnurist, Jüri MittMitt</t>
  </si>
  <si>
    <r>
      <t>Koht</t>
    </r>
    <r>
      <rPr>
        <sz val="10"/>
        <color indexed="8"/>
        <rFont val="Arial"/>
        <family val="2"/>
        <charset val="186"/>
      </rPr>
      <t>/edasi</t>
    </r>
  </si>
  <si>
    <t>Anna Romanenko</t>
  </si>
  <si>
    <t>Meelid Luud</t>
  </si>
  <si>
    <t>Toomas Tedrekull</t>
  </si>
  <si>
    <t>Normunds Brinkis (Läti)</t>
  </si>
  <si>
    <t>Kenneth Muusikus</t>
  </si>
  <si>
    <t>Endrik Ferschel</t>
  </si>
  <si>
    <t>Naised</t>
  </si>
  <si>
    <t>Noored</t>
  </si>
  <si>
    <t>Kohalikud</t>
  </si>
  <si>
    <t>0,5-3,5</t>
  </si>
  <si>
    <t>1,5-2,5</t>
  </si>
  <si>
    <t>Andres Veski, Mait Metsla, Svetlana Veski</t>
  </si>
  <si>
    <t>Mängud toimusid ajalimiidiga 45 minutit + 1 snadivise (mängud võisid ka viiki jääda)</t>
  </si>
  <si>
    <t>4-2</t>
  </si>
  <si>
    <t>5-3</t>
  </si>
  <si>
    <t>Mikk Mehide</t>
  </si>
  <si>
    <t>Jüri Mironjuk</t>
  </si>
  <si>
    <t>Mikk Neem</t>
  </si>
  <si>
    <t>Jevgeni Korikov</t>
  </si>
  <si>
    <t>Mäng</t>
  </si>
  <si>
    <t>Algus</t>
  </si>
  <si>
    <t>Punased</t>
  </si>
  <si>
    <t>Punkte</t>
  </si>
  <si>
    <t>Kollased</t>
  </si>
  <si>
    <t>LÕPP</t>
  </si>
  <si>
    <t>Aulis Paal</t>
  </si>
  <si>
    <t>Henri Mitt &gt; Andres Veski</t>
  </si>
  <si>
    <t>Meelis Luud &gt; Jüri Mitt</t>
  </si>
  <si>
    <t>Ljudmila Varendi &gt; Meelis Luud</t>
  </si>
  <si>
    <t>Andres Veski &gt; Henri Mitt</t>
  </si>
  <si>
    <t>Aulis Paal &gt; Andres Veski</t>
  </si>
  <si>
    <t>Jüri Mitt &gt; Viktor Švarõgin</t>
  </si>
  <si>
    <t>Andres Veski &gt; Urmas Randlaine</t>
  </si>
  <si>
    <t>Aulis Paal &gt; Henri Müür</t>
  </si>
  <si>
    <t>Henri Müür &gt; Kenneth Muusikus</t>
  </si>
  <si>
    <t>Urmas Randlaine &gt; Henri Mitt</t>
  </si>
  <si>
    <t>Kenneth Muusikus &gt; Henri Müür</t>
  </si>
  <si>
    <t>Henri Müür &gt; Urmas Randlaine</t>
  </si>
  <si>
    <t>Henri Mitt &gt; Henri Müür</t>
  </si>
  <si>
    <t>Einar Juhkam &gt; Mikk Neem</t>
  </si>
  <si>
    <t>Mikk Neem &gt; Einar Juhkam</t>
  </si>
  <si>
    <t>Enn Tokman &gt; Oksana Sažina</t>
  </si>
  <si>
    <t>Urmas Randlaine &gt; Kenneth Muusikus</t>
  </si>
  <si>
    <t>Oksana Sažina &gt; Oleg Rõndenkov</t>
  </si>
  <si>
    <t>Einar Juhkam &gt; Meelis Luud</t>
  </si>
  <si>
    <t>Meelis Luud &gt; Oksana Sažina</t>
  </si>
  <si>
    <t>Jüri Neem &gt; Meelis Luud</t>
  </si>
  <si>
    <t>Illar Tõnurist &gt; Henri Mitt</t>
  </si>
  <si>
    <t>Meelis Luud &gt; Viktor Švarõgin</t>
  </si>
  <si>
    <t>Henri Müür &gt; Henri Mitt</t>
  </si>
  <si>
    <t>Illar Tõnurist &gt; Urmas randlaine</t>
  </si>
  <si>
    <t>Urmas Randlaine &gt; Henri Müür</t>
  </si>
  <si>
    <t>Henri Müür &gt; Ülo Piik</t>
  </si>
  <si>
    <t>Henri Mitt &gt; Kenneth Muusikus</t>
  </si>
  <si>
    <t>Kenneth Muusikus &gt; Urmas Randlaine</t>
  </si>
  <si>
    <t>Einar Juhkam &gt; Oleg Rõndenkov</t>
  </si>
  <si>
    <t>Enn Tokman &gt; Ljudmila Varendi</t>
  </si>
  <si>
    <t>Kenneth Muusikus &gt; Henri Mitt</t>
  </si>
  <si>
    <t>Henri Mitt &gt; Urmas Randlaine</t>
  </si>
  <si>
    <t>Ülo Piik &gt; Henri Mitt</t>
  </si>
  <si>
    <t>Daavi Unus</t>
  </si>
  <si>
    <t>Võite:</t>
  </si>
  <si>
    <t xml:space="preserve">Lõpus vahetusi enam kirja ei pandud, sest kõik olid oma normi täitnud </t>
  </si>
  <si>
    <r>
      <t>Mängudes toimunud vahetused</t>
    </r>
    <r>
      <rPr>
        <sz val="10"/>
        <color theme="1"/>
        <rFont val="Arial"/>
        <family val="2"/>
        <charset val="186"/>
      </rPr>
      <t xml:space="preserve"> (mänguhoos jäi mõnigi vahetus kirja panemata)</t>
    </r>
  </si>
  <si>
    <t xml:space="preserve">Kui see on võrdne, siis saab parema koha see, kellel on rohkem võite. </t>
  </si>
  <si>
    <t xml:space="preserve">Kui kahel või enamal mängijal on võrdselt punkte, siis vaadatakse nende omavaheliste mängude suhet. </t>
  </si>
  <si>
    <t>Toimumisaeg: L, 17.06.2017 kell 11:30</t>
  </si>
  <si>
    <t>Punased särgid:</t>
  </si>
  <si>
    <t>Kollased särgid:</t>
  </si>
  <si>
    <t>Aleksander Korikov</t>
  </si>
  <si>
    <t>Ringo Krilovs</t>
  </si>
  <si>
    <t>Kristiin-Marleen Neiland</t>
  </si>
  <si>
    <t>Mängud toimusid ajalimiidiga 45 minutit + 1 snadivise</t>
  </si>
  <si>
    <t>ja osa mängijaid vahetus iga 2-3 vooru järel</t>
  </si>
  <si>
    <t>Johannes Neiland, Oleg Rõndenkov</t>
  </si>
  <si>
    <t>Andrei Grintšak, Emil Murzajev</t>
  </si>
  <si>
    <t>Karla Purgats, Mikk Neem</t>
  </si>
  <si>
    <t>Alina Alekankina, Daniil Alekankin</t>
  </si>
  <si>
    <t>Einar Juhkam, Illar Tõnurist</t>
  </si>
  <si>
    <t>Henri Müür, Kenneth Muusikus</t>
  </si>
  <si>
    <t>Anna Romanenko, Svetlana Veski</t>
  </si>
  <si>
    <t>Mängud toimusid ajalimiidiga 40 minutit + 1 snadivise (mängud võisid ka viiki jääda)</t>
  </si>
  <si>
    <t>Antonina Maksimova</t>
  </si>
  <si>
    <t>Rene Kundla</t>
  </si>
  <si>
    <t>German Terehhov</t>
  </si>
  <si>
    <t>Vello Luud</t>
  </si>
  <si>
    <t>1-6</t>
  </si>
  <si>
    <t>3-6</t>
  </si>
  <si>
    <t>5-6</t>
  </si>
  <si>
    <t>2-6</t>
  </si>
  <si>
    <t>4-6</t>
  </si>
  <si>
    <t>Ljudmila Švarõgina</t>
  </si>
  <si>
    <t>Üldarvestus</t>
  </si>
  <si>
    <t>Jan-Martin Neiland</t>
  </si>
  <si>
    <t>Juuniorid</t>
  </si>
  <si>
    <t>Punktid</t>
  </si>
  <si>
    <t>Johannes Neiland, Rainer Schmidt</t>
  </si>
  <si>
    <t>7-8</t>
  </si>
  <si>
    <t>Andres Veski, Illar Tõnurist</t>
  </si>
  <si>
    <t>Karla Purgats, Lemmit Toomra</t>
  </si>
  <si>
    <t>Mait Metsla, Vladimir Ogneštšikov</t>
  </si>
  <si>
    <t>Boriss Klubov, Tõnu Kapper</t>
  </si>
  <si>
    <t>Antonina Maksimova, Sten Kunts</t>
  </si>
  <si>
    <t>Gunnar Kõue</t>
  </si>
  <si>
    <t>Anneli Mänd, Gunnar Kõue</t>
  </si>
  <si>
    <t>Kärt Plakk, Martin Plakk</t>
  </si>
  <si>
    <t>Rainer Schmidt</t>
  </si>
  <si>
    <t>Sten Kunts</t>
  </si>
  <si>
    <t>Anneli Mänd</t>
  </si>
  <si>
    <t>Kärt Plakk</t>
  </si>
  <si>
    <t>Martin Plakk</t>
  </si>
  <si>
    <t>Kohal</t>
  </si>
  <si>
    <t>Andrei Grintšak, German Adamson</t>
  </si>
  <si>
    <t>3-2</t>
  </si>
  <si>
    <t>2,5-2,5</t>
  </si>
  <si>
    <t>3,5</t>
  </si>
  <si>
    <t>VI</t>
  </si>
  <si>
    <t>German Adamson</t>
  </si>
  <si>
    <t>Johannes Neiland, Ljudmila Varendi, Viktor Švarõgin</t>
  </si>
  <si>
    <t>Aarne Välja, Lemmit Toomra, Svetlana Veski</t>
  </si>
  <si>
    <t>Mait Metsla, Matti Vinni, Vello Vasser</t>
  </si>
  <si>
    <t>Ivar Viljaste, Janek Tarto, Kristo Viljaste</t>
  </si>
  <si>
    <t>Andrei Grintšak, Boriss Klubov, Elmo Lageda</t>
  </si>
  <si>
    <t>Anne Sillamaa, Vallo Sillamaa, Vello Sillasoo</t>
  </si>
  <si>
    <t>Enn Tokman, Tarmo Bombe, Tõnu Piik</t>
  </si>
  <si>
    <t>1 - 6 koht</t>
  </si>
  <si>
    <t>7 - 9 koht</t>
  </si>
  <si>
    <t>Vello Sillasoo</t>
  </si>
  <si>
    <t>Vallo Sillamaa</t>
  </si>
  <si>
    <t>(puulid) DUO</t>
  </si>
  <si>
    <t>(karikas) DUO</t>
  </si>
  <si>
    <t>Ida-Virumaa MV (puulid)</t>
  </si>
  <si>
    <t>Ida-Virumaa MV (karikas)</t>
  </si>
  <si>
    <t>7 - 10 koht</t>
  </si>
  <si>
    <t>9 - 15 koht</t>
  </si>
  <si>
    <t>Tõnu Piik, Ülo Piik</t>
  </si>
  <si>
    <t>Enn Tokman, Illar Tõnurist</t>
  </si>
  <si>
    <t>Ivar Viljaste, Kristo Viljaste</t>
  </si>
  <si>
    <t>Argo Sepp, Einar Juhkam</t>
  </si>
  <si>
    <t>Henri Mitt, Väino Aul</t>
  </si>
  <si>
    <t>13-15</t>
  </si>
  <si>
    <t>13.-15. koht</t>
  </si>
  <si>
    <t>6-7</t>
  </si>
  <si>
    <t>Johannes Neiland, Väino Aul</t>
  </si>
  <si>
    <t>Einar Juhkam, Kenneth Muusikus</t>
  </si>
  <si>
    <t>14-15</t>
  </si>
  <si>
    <t>N, 17.08.2017</t>
  </si>
  <si>
    <t>Kõik mängud toimusid ajalimiidiga 35 minutit + 1 snadivise</t>
  </si>
  <si>
    <t>C4</t>
  </si>
  <si>
    <t>Elmo Lageda, Tõnu Kapper</t>
  </si>
  <si>
    <t>Johannes Neiland, Mait Metsla</t>
  </si>
  <si>
    <t>?</t>
  </si>
  <si>
    <t>Boriss Klubov, Mait Metsla</t>
  </si>
  <si>
    <t>Daavi Unus, Urmas Randlaine</t>
  </si>
  <si>
    <t>Jaan Saar, Meelis Luud</t>
  </si>
  <si>
    <t>Gert Müil, Tõnu Kapper</t>
  </si>
  <si>
    <t>Illar Tõnurist, Kati Tuzberg</t>
  </si>
  <si>
    <t>Gert Müil</t>
  </si>
  <si>
    <t>Kati Tuzberg</t>
  </si>
  <si>
    <t>Segatrio</t>
  </si>
  <si>
    <t>L, 23.09.2017</t>
  </si>
  <si>
    <t>13 - 19 koht</t>
  </si>
  <si>
    <t>19. koht</t>
  </si>
  <si>
    <t>Argo Sepp, Jaan Sepp, Mait Metsla, Oskar Sepp</t>
  </si>
  <si>
    <t>Ivar Viljaste, Janek Tarto, Matti Vinni</t>
  </si>
  <si>
    <t>Aigi Orro, Kalle Orro, Tõnu Piik</t>
  </si>
  <si>
    <t>Karla Purgats, Lemmit Toomra, Tõnu Kapper</t>
  </si>
  <si>
    <t>L, 30.09.2017</t>
  </si>
  <si>
    <t>Seisuga 10.09.2017</t>
  </si>
  <si>
    <t>Johannes Neiland, Urmas Jõeäär</t>
  </si>
  <si>
    <t>5-8</t>
  </si>
  <si>
    <t>12-14</t>
  </si>
  <si>
    <t>Einar Juhkam, Tarmo Bombe</t>
  </si>
  <si>
    <t>Urmas Jõeäär</t>
  </si>
  <si>
    <t>Sergei Plotnikov</t>
  </si>
  <si>
    <t>Oleg Rõndenkov, Janek Tarto</t>
  </si>
  <si>
    <t>Andres Veski, Andrei Grintšak</t>
  </si>
  <si>
    <t>Boriss Klubov, Elmo Lageda, Johannes Neiland</t>
  </si>
  <si>
    <t>Tõnu Piik, Väino Aul, Ülo Piik</t>
  </si>
  <si>
    <t>Einar Juhkam, Enn Tokman, Illar Tõnurist, Melika Lehtla</t>
  </si>
  <si>
    <t>Jaan Sepp, Mait Metsla, Oskar Sepp</t>
  </si>
  <si>
    <t>Aarne Välja, Andres Veski, Janek Tarto, Tarmo Bombe</t>
  </si>
  <si>
    <t>Henri Mitt, Meelis Luud, Urmas Randlaine</t>
  </si>
  <si>
    <t>Ivar Viljaste, Matti Vinni, Vello Vasser</t>
  </si>
  <si>
    <t>Andrei Grintšak, Daniil Alekankin, Karla Purgats</t>
  </si>
  <si>
    <t>Marta Bernat</t>
  </si>
  <si>
    <t>Ljudmila Varendi, Marta Bernat, Viktor Švarõgin</t>
  </si>
  <si>
    <t>+3</t>
  </si>
  <si>
    <t>-1</t>
  </si>
  <si>
    <t>Aleksandr Tipakov</t>
  </si>
  <si>
    <t>Aleksandr Tipakov, Sergei Plotnikov</t>
  </si>
  <si>
    <t>võistlus jätkus 20.07.2017 kell 18:00</t>
  </si>
  <si>
    <t>5 - 7 koht</t>
  </si>
  <si>
    <t>Mait Metsla, Tõnu Piik</t>
  </si>
  <si>
    <t>Andres Veski, Tõnis Anton</t>
  </si>
  <si>
    <t>Ivar Viljaste, Matti Vinni</t>
  </si>
  <si>
    <t>Taavi Toomel, Tõnu Piik, Ülo Piik</t>
  </si>
  <si>
    <t>Anna Romanenko, Rutt Voldek, Tarmo Müür</t>
  </si>
  <si>
    <t>Taavi Toomel</t>
  </si>
  <si>
    <t>Rutt Voldek</t>
  </si>
  <si>
    <t>Tarmo Müür</t>
  </si>
  <si>
    <t>4-0</t>
  </si>
  <si>
    <t>+6</t>
  </si>
  <si>
    <t>+5</t>
  </si>
  <si>
    <t>-11</t>
  </si>
  <si>
    <t>9 - 10 koht</t>
  </si>
  <si>
    <t>E4</t>
  </si>
  <si>
    <t>Marta Bernat, Väino Aul</t>
  </si>
  <si>
    <t>Kenneth Muusikus, Urmas Randlaine</t>
  </si>
  <si>
    <t>Aarne Välja, Andres Veski</t>
  </si>
  <si>
    <t>Henri Mitt, Tõnu Piik</t>
  </si>
  <si>
    <t>Einar Juhkam, Johannes Neiland, Urmas Jõeäär</t>
  </si>
  <si>
    <t>edasi/</t>
  </si>
  <si>
    <t>/koht</t>
  </si>
  <si>
    <t>Plussring</t>
  </si>
  <si>
    <t>Miinusring</t>
  </si>
  <si>
    <t xml:space="preserve">III </t>
  </si>
  <si>
    <t>13 - 16 koht</t>
  </si>
  <si>
    <r>
      <t xml:space="preserve">II </t>
    </r>
    <r>
      <rPr>
        <b/>
        <sz val="10"/>
        <color theme="9" tint="-0.249977111117893"/>
        <rFont val="Arial"/>
        <family val="2"/>
        <charset val="186"/>
      </rPr>
      <t>/ 766</t>
    </r>
  </si>
  <si>
    <t>21. koht</t>
  </si>
  <si>
    <t>22. koht</t>
  </si>
  <si>
    <t>23. koht</t>
  </si>
  <si>
    <t>24. koht</t>
  </si>
  <si>
    <t>25. koht</t>
  </si>
  <si>
    <t>26. koht</t>
  </si>
  <si>
    <t>27. koht</t>
  </si>
  <si>
    <t>29. koht</t>
  </si>
  <si>
    <t>30. koht</t>
  </si>
  <si>
    <t>31. koht</t>
  </si>
  <si>
    <t>esimene kaotus,</t>
  </si>
  <si>
    <t>toimub lisamäng</t>
  </si>
  <si>
    <t>finaali</t>
  </si>
  <si>
    <t>6-0</t>
  </si>
  <si>
    <t>0-4</t>
  </si>
  <si>
    <t>0-5</t>
  </si>
  <si>
    <t>0-0</t>
  </si>
  <si>
    <t>5-0</t>
  </si>
  <si>
    <t>3-3</t>
  </si>
  <si>
    <t>1-0</t>
  </si>
  <si>
    <t>0-6</t>
  </si>
  <si>
    <t>0-1</t>
  </si>
  <si>
    <t>Võrdsete punktide korral vaadatakse omavahelisi mänge, kui need on viigis, siis võitude arvu</t>
  </si>
  <si>
    <t>25 - 32 koht</t>
  </si>
  <si>
    <t>17 - 24 koht</t>
  </si>
  <si>
    <t>13-16</t>
  </si>
  <si>
    <t>17-24</t>
  </si>
  <si>
    <t>9-12</t>
  </si>
  <si>
    <t>kui see on</t>
  </si>
  <si>
    <t>kummalgi mängijal</t>
  </si>
  <si>
    <t>Kohalike paremusjärjestus</t>
  </si>
  <si>
    <t>Kaotaja langeb miinusringi</t>
  </si>
  <si>
    <r>
      <rPr>
        <u/>
        <sz val="10"/>
        <color rgb="FF00B050"/>
        <rFont val="Arial"/>
        <family val="2"/>
        <charset val="186"/>
      </rPr>
      <t xml:space="preserve">Kaotaja langeb:    </t>
    </r>
    <r>
      <rPr>
        <b/>
        <u/>
        <sz val="10"/>
        <color rgb="FF00B050"/>
        <rFont val="Arial"/>
        <family val="2"/>
        <charset val="186"/>
      </rPr>
      <t>25-32</t>
    </r>
  </si>
  <si>
    <t>Eesti reitingus läheb arvesse 10 võistlust 12st  (5 reitinguvõistlust 6st + 5 Eesti MV-d 6st) + sisereiting</t>
  </si>
  <si>
    <t>Seisuga 25.10.2017</t>
  </si>
  <si>
    <t>5. Meeste EM, TRIO, TUL ja 7. U23 EM, TRIO</t>
  </si>
  <si>
    <t xml:space="preserve">  4. Veteranide (55+) EM, TRIO</t>
  </si>
  <si>
    <t>16. Juunioride MM, TRIO, TUL</t>
  </si>
  <si>
    <t>16. Naiste MM, TRIO, TUL</t>
  </si>
  <si>
    <t>K-Järve KV</t>
  </si>
  <si>
    <t>Ida-Viru MV</t>
  </si>
  <si>
    <t>Jõhvi MV</t>
  </si>
  <si>
    <t>K-Järve MV</t>
  </si>
  <si>
    <t>Voka 4. KV superfinaal</t>
  </si>
  <si>
    <t>Anne Sillamaa</t>
  </si>
  <si>
    <t xml:space="preserve">Klubide karikas lükati </t>
  </si>
  <si>
    <t>järgmisse aastasse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</si>
</sst>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mmm\ yyyy"/>
    <numFmt numFmtId="165" formatCode="#,##0\ [$€-1]"/>
    <numFmt numFmtId="166" formatCode="0;\-0;;@"/>
    <numFmt numFmtId="167" formatCode="0.000000000000000000000000000000"/>
    <numFmt numFmtId="168" formatCode="dd/mm/yy"/>
    <numFmt numFmtId="169" formatCode="0.00_ ;\-0.00\ "/>
    <numFmt numFmtId="170" formatCode="0.0000000000000000_ ;\-0.0000000000000000\ "/>
    <numFmt numFmtId="171" formatCode="d/m/yy"/>
    <numFmt numFmtId="172" formatCode="#&quot; €&quot;"/>
    <numFmt numFmtId="173" formatCode="0.00000000000000000_ ;\-0.00000000000000000\ "/>
  </numFmts>
  <fonts count="74" x14ac:knownFonts="1">
    <font>
      <sz val="10"/>
      <color theme="1"/>
      <name val="Arial"/>
      <family val="2"/>
      <charset val="186"/>
    </font>
    <font>
      <sz val="10"/>
      <color theme="1"/>
      <name val="Arial"/>
      <family val="2"/>
      <charset val="186"/>
    </font>
    <font>
      <b/>
      <sz val="10"/>
      <color theme="0"/>
      <name val="Arial"/>
      <family val="2"/>
      <charset val="186"/>
    </font>
    <font>
      <sz val="10"/>
      <color rgb="FFFF0000"/>
      <name val="Arial"/>
      <family val="2"/>
      <charset val="186"/>
    </font>
    <font>
      <b/>
      <sz val="10"/>
      <color theme="1"/>
      <name val="Arial"/>
      <family val="2"/>
      <charset val="186"/>
    </font>
    <font>
      <sz val="11"/>
      <color theme="1"/>
      <name val="Calibri"/>
      <family val="2"/>
      <charset val="186"/>
      <scheme val="minor"/>
    </font>
    <font>
      <sz val="10"/>
      <color rgb="FF000000"/>
      <name val="Times New Roman"/>
      <family val="1"/>
      <charset val="186"/>
    </font>
    <font>
      <u/>
      <sz val="10"/>
      <color theme="10"/>
      <name val="Arial"/>
      <family val="2"/>
      <charset val="186"/>
    </font>
    <font>
      <u/>
      <sz val="10"/>
      <color theme="1"/>
      <name val="Arial"/>
      <family val="2"/>
      <charset val="186"/>
    </font>
    <font>
      <i/>
      <u/>
      <sz val="10"/>
      <color theme="10"/>
      <name val="Arial"/>
      <family val="2"/>
      <charset val="186"/>
    </font>
    <font>
      <u/>
      <sz val="11"/>
      <color theme="10"/>
      <name val="Calibri"/>
      <family val="2"/>
      <charset val="186"/>
      <scheme val="minor"/>
    </font>
    <font>
      <b/>
      <sz val="10"/>
      <color indexed="8"/>
      <name val="Arial"/>
      <family val="2"/>
      <charset val="186"/>
    </font>
    <font>
      <sz val="10"/>
      <name val="Arial"/>
      <family val="2"/>
      <charset val="204"/>
    </font>
    <font>
      <b/>
      <sz val="8"/>
      <color indexed="81"/>
      <name val="Tahoma"/>
      <family val="2"/>
      <charset val="186"/>
    </font>
    <font>
      <u/>
      <sz val="10"/>
      <color theme="10"/>
      <name val="Times New Roman"/>
      <family val="1"/>
      <charset val="186"/>
    </font>
    <font>
      <sz val="10"/>
      <color rgb="FF000000"/>
      <name val="Arial"/>
      <family val="2"/>
      <charset val="186"/>
    </font>
    <font>
      <sz val="10"/>
      <color indexed="8"/>
      <name val="Times New Roman"/>
      <family val="1"/>
      <charset val="186"/>
    </font>
    <font>
      <sz val="10"/>
      <name val="Arial"/>
      <family val="2"/>
      <charset val="186"/>
    </font>
    <font>
      <sz val="11"/>
      <color theme="1"/>
      <name val="Calibri"/>
      <family val="2"/>
      <scheme val="minor"/>
    </font>
    <font>
      <sz val="11"/>
      <color indexed="8"/>
      <name val="Calibri"/>
      <family val="2"/>
      <charset val="186"/>
    </font>
    <font>
      <sz val="11"/>
      <color rgb="FF000000"/>
      <name val="Calibri"/>
      <family val="2"/>
      <scheme val="minor"/>
    </font>
    <font>
      <sz val="8"/>
      <color indexed="8"/>
      <name val="Arial Narrow"/>
      <family val="2"/>
    </font>
    <font>
      <i/>
      <u/>
      <sz val="10"/>
      <color theme="1"/>
      <name val="Arial"/>
      <family val="2"/>
      <charset val="186"/>
    </font>
    <font>
      <i/>
      <sz val="10"/>
      <color theme="8" tint="0.39997558519241921"/>
      <name val="Arial"/>
      <family val="2"/>
      <charset val="186"/>
    </font>
    <font>
      <i/>
      <u/>
      <sz val="10"/>
      <color theme="8" tint="0.39997558519241921"/>
      <name val="Arial"/>
      <family val="2"/>
      <charset val="186"/>
    </font>
    <font>
      <i/>
      <sz val="9"/>
      <color theme="8" tint="0.39997558519241921"/>
      <name val="Arial"/>
      <family val="2"/>
      <charset val="186"/>
    </font>
    <font>
      <i/>
      <sz val="10"/>
      <color theme="1"/>
      <name val="Arial"/>
      <family val="2"/>
      <charset val="186"/>
    </font>
    <font>
      <i/>
      <sz val="10"/>
      <color theme="8" tint="0.79998168889431442"/>
      <name val="Arial"/>
      <family val="2"/>
      <charset val="186"/>
    </font>
    <font>
      <sz val="10"/>
      <color theme="8" tint="0.79998168889431442"/>
      <name val="Arial"/>
      <family val="2"/>
      <charset val="186"/>
    </font>
    <font>
      <i/>
      <sz val="10"/>
      <color theme="8" tint="-0.249977111117893"/>
      <name val="Arial"/>
      <family val="2"/>
      <charset val="186"/>
    </font>
    <font>
      <i/>
      <u/>
      <sz val="10"/>
      <color rgb="FF0000FF"/>
      <name val="Arial"/>
      <family val="2"/>
      <charset val="186"/>
    </font>
    <font>
      <b/>
      <u/>
      <sz val="10"/>
      <color theme="1"/>
      <name val="Arial"/>
      <family val="2"/>
      <charset val="186"/>
    </font>
    <font>
      <sz val="10"/>
      <color rgb="FF0000FF"/>
      <name val="Arial"/>
      <family val="2"/>
      <charset val="186"/>
    </font>
    <font>
      <b/>
      <u/>
      <sz val="10"/>
      <color rgb="FF0000FF"/>
      <name val="Arial"/>
      <family val="2"/>
      <charset val="186"/>
    </font>
    <font>
      <u/>
      <sz val="10"/>
      <color rgb="FF0000FF"/>
      <name val="Arial"/>
      <family val="2"/>
      <charset val="186"/>
    </font>
    <font>
      <sz val="10"/>
      <color rgb="FFCC0000"/>
      <name val="Arial"/>
      <family val="2"/>
      <charset val="186"/>
    </font>
    <font>
      <sz val="10"/>
      <color theme="0" tint="-0.34998626667073579"/>
      <name val="Arial"/>
      <family val="2"/>
      <charset val="186"/>
    </font>
    <font>
      <b/>
      <sz val="10"/>
      <color rgb="FF0070C0"/>
      <name val="Arial"/>
      <family val="2"/>
      <charset val="186"/>
    </font>
    <font>
      <b/>
      <sz val="10"/>
      <color rgb="FFCC0000"/>
      <name val="Arial"/>
      <family val="2"/>
      <charset val="186"/>
    </font>
    <font>
      <b/>
      <sz val="10"/>
      <color rgb="FF00B050"/>
      <name val="Arial"/>
      <family val="2"/>
      <charset val="186"/>
    </font>
    <font>
      <b/>
      <sz val="10"/>
      <color theme="1"/>
      <name val="Calibri"/>
      <family val="2"/>
      <charset val="186"/>
      <scheme val="minor"/>
    </font>
    <font>
      <sz val="10"/>
      <color rgb="FF0070C0"/>
      <name val="Arial"/>
      <family val="2"/>
      <charset val="186"/>
    </font>
    <font>
      <b/>
      <sz val="9"/>
      <color theme="1"/>
      <name val="Arial"/>
      <family val="2"/>
      <charset val="186"/>
    </font>
    <font>
      <b/>
      <sz val="10"/>
      <name val="Arial"/>
      <family val="2"/>
      <charset val="186"/>
    </font>
    <font>
      <i/>
      <sz val="10"/>
      <name val="Arial"/>
      <family val="2"/>
      <charset val="186"/>
    </font>
    <font>
      <b/>
      <u/>
      <sz val="10"/>
      <name val="Arial"/>
      <family val="2"/>
      <charset val="186"/>
    </font>
    <font>
      <b/>
      <u/>
      <sz val="10"/>
      <color theme="10"/>
      <name val="Arial"/>
      <family val="2"/>
      <charset val="186"/>
    </font>
    <font>
      <sz val="10"/>
      <color indexed="81"/>
      <name val="Arial"/>
      <family val="2"/>
      <charset val="186"/>
    </font>
    <font>
      <i/>
      <sz val="7"/>
      <color theme="8" tint="0.39997558519241921"/>
      <name val="Arial"/>
      <family val="2"/>
      <charset val="186"/>
    </font>
    <font>
      <b/>
      <i/>
      <sz val="10"/>
      <color theme="8" tint="0.39997558519241921"/>
      <name val="Arial"/>
      <family val="2"/>
      <charset val="186"/>
    </font>
    <font>
      <strike/>
      <sz val="10"/>
      <color rgb="FF00B0F0"/>
      <name val="Arial"/>
      <family val="2"/>
      <charset val="186"/>
    </font>
    <font>
      <sz val="10"/>
      <color theme="0"/>
      <name val="Arial"/>
      <family val="2"/>
      <charset val="186"/>
    </font>
    <font>
      <i/>
      <u/>
      <sz val="10"/>
      <color theme="0" tint="-0.34998626667073579"/>
      <name val="Arial"/>
      <family val="2"/>
      <charset val="186"/>
    </font>
    <font>
      <b/>
      <u/>
      <sz val="10"/>
      <color theme="0" tint="-0.34998626667073579"/>
      <name val="Arial"/>
      <family val="2"/>
      <charset val="186"/>
    </font>
    <font>
      <b/>
      <sz val="10"/>
      <color theme="0" tint="-0.34998626667073579"/>
      <name val="Arial"/>
      <family val="2"/>
      <charset val="186"/>
    </font>
    <font>
      <sz val="10"/>
      <color theme="10"/>
      <name val="Arial"/>
      <family val="2"/>
      <charset val="186"/>
    </font>
    <font>
      <sz val="9"/>
      <color theme="0" tint="-0.34998626667073579"/>
      <name val="Arial"/>
      <family val="2"/>
      <charset val="186"/>
    </font>
    <font>
      <sz val="8"/>
      <color indexed="81"/>
      <name val="Tahoma"/>
      <family val="2"/>
      <charset val="186"/>
    </font>
    <font>
      <u/>
      <sz val="10"/>
      <color theme="0"/>
      <name val="Arial"/>
      <family val="2"/>
      <charset val="186"/>
    </font>
    <font>
      <sz val="10"/>
      <color indexed="8"/>
      <name val="Arial"/>
      <family val="2"/>
      <charset val="186"/>
    </font>
    <font>
      <b/>
      <sz val="10"/>
      <color theme="9" tint="0.39997558519241921"/>
      <name val="Arial"/>
      <family val="2"/>
      <charset val="186"/>
    </font>
    <font>
      <i/>
      <sz val="10"/>
      <color theme="0"/>
      <name val="Arial"/>
      <family val="2"/>
      <charset val="186"/>
    </font>
    <font>
      <strike/>
      <sz val="10"/>
      <color rgb="FF0070C0"/>
      <name val="Arial"/>
      <family val="2"/>
      <charset val="186"/>
    </font>
    <font>
      <i/>
      <sz val="10"/>
      <color rgb="FFCC0000"/>
      <name val="Arial"/>
      <family val="2"/>
      <charset val="186"/>
    </font>
    <font>
      <sz val="10"/>
      <color theme="0" tint="-0.14999847407452621"/>
      <name val="Arial"/>
      <family val="2"/>
      <charset val="186"/>
    </font>
    <font>
      <b/>
      <sz val="10"/>
      <color theme="9" tint="-0.249977111117893"/>
      <name val="Arial"/>
      <family val="2"/>
      <charset val="186"/>
    </font>
    <font>
      <sz val="10"/>
      <color theme="9" tint="-0.249977111117893"/>
      <name val="Arial"/>
      <family val="2"/>
      <charset val="186"/>
    </font>
    <font>
      <b/>
      <u/>
      <sz val="10"/>
      <color rgb="FF00B050"/>
      <name val="Arial"/>
      <family val="2"/>
      <charset val="186"/>
    </font>
    <font>
      <b/>
      <u/>
      <sz val="10"/>
      <color rgb="FF0070C0"/>
      <name val="Arial"/>
      <family val="2"/>
      <charset val="186"/>
    </font>
    <font>
      <u/>
      <sz val="10"/>
      <color rgb="FF00B050"/>
      <name val="Arial"/>
      <family val="2"/>
      <charset val="186"/>
    </font>
    <font>
      <sz val="9"/>
      <color theme="1"/>
      <name val="Arial"/>
      <family val="2"/>
      <charset val="186"/>
    </font>
    <font>
      <strike/>
      <sz val="10"/>
      <color theme="1"/>
      <name val="Arial"/>
      <family val="2"/>
      <charset val="186"/>
    </font>
    <font>
      <b/>
      <sz val="10"/>
      <color rgb="FFFF0000"/>
      <name val="Arial"/>
      <family val="2"/>
      <charset val="186"/>
    </font>
    <font>
      <b/>
      <sz val="9"/>
      <color rgb="FFFF0000"/>
      <name val="Arial"/>
      <family val="2"/>
      <charset val="186"/>
    </font>
  </fonts>
  <fills count="32">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rgb="FFFFFF66"/>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CCCC"/>
        <bgColor indexed="64"/>
      </patternFill>
    </fill>
    <fill>
      <patternFill patternType="solid">
        <fgColor rgb="FFCCFFCC"/>
        <bgColor indexed="64"/>
      </patternFill>
    </fill>
    <fill>
      <patternFill patternType="solid">
        <fgColor rgb="FFD9D9D9"/>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indexed="6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99FF99"/>
        <bgColor indexed="64"/>
      </patternFill>
    </fill>
    <fill>
      <patternFill patternType="solid">
        <fgColor theme="0"/>
        <bgColor indexed="64"/>
      </patternFill>
    </fill>
    <fill>
      <patternFill patternType="solid">
        <fgColor rgb="FFFFFFCC"/>
        <bgColor indexed="64"/>
      </patternFill>
    </fill>
    <fill>
      <gradientFill>
        <stop position="0">
          <color theme="0" tint="-0.1490218817712943"/>
        </stop>
        <stop position="1">
          <color rgb="FFCCFFCC"/>
        </stop>
      </gradientFill>
    </fill>
    <fill>
      <patternFill patternType="solid">
        <fgColor rgb="FF009999"/>
        <bgColor indexed="64"/>
      </patternFill>
    </fill>
    <fill>
      <patternFill patternType="solid">
        <fgColor theme="8" tint="0.79998168889431442"/>
        <bgColor indexed="64"/>
      </patternFill>
    </fill>
    <fill>
      <patternFill patternType="solid">
        <fgColor theme="4" tint="0.59999389629810485"/>
        <bgColor indexed="64"/>
      </patternFill>
    </fill>
    <fill>
      <gradientFill>
        <stop position="0">
          <color rgb="FFFFFF99"/>
        </stop>
        <stop position="1">
          <color rgb="FF99FF99"/>
        </stop>
      </gradientFill>
    </fill>
    <fill>
      <patternFill patternType="solid">
        <fgColor rgb="FF66FF66"/>
        <bgColor indexed="64"/>
      </patternFill>
    </fill>
    <fill>
      <gradientFill>
        <stop position="0">
          <color rgb="FFFFCC99"/>
        </stop>
        <stop position="1">
          <color rgb="FF99FF99"/>
        </stop>
      </gradientFill>
    </fill>
    <fill>
      <patternFill patternType="solid">
        <fgColor theme="0" tint="-0.34998626667073579"/>
        <bgColor indexed="64"/>
      </patternFill>
    </fill>
    <fill>
      <patternFill patternType="solid">
        <fgColor theme="6" tint="0.79998168889431442"/>
        <bgColor indexed="64"/>
      </patternFill>
    </fill>
    <fill>
      <patternFill patternType="gray0625">
        <fgColor rgb="FF00B0F0"/>
        <bgColor auto="1"/>
      </patternFill>
    </fill>
    <fill>
      <gradientFill>
        <stop position="0">
          <color rgb="FFFFFF99"/>
        </stop>
        <stop position="1">
          <color rgb="FFCCFFCC"/>
        </stop>
      </gradientFill>
    </fill>
  </fills>
  <borders count="151">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style="thin">
        <color theme="0" tint="-0.24994659260841701"/>
      </left>
      <right style="medium">
        <color rgb="FF000000"/>
      </right>
      <top style="medium">
        <color rgb="FF000000"/>
      </top>
      <bottom style="thin">
        <color theme="0" tint="-0.24994659260841701"/>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indexed="64"/>
      </left>
      <right/>
      <top style="medium">
        <color indexed="64"/>
      </top>
      <bottom/>
      <diagonal/>
    </border>
    <border>
      <left style="thin">
        <color theme="0" tint="-0.24994659260841701"/>
      </left>
      <right style="medium">
        <color rgb="FF000000"/>
      </right>
      <top style="medium">
        <color indexed="64"/>
      </top>
      <bottom style="thin">
        <color theme="0" tint="-0.24994659260841701"/>
      </bottom>
      <diagonal/>
    </border>
    <border>
      <left/>
      <right/>
      <top style="medium">
        <color indexed="64"/>
      </top>
      <bottom/>
      <diagonal/>
    </border>
    <border>
      <left style="medium">
        <color indexed="64"/>
      </left>
      <right/>
      <top/>
      <bottom/>
      <diagonal/>
    </border>
    <border>
      <left/>
      <right style="medium">
        <color rgb="FF000000"/>
      </right>
      <top/>
      <bottom style="thin">
        <color rgb="FF000000"/>
      </bottom>
      <diagonal/>
    </border>
    <border>
      <left/>
      <right/>
      <top/>
      <bottom style="thin">
        <color rgb="FF000000"/>
      </bottom>
      <diagonal/>
    </border>
    <border>
      <left/>
      <right/>
      <top style="thin">
        <color rgb="FF000000"/>
      </top>
      <bottom/>
      <diagonal/>
    </border>
    <border>
      <left/>
      <right/>
      <top style="thin">
        <color theme="8" tint="0.39994506668294322"/>
      </top>
      <bottom style="thin">
        <color theme="8" tint="0.39994506668294322"/>
      </bottom>
      <diagonal/>
    </border>
    <border>
      <left style="medium">
        <color rgb="FF000000"/>
      </left>
      <right/>
      <top style="thin">
        <color theme="8" tint="0.39994506668294322"/>
      </top>
      <bottom style="thin">
        <color theme="8" tint="0.39994506668294322"/>
      </bottom>
      <diagonal/>
    </border>
    <border>
      <left/>
      <right/>
      <top/>
      <bottom style="thin">
        <color theme="8" tint="0.39994506668294322"/>
      </bottom>
      <diagonal/>
    </border>
    <border>
      <left/>
      <right style="medium">
        <color rgb="FF000000"/>
      </right>
      <top/>
      <bottom style="thin">
        <color theme="8" tint="0.39994506668294322"/>
      </bottom>
      <diagonal/>
    </border>
    <border>
      <left/>
      <right style="medium">
        <color rgb="FF000000"/>
      </right>
      <top style="thin">
        <color theme="8" tint="0.39994506668294322"/>
      </top>
      <bottom style="thin">
        <color theme="8" tint="0.399945066682943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8" tint="0.39994506668294322"/>
      </top>
      <bottom style="medium">
        <color rgb="FF000000"/>
      </bottom>
      <diagonal/>
    </border>
    <border>
      <left style="medium">
        <color rgb="FF000000"/>
      </left>
      <right/>
      <top style="thin">
        <color theme="8" tint="0.39994506668294322"/>
      </top>
      <bottom style="medium">
        <color rgb="FF000000"/>
      </bottom>
      <diagonal/>
    </border>
    <border>
      <left/>
      <right style="medium">
        <color rgb="FF000000"/>
      </right>
      <top style="thin">
        <color theme="8" tint="0.39994506668294322"/>
      </top>
      <bottom style="medium">
        <color rgb="FF000000"/>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style="thin">
        <color theme="0" tint="-0.24994659260841701"/>
      </left>
      <right style="medium">
        <color rgb="FF000000"/>
      </right>
      <top/>
      <bottom style="thin">
        <color theme="0" tint="-0.24994659260841701"/>
      </bottom>
      <diagonal/>
    </border>
    <border>
      <left style="thin">
        <color theme="0" tint="-0.24994659260841701"/>
      </left>
      <right style="thick">
        <color rgb="FF000000"/>
      </right>
      <top style="medium">
        <color rgb="FF000000"/>
      </top>
      <bottom style="thin">
        <color theme="0" tint="-0.24994659260841701"/>
      </bottom>
      <diagonal/>
    </border>
    <border>
      <left/>
      <right style="thick">
        <color rgb="FF000000"/>
      </right>
      <top/>
      <bottom/>
      <diagonal/>
    </border>
    <border>
      <left style="medium">
        <color rgb="FF000000"/>
      </left>
      <right/>
      <top/>
      <bottom style="thick">
        <color rgb="FF000000"/>
      </bottom>
      <diagonal/>
    </border>
    <border>
      <left/>
      <right style="medium">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indexed="64"/>
      </right>
      <top/>
      <bottom/>
      <diagonal/>
    </border>
    <border>
      <left style="medium">
        <color indexed="64"/>
      </left>
      <right/>
      <top/>
      <bottom style="thick">
        <color indexed="64"/>
      </bottom>
      <diagonal/>
    </border>
    <border>
      <left/>
      <right style="medium">
        <color rgb="FF000000"/>
      </right>
      <top/>
      <bottom style="thick">
        <color indexed="64"/>
      </bottom>
      <diagonal/>
    </border>
    <border>
      <left/>
      <right/>
      <top/>
      <bottom style="thick">
        <color indexed="64"/>
      </bottom>
      <diagonal/>
    </border>
    <border>
      <left style="medium">
        <color rgb="FF000000"/>
      </left>
      <right/>
      <top/>
      <bottom style="thick">
        <color indexed="64"/>
      </bottom>
      <diagonal/>
    </border>
    <border>
      <left/>
      <right style="thick">
        <color indexed="64"/>
      </right>
      <top/>
      <bottom style="thick">
        <color indexed="64"/>
      </bottom>
      <diagonal/>
    </border>
    <border>
      <left/>
      <right style="medium">
        <color auto="1"/>
      </right>
      <top/>
      <bottom/>
      <diagonal/>
    </border>
    <border>
      <left/>
      <right/>
      <top/>
      <bottom style="thin">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bottom style="medium">
        <color indexed="64"/>
      </bottom>
      <diagonal/>
    </border>
    <border>
      <left style="thin">
        <color theme="0" tint="-0.24994659260841701"/>
      </left>
      <right/>
      <top style="medium">
        <color rgb="FF000000"/>
      </top>
      <bottom style="thin">
        <color theme="0" tint="-0.24994659260841701"/>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theme="0" tint="-0.24994659260841701"/>
      </left>
      <right style="thick">
        <color indexed="64"/>
      </right>
      <top style="medium">
        <color rgb="FF000000"/>
      </top>
      <bottom style="thin">
        <color theme="0" tint="-0.24994659260841701"/>
      </bottom>
      <diagonal/>
    </border>
    <border>
      <left/>
      <right style="thin">
        <color theme="0" tint="-0.24994659260841701"/>
      </right>
      <top style="medium">
        <color rgb="FF000000"/>
      </top>
      <bottom/>
      <diagonal/>
    </border>
    <border>
      <left/>
      <right style="medium">
        <color rgb="FF000000"/>
      </right>
      <top style="thin">
        <color theme="0" tint="-0.24994659260841701"/>
      </top>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ashed">
        <color theme="9" tint="-0.24994659260841701"/>
      </right>
      <top/>
      <bottom/>
      <diagonal/>
    </border>
    <border>
      <left/>
      <right style="dashed">
        <color theme="9" tint="-0.24994659260841701"/>
      </right>
      <top/>
      <bottom style="dashed">
        <color theme="9" tint="-0.24994659260841701"/>
      </bottom>
      <diagonal/>
    </border>
    <border>
      <left/>
      <right/>
      <top style="thin">
        <color indexed="64"/>
      </top>
      <bottom style="thin">
        <color indexed="64"/>
      </bottom>
      <diagonal/>
    </border>
    <border>
      <left style="thin">
        <color auto="1"/>
      </left>
      <right/>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medium">
        <color theme="1"/>
      </right>
      <top style="thin">
        <color theme="0" tint="-0.24994659260841701"/>
      </top>
      <bottom/>
      <diagonal/>
    </border>
    <border>
      <left/>
      <right style="medium">
        <color rgb="FF000000"/>
      </right>
      <top style="thin">
        <color theme="0" tint="-0.24994659260841701"/>
      </top>
      <bottom style="thin">
        <color theme="8" tint="0.39994506668294322"/>
      </bottom>
      <diagonal/>
    </border>
    <border>
      <left style="medium">
        <color theme="1"/>
      </left>
      <right/>
      <top style="thin">
        <color theme="8" tint="0.39994506668294322"/>
      </top>
      <bottom style="thin">
        <color theme="8" tint="0.39994506668294322"/>
      </bottom>
      <diagonal/>
    </border>
    <border>
      <left/>
      <right/>
      <top style="thin">
        <color theme="8" tint="0.39991454817346722"/>
      </top>
      <bottom style="thin">
        <color theme="8" tint="0.39994506668294322"/>
      </bottom>
      <diagonal/>
    </border>
    <border>
      <left style="medium">
        <color rgb="FF000000"/>
      </left>
      <right/>
      <top style="thin">
        <color theme="8" tint="0.39991454817346722"/>
      </top>
      <bottom style="thin">
        <color theme="8" tint="0.39994506668294322"/>
      </bottom>
      <diagonal/>
    </border>
    <border>
      <left style="medium">
        <color rgb="FF000000"/>
      </left>
      <right/>
      <top/>
      <bottom style="mediumDashDot">
        <color rgb="FF000000"/>
      </bottom>
      <diagonal/>
    </border>
    <border>
      <left/>
      <right style="medium">
        <color rgb="FF000000"/>
      </right>
      <top/>
      <bottom style="mediumDashDot">
        <color rgb="FF000000"/>
      </bottom>
      <diagonal/>
    </border>
    <border>
      <left/>
      <right/>
      <top/>
      <bottom style="mediumDashDot">
        <color rgb="FF000000"/>
      </bottom>
      <diagonal/>
    </border>
    <border>
      <left style="medium">
        <color rgb="FF000000"/>
      </left>
      <right/>
      <top style="mediumDashDot">
        <color rgb="FF000000"/>
      </top>
      <bottom/>
      <diagonal/>
    </border>
    <border>
      <left style="thin">
        <color theme="0" tint="-0.24994659260841701"/>
      </left>
      <right style="medium">
        <color rgb="FF000000"/>
      </right>
      <top style="mediumDashDot">
        <color rgb="FF000000"/>
      </top>
      <bottom style="thin">
        <color theme="0" tint="-0.24994659260841701"/>
      </bottom>
      <diagonal/>
    </border>
    <border>
      <left/>
      <right/>
      <top style="mediumDashDot">
        <color rgb="FF000000"/>
      </top>
      <bottom/>
      <diagonal/>
    </border>
    <border>
      <left style="medium">
        <color rgb="FF000000"/>
      </left>
      <right/>
      <top style="dashDot">
        <color rgb="FF000000"/>
      </top>
      <bottom style="thin">
        <color theme="8" tint="0.39994506668294322"/>
      </bottom>
      <diagonal/>
    </border>
    <border>
      <left/>
      <right/>
      <top style="dashDot">
        <color rgb="FF000000"/>
      </top>
      <bottom style="thin">
        <color theme="8" tint="0.39994506668294322"/>
      </bottom>
      <diagonal/>
    </border>
    <border>
      <left/>
      <right style="medium">
        <color rgb="FF000000"/>
      </right>
      <top style="dashDot">
        <color rgb="FF000000"/>
      </top>
      <bottom style="thin">
        <color theme="8" tint="0.39994506668294322"/>
      </bottom>
      <diagonal/>
    </border>
    <border>
      <left style="medium">
        <color rgb="FF000000"/>
      </left>
      <right/>
      <top/>
      <bottom style="dashDot">
        <color rgb="FF000000"/>
      </bottom>
      <diagonal/>
    </border>
    <border>
      <left/>
      <right/>
      <top/>
      <bottom style="dashDot">
        <color rgb="FF000000"/>
      </bottom>
      <diagonal/>
    </border>
    <border>
      <left style="medium">
        <color indexed="64"/>
      </left>
      <right/>
      <top/>
      <bottom style="dashDot">
        <color rgb="FF000000"/>
      </bottom>
      <diagonal/>
    </border>
    <border>
      <left/>
      <right style="medium">
        <color rgb="FF000000"/>
      </right>
      <top/>
      <bottom style="dashDot">
        <color rgb="FF000000"/>
      </bottom>
      <diagonal/>
    </border>
    <border>
      <left/>
      <right style="medium">
        <color indexed="64"/>
      </right>
      <top/>
      <bottom style="dashDot">
        <color rgb="FF000000"/>
      </bottom>
      <diagonal/>
    </border>
    <border>
      <left/>
      <right/>
      <top/>
      <bottom style="dashDot">
        <color auto="1"/>
      </bottom>
      <diagonal/>
    </border>
    <border>
      <left/>
      <right style="medium">
        <color rgb="FF000000"/>
      </right>
      <top/>
      <bottom style="dashDot">
        <color auto="1"/>
      </bottom>
      <diagonal/>
    </border>
    <border>
      <left style="medium">
        <color rgb="FF000000"/>
      </left>
      <right/>
      <top/>
      <bottom style="dashDot">
        <color auto="1"/>
      </bottom>
      <diagonal/>
    </border>
    <border>
      <left/>
      <right/>
      <top style="dashDot">
        <color auto="1"/>
      </top>
      <bottom style="thin">
        <color theme="8" tint="0.39994506668294322"/>
      </bottom>
      <diagonal/>
    </border>
    <border>
      <left/>
      <right style="medium">
        <color rgb="FF000000"/>
      </right>
      <top style="dashDot">
        <color auto="1"/>
      </top>
      <bottom style="thin">
        <color theme="8" tint="0.39994506668294322"/>
      </bottom>
      <diagonal/>
    </border>
    <border>
      <left style="medium">
        <color rgb="FF000000"/>
      </left>
      <right/>
      <top style="dashDot">
        <color rgb="FF000000"/>
      </top>
      <bottom/>
      <diagonal/>
    </border>
    <border>
      <left/>
      <right style="medium">
        <color rgb="FF000000"/>
      </right>
      <top style="dashDot">
        <color rgb="FF000000"/>
      </top>
      <bottom/>
      <diagonal/>
    </border>
    <border>
      <left/>
      <right style="medium">
        <color rgb="FF000000"/>
      </right>
      <top style="dashDot">
        <color rgb="FF000000"/>
      </top>
      <bottom style="dashDot">
        <color rgb="FF000000"/>
      </bottom>
      <diagonal/>
    </border>
    <border>
      <left/>
      <right/>
      <top style="dashDot">
        <color rgb="FF000000"/>
      </top>
      <bottom style="dashDot">
        <color rgb="FF000000"/>
      </bottom>
      <diagonal/>
    </border>
    <border>
      <left style="thick">
        <color indexed="64"/>
      </left>
      <right/>
      <top/>
      <bottom style="dashDot">
        <color indexed="64"/>
      </bottom>
      <diagonal/>
    </border>
    <border>
      <left style="thick">
        <color indexed="64"/>
      </left>
      <right/>
      <top style="dashDot">
        <color indexed="64"/>
      </top>
      <bottom/>
      <diagonal/>
    </border>
    <border>
      <left/>
      <right style="medium">
        <color rgb="FF000000"/>
      </right>
      <top style="dashDot">
        <color indexed="64"/>
      </top>
      <bottom/>
      <diagonal/>
    </border>
    <border>
      <left style="medium">
        <color rgb="FF000000"/>
      </left>
      <right/>
      <top style="dashDot">
        <color rgb="FF000000"/>
      </top>
      <bottom style="dashDot">
        <color rgb="FF000000"/>
      </bottom>
      <diagonal/>
    </border>
  </borders>
  <cellStyleXfs count="28">
    <xf numFmtId="0" fontId="0" fillId="0" borderId="0"/>
    <xf numFmtId="0" fontId="5" fillId="0" borderId="0"/>
    <xf numFmtId="0" fontId="6" fillId="0" borderId="0"/>
    <xf numFmtId="0" fontId="7" fillId="0" borderId="0" applyNumberFormat="0" applyFill="0" applyBorder="0" applyAlignment="0" applyProtection="0"/>
    <xf numFmtId="0" fontId="10" fillId="0" borderId="0" applyNumberFormat="0" applyFill="0" applyBorder="0" applyAlignment="0" applyProtection="0"/>
    <xf numFmtId="0" fontId="12" fillId="0" borderId="0"/>
    <xf numFmtId="0" fontId="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 fillId="0" borderId="0"/>
    <xf numFmtId="0" fontId="12" fillId="0" borderId="0"/>
    <xf numFmtId="0" fontId="6" fillId="0" borderId="0"/>
    <xf numFmtId="0" fontId="15" fillId="0" borderId="0"/>
    <xf numFmtId="0" fontId="16" fillId="0" borderId="0"/>
    <xf numFmtId="0" fontId="5" fillId="0" borderId="0"/>
    <xf numFmtId="0" fontId="17" fillId="0" borderId="0"/>
    <xf numFmtId="0" fontId="17" fillId="0" borderId="0"/>
    <xf numFmtId="0" fontId="18" fillId="0" borderId="0"/>
    <xf numFmtId="0" fontId="6" fillId="0" borderId="0"/>
    <xf numFmtId="0" fontId="5" fillId="0" borderId="0"/>
    <xf numFmtId="0" fontId="19" fillId="0" borderId="0"/>
    <xf numFmtId="0" fontId="19" fillId="0" borderId="0"/>
    <xf numFmtId="0" fontId="20" fillId="0" borderId="0"/>
    <xf numFmtId="0" fontId="17" fillId="0" borderId="0"/>
    <xf numFmtId="0" fontId="5" fillId="0" borderId="0"/>
    <xf numFmtId="0" fontId="1" fillId="0" borderId="0"/>
    <xf numFmtId="49" fontId="21" fillId="10" borderId="0" applyBorder="0" applyProtection="0">
      <alignment horizontal="left" vertical="top" wrapText="1"/>
    </xf>
    <xf numFmtId="0" fontId="19" fillId="0" borderId="0"/>
  </cellStyleXfs>
  <cellXfs count="1482">
    <xf numFmtId="0" fontId="0" fillId="0" borderId="0" xfId="0"/>
    <xf numFmtId="0" fontId="4" fillId="0" borderId="0" xfId="1" applyFont="1" applyAlignment="1"/>
    <xf numFmtId="0" fontId="1" fillId="0" borderId="0" xfId="1" applyFont="1" applyAlignment="1"/>
    <xf numFmtId="0" fontId="1" fillId="0" borderId="0" xfId="1" applyFont="1" applyAlignment="1">
      <alignment vertical="top"/>
    </xf>
    <xf numFmtId="0" fontId="4" fillId="3" borderId="1" xfId="1" applyFont="1" applyFill="1" applyBorder="1" applyAlignment="1"/>
    <xf numFmtId="0" fontId="4" fillId="3" borderId="2" xfId="1" applyFont="1" applyFill="1" applyBorder="1" applyAlignment="1"/>
    <xf numFmtId="0" fontId="4" fillId="3" borderId="3" xfId="1" applyFont="1" applyFill="1" applyBorder="1" applyAlignment="1"/>
    <xf numFmtId="0" fontId="4" fillId="4" borderId="0" xfId="1" quotePrefix="1" applyNumberFormat="1" applyFont="1" applyFill="1" applyAlignment="1"/>
    <xf numFmtId="164" fontId="4" fillId="4" borderId="0" xfId="1" applyNumberFormat="1" applyFont="1" applyFill="1" applyBorder="1" applyAlignment="1">
      <alignment horizontal="left"/>
    </xf>
    <xf numFmtId="0" fontId="1" fillId="4" borderId="0" xfId="1" applyFont="1" applyFill="1" applyBorder="1" applyAlignment="1"/>
    <xf numFmtId="0" fontId="1" fillId="0" borderId="0" xfId="1" applyFont="1" applyFill="1" applyBorder="1" applyAlignment="1"/>
    <xf numFmtId="0" fontId="4" fillId="0" borderId="0" xfId="1" applyFont="1" applyFill="1" applyBorder="1" applyAlignment="1"/>
    <xf numFmtId="0" fontId="4" fillId="0" borderId="0" xfId="1" applyFont="1" applyAlignment="1">
      <alignment vertical="top"/>
    </xf>
    <xf numFmtId="0" fontId="1" fillId="0" borderId="4" xfId="1" applyFont="1" applyFill="1" applyBorder="1" applyAlignment="1"/>
    <xf numFmtId="0" fontId="2" fillId="5" borderId="5" xfId="1" applyFont="1" applyFill="1" applyBorder="1" applyAlignment="1"/>
    <xf numFmtId="0" fontId="1" fillId="0" borderId="6" xfId="1" applyFont="1" applyFill="1" applyBorder="1" applyAlignment="1"/>
    <xf numFmtId="0" fontId="4" fillId="6" borderId="5" xfId="1" applyFont="1" applyFill="1" applyBorder="1" applyAlignment="1"/>
    <xf numFmtId="0" fontId="1" fillId="0" borderId="7" xfId="1" applyFont="1" applyFill="1" applyBorder="1" applyAlignment="1"/>
    <xf numFmtId="0" fontId="1" fillId="0" borderId="8" xfId="1" applyFont="1" applyFill="1" applyBorder="1" applyAlignment="1"/>
    <xf numFmtId="0" fontId="1" fillId="0" borderId="9" xfId="1" applyFont="1" applyFill="1" applyBorder="1" applyAlignment="1"/>
    <xf numFmtId="0" fontId="1" fillId="0" borderId="10" xfId="1" applyFont="1" applyFill="1" applyBorder="1" applyAlignment="1"/>
    <xf numFmtId="0" fontId="1" fillId="0" borderId="11" xfId="1" applyFont="1" applyFill="1" applyBorder="1" applyAlignment="1"/>
    <xf numFmtId="0" fontId="4" fillId="0" borderId="8" xfId="1" applyFont="1" applyFill="1" applyBorder="1" applyAlignment="1"/>
    <xf numFmtId="0" fontId="4" fillId="4" borderId="0" xfId="1" applyFont="1" applyFill="1" applyBorder="1" applyAlignment="1"/>
    <xf numFmtId="0" fontId="1" fillId="0" borderId="0" xfId="1" applyFont="1" applyFill="1" applyAlignment="1"/>
    <xf numFmtId="0" fontId="4" fillId="0" borderId="0" xfId="1" applyFont="1" applyBorder="1" applyAlignment="1">
      <alignment vertical="top"/>
    </xf>
    <xf numFmtId="0" fontId="4" fillId="0" borderId="0" xfId="1" applyFont="1" applyFill="1" applyAlignment="1">
      <alignment vertical="top"/>
    </xf>
    <xf numFmtId="0" fontId="0" fillId="0" borderId="0" xfId="1" applyFont="1" applyFill="1" applyBorder="1" applyAlignment="1"/>
    <xf numFmtId="0" fontId="1" fillId="0" borderId="18" xfId="1" applyFont="1" applyFill="1" applyBorder="1" applyAlignment="1"/>
    <xf numFmtId="0" fontId="4" fillId="4" borderId="0" xfId="1" quotePrefix="1" applyNumberFormat="1" applyFont="1" applyFill="1" applyBorder="1" applyAlignment="1"/>
    <xf numFmtId="0" fontId="4" fillId="0" borderId="0" xfId="1" applyFont="1" applyBorder="1" applyAlignment="1"/>
    <xf numFmtId="0" fontId="1" fillId="0" borderId="0" xfId="1" applyFont="1" applyBorder="1" applyAlignment="1"/>
    <xf numFmtId="0" fontId="11" fillId="7" borderId="0" xfId="0" applyFont="1" applyFill="1"/>
    <xf numFmtId="0" fontId="4" fillId="7" borderId="0" xfId="1" applyFont="1" applyFill="1" applyAlignment="1"/>
    <xf numFmtId="0" fontId="1" fillId="7" borderId="0" xfId="1" applyFont="1" applyFill="1" applyAlignment="1"/>
    <xf numFmtId="0" fontId="4" fillId="7" borderId="0" xfId="5" applyFont="1" applyFill="1" applyBorder="1" applyAlignment="1"/>
    <xf numFmtId="0" fontId="1" fillId="8" borderId="0" xfId="1" applyFont="1" applyFill="1" applyAlignment="1"/>
    <xf numFmtId="0" fontId="4" fillId="8" borderId="0" xfId="1" applyFont="1" applyFill="1" applyAlignment="1"/>
    <xf numFmtId="0" fontId="1" fillId="9" borderId="0" xfId="1" applyFont="1" applyFill="1" applyAlignment="1"/>
    <xf numFmtId="0" fontId="1" fillId="9" borderId="0" xfId="1" applyNumberFormat="1" applyFont="1" applyFill="1" applyAlignment="1"/>
    <xf numFmtId="0" fontId="4" fillId="9" borderId="0" xfId="1" applyFont="1" applyFill="1" applyAlignment="1"/>
    <xf numFmtId="0" fontId="1" fillId="0" borderId="0" xfId="1" applyFont="1" applyFill="1" applyAlignment="1">
      <alignment vertical="top"/>
    </xf>
    <xf numFmtId="0" fontId="4" fillId="0" borderId="0" xfId="1" applyFont="1" applyFill="1" applyAlignment="1"/>
    <xf numFmtId="0" fontId="3" fillId="0" borderId="0" xfId="1" applyFont="1" applyFill="1" applyAlignment="1"/>
    <xf numFmtId="0" fontId="0" fillId="8" borderId="0" xfId="1" applyFont="1" applyFill="1" applyAlignment="1"/>
    <xf numFmtId="0" fontId="0" fillId="9" borderId="0" xfId="1" applyFont="1" applyFill="1" applyAlignment="1"/>
    <xf numFmtId="0" fontId="7" fillId="0" borderId="10" xfId="3" applyFill="1" applyBorder="1" applyAlignment="1"/>
    <xf numFmtId="0" fontId="2" fillId="0" borderId="8" xfId="1" applyFont="1" applyFill="1" applyBorder="1" applyAlignment="1"/>
    <xf numFmtId="0" fontId="9" fillId="0" borderId="8" xfId="3" applyFont="1" applyFill="1" applyBorder="1" applyAlignment="1"/>
    <xf numFmtId="0" fontId="23" fillId="0" borderId="9" xfId="1" applyFont="1" applyFill="1" applyBorder="1" applyAlignment="1"/>
    <xf numFmtId="0" fontId="23" fillId="0" borderId="0" xfId="0" applyFont="1" applyFill="1" applyBorder="1" applyAlignment="1"/>
    <xf numFmtId="0" fontId="23" fillId="0" borderId="0" xfId="1" applyFont="1" applyAlignment="1">
      <alignment vertical="top"/>
    </xf>
    <xf numFmtId="0" fontId="24" fillId="0" borderId="9" xfId="3" applyFont="1" applyFill="1" applyBorder="1" applyAlignment="1"/>
    <xf numFmtId="0" fontId="23" fillId="0" borderId="7" xfId="1" applyFont="1" applyFill="1" applyBorder="1" applyAlignment="1"/>
    <xf numFmtId="0" fontId="23" fillId="0" borderId="0" xfId="1" applyFont="1" applyFill="1" applyBorder="1" applyAlignment="1"/>
    <xf numFmtId="0" fontId="23" fillId="0" borderId="6" xfId="1" applyFont="1" applyFill="1" applyBorder="1" applyAlignment="1"/>
    <xf numFmtId="0" fontId="23" fillId="0" borderId="4" xfId="1" applyFont="1" applyFill="1" applyBorder="1" applyAlignment="1"/>
    <xf numFmtId="0" fontId="23" fillId="0" borderId="0" xfId="1" applyFont="1" applyFill="1" applyAlignment="1">
      <alignment horizontal="right"/>
    </xf>
    <xf numFmtId="0" fontId="23" fillId="0" borderId="21" xfId="14" applyFont="1" applyFill="1" applyBorder="1" applyAlignment="1"/>
    <xf numFmtId="0" fontId="26" fillId="0" borderId="21" xfId="14" applyFont="1" applyFill="1" applyBorder="1" applyAlignment="1"/>
    <xf numFmtId="0" fontId="1" fillId="0" borderId="21" xfId="14" applyFont="1" applyFill="1" applyBorder="1" applyAlignment="1"/>
    <xf numFmtId="0" fontId="1" fillId="0" borderId="21" xfId="3" applyFont="1" applyFill="1" applyBorder="1" applyAlignment="1"/>
    <xf numFmtId="0" fontId="23" fillId="0" borderId="22" xfId="14" applyFont="1" applyFill="1" applyBorder="1" applyAlignment="1"/>
    <xf numFmtId="0" fontId="27" fillId="0" borderId="21" xfId="14" applyFont="1" applyFill="1" applyBorder="1" applyAlignment="1"/>
    <xf numFmtId="0" fontId="23" fillId="0" borderId="22" xfId="1" applyFont="1" applyFill="1" applyBorder="1" applyAlignment="1"/>
    <xf numFmtId="0" fontId="23" fillId="0" borderId="21" xfId="1" applyFont="1" applyFill="1" applyBorder="1" applyAlignment="1"/>
    <xf numFmtId="0" fontId="29" fillId="0" borderId="23" xfId="14" applyFont="1" applyFill="1" applyBorder="1" applyAlignment="1"/>
    <xf numFmtId="0" fontId="28" fillId="0" borderId="23" xfId="14" applyFont="1" applyFill="1" applyBorder="1" applyAlignment="1"/>
    <xf numFmtId="0" fontId="28" fillId="0" borderId="24" xfId="3" applyFont="1" applyFill="1" applyBorder="1" applyAlignment="1"/>
    <xf numFmtId="0" fontId="1" fillId="0" borderId="23" xfId="1" applyFont="1" applyFill="1" applyBorder="1" applyAlignment="1"/>
    <xf numFmtId="0" fontId="30" fillId="0" borderId="25" xfId="3" applyFont="1" applyFill="1" applyBorder="1" applyAlignment="1">
      <alignment horizontal="right"/>
    </xf>
    <xf numFmtId="0" fontId="0" fillId="8" borderId="7" xfId="0" applyFont="1" applyFill="1" applyBorder="1" applyAlignment="1"/>
    <xf numFmtId="0" fontId="1" fillId="8" borderId="8" xfId="1" applyFont="1" applyFill="1" applyBorder="1" applyAlignment="1"/>
    <xf numFmtId="0" fontId="1" fillId="8" borderId="10" xfId="1" applyFont="1" applyFill="1" applyBorder="1" applyAlignment="1"/>
    <xf numFmtId="0" fontId="4" fillId="8" borderId="8" xfId="1" applyFont="1" applyFill="1" applyBorder="1" applyAlignment="1"/>
    <xf numFmtId="0" fontId="1" fillId="8" borderId="7" xfId="1" applyFont="1" applyFill="1" applyBorder="1" applyAlignment="1"/>
    <xf numFmtId="0" fontId="1" fillId="8" borderId="0" xfId="1" applyFont="1" applyFill="1" applyBorder="1" applyAlignment="1"/>
    <xf numFmtId="0" fontId="1" fillId="8" borderId="11" xfId="1" applyFont="1" applyFill="1" applyBorder="1" applyAlignment="1"/>
    <xf numFmtId="0" fontId="4" fillId="0" borderId="0" xfId="1" applyNumberFormat="1" applyFont="1" applyAlignment="1"/>
    <xf numFmtId="0" fontId="1" fillId="0" borderId="0" xfId="1" applyNumberFormat="1" applyFont="1" applyAlignment="1"/>
    <xf numFmtId="0" fontId="4" fillId="3" borderId="26" xfId="1" applyNumberFormat="1" applyFont="1" applyFill="1" applyBorder="1" applyAlignment="1"/>
    <xf numFmtId="0" fontId="1" fillId="4" borderId="0" xfId="1" applyNumberFormat="1" applyFont="1" applyFill="1" applyAlignment="1"/>
    <xf numFmtId="0" fontId="1" fillId="0" borderId="0" xfId="1" applyNumberFormat="1" applyFont="1" applyAlignment="1">
      <alignment horizontal="center"/>
    </xf>
    <xf numFmtId="0" fontId="7" fillId="0" borderId="26" xfId="3" applyFill="1" applyBorder="1" applyAlignment="1"/>
    <xf numFmtId="0" fontId="8" fillId="0" borderId="26" xfId="3" applyFont="1" applyFill="1" applyBorder="1" applyAlignment="1"/>
    <xf numFmtId="166" fontId="1" fillId="0" borderId="26" xfId="1" applyNumberFormat="1" applyFont="1" applyFill="1" applyBorder="1" applyAlignment="1">
      <alignment horizontal="center"/>
    </xf>
    <xf numFmtId="0" fontId="7" fillId="9" borderId="26" xfId="3" applyNumberFormat="1" applyFill="1" applyBorder="1" applyAlignment="1"/>
    <xf numFmtId="166" fontId="1" fillId="9" borderId="26" xfId="1" applyNumberFormat="1" applyFont="1" applyFill="1" applyBorder="1" applyAlignment="1">
      <alignment horizontal="center"/>
    </xf>
    <xf numFmtId="0" fontId="1" fillId="0" borderId="0" xfId="1" applyNumberFormat="1" applyFont="1" applyFill="1" applyAlignment="1"/>
    <xf numFmtId="0" fontId="7" fillId="8" borderId="26" xfId="3" applyFill="1" applyBorder="1" applyAlignment="1"/>
    <xf numFmtId="0" fontId="32" fillId="0" borderId="0" xfId="1" applyNumberFormat="1" applyFont="1" applyAlignment="1"/>
    <xf numFmtId="166" fontId="1" fillId="0" borderId="0" xfId="1" applyNumberFormat="1" applyFont="1" applyAlignment="1">
      <alignment horizontal="center"/>
    </xf>
    <xf numFmtId="0" fontId="33" fillId="0" borderId="26" xfId="3" applyFont="1" applyFill="1" applyBorder="1" applyAlignment="1"/>
    <xf numFmtId="0" fontId="34" fillId="11" borderId="26" xfId="3" applyFont="1" applyFill="1" applyBorder="1" applyAlignment="1"/>
    <xf numFmtId="0" fontId="34" fillId="8" borderId="26" xfId="3" applyFont="1" applyFill="1" applyBorder="1" applyAlignment="1"/>
    <xf numFmtId="0" fontId="1" fillId="0" borderId="0" xfId="1" applyNumberFormat="1" applyFont="1" applyBorder="1" applyAlignment="1"/>
    <xf numFmtId="0" fontId="34" fillId="0" borderId="0" xfId="4" applyNumberFormat="1" applyFont="1" applyBorder="1" applyAlignment="1"/>
    <xf numFmtId="165" fontId="1" fillId="0" borderId="0" xfId="1" applyNumberFormat="1" applyFont="1" applyBorder="1" applyAlignment="1">
      <alignment horizontal="center"/>
    </xf>
    <xf numFmtId="0" fontId="1" fillId="0" borderId="26" xfId="1" applyNumberFormat="1" applyFont="1" applyBorder="1" applyAlignment="1"/>
    <xf numFmtId="0" fontId="34" fillId="0" borderId="26" xfId="3" applyFont="1" applyFill="1" applyBorder="1" applyAlignment="1"/>
    <xf numFmtId="166" fontId="1" fillId="0" borderId="26" xfId="1" applyNumberFormat="1" applyFont="1" applyBorder="1" applyAlignment="1">
      <alignment horizontal="center"/>
    </xf>
    <xf numFmtId="0" fontId="4" fillId="0" borderId="0" xfId="5" applyFont="1" applyFill="1" applyBorder="1" applyAlignment="1"/>
    <xf numFmtId="0" fontId="1" fillId="8" borderId="0" xfId="1" applyNumberFormat="1" applyFont="1" applyFill="1" applyAlignment="1"/>
    <xf numFmtId="0" fontId="0" fillId="12" borderId="0" xfId="0" applyFont="1" applyFill="1"/>
    <xf numFmtId="0" fontId="1" fillId="12" borderId="0" xfId="1" applyFont="1" applyFill="1" applyAlignment="1"/>
    <xf numFmtId="0" fontId="1" fillId="0" borderId="0" xfId="1" applyNumberFormat="1" applyFont="1" applyFill="1" applyAlignment="1">
      <alignment horizontal="left"/>
    </xf>
    <xf numFmtId="0" fontId="3" fillId="0" borderId="0" xfId="1" applyNumberFormat="1" applyFont="1" applyAlignment="1"/>
    <xf numFmtId="0" fontId="0" fillId="0" borderId="26" xfId="1" applyNumberFormat="1" applyFont="1" applyFill="1" applyBorder="1" applyAlignment="1"/>
    <xf numFmtId="0" fontId="1" fillId="0" borderId="0" xfId="9" applyFont="1" applyFill="1" applyAlignment="1"/>
    <xf numFmtId="0" fontId="4" fillId="0" borderId="0" xfId="9" applyFont="1" applyBorder="1" applyAlignment="1"/>
    <xf numFmtId="0" fontId="1" fillId="0" borderId="0" xfId="21" applyFont="1" applyBorder="1"/>
    <xf numFmtId="167" fontId="1" fillId="0" borderId="0" xfId="21" applyNumberFormat="1" applyFont="1" applyBorder="1"/>
    <xf numFmtId="0" fontId="1" fillId="0" borderId="0" xfId="9" applyFont="1" applyFill="1" applyAlignment="1">
      <alignment horizontal="center"/>
    </xf>
    <xf numFmtId="0" fontId="7" fillId="0" borderId="0" xfId="3" applyAlignment="1"/>
    <xf numFmtId="0" fontId="35" fillId="0" borderId="0" xfId="9" applyFont="1" applyFill="1" applyBorder="1" applyAlignment="1">
      <alignment horizontal="right"/>
    </xf>
    <xf numFmtId="0" fontId="1" fillId="0" borderId="0" xfId="9" applyFont="1" applyFill="1" applyAlignment="1">
      <alignment textRotation="90"/>
    </xf>
    <xf numFmtId="0" fontId="4" fillId="12" borderId="0" xfId="9" applyFont="1" applyFill="1" applyAlignment="1"/>
    <xf numFmtId="0" fontId="26" fillId="2" borderId="0" xfId="2" applyFont="1" applyFill="1" applyBorder="1" applyAlignment="1">
      <alignment horizontal="left" vertical="top"/>
    </xf>
    <xf numFmtId="0" fontId="1" fillId="3" borderId="0" xfId="9" applyFont="1" applyFill="1" applyAlignment="1"/>
    <xf numFmtId="0" fontId="1" fillId="13" borderId="0" xfId="9" applyFont="1" applyFill="1" applyAlignment="1"/>
    <xf numFmtId="0" fontId="1" fillId="0" borderId="26" xfId="21" applyFont="1" applyBorder="1" applyAlignment="1">
      <alignment horizontal="center"/>
    </xf>
    <xf numFmtId="0" fontId="1" fillId="8" borderId="26" xfId="9" applyFont="1" applyFill="1" applyBorder="1" applyAlignment="1">
      <alignment horizontal="center" vertical="center"/>
    </xf>
    <xf numFmtId="0" fontId="1" fillId="0" borderId="26" xfId="9" applyFont="1" applyBorder="1" applyAlignment="1">
      <alignment horizontal="center"/>
    </xf>
    <xf numFmtId="0" fontId="7" fillId="8" borderId="26" xfId="3" applyFill="1" applyBorder="1" applyAlignment="1">
      <alignment horizontal="center"/>
    </xf>
    <xf numFmtId="0" fontId="4" fillId="0" borderId="26" xfId="9" applyFont="1" applyBorder="1" applyAlignment="1">
      <alignment horizontal="center"/>
    </xf>
    <xf numFmtId="0" fontId="37" fillId="0" borderId="26" xfId="9" applyFont="1" applyBorder="1" applyAlignment="1">
      <alignment horizontal="center"/>
    </xf>
    <xf numFmtId="0" fontId="38" fillId="0" borderId="26" xfId="9" applyFont="1" applyBorder="1" applyAlignment="1">
      <alignment horizontal="center"/>
    </xf>
    <xf numFmtId="0" fontId="39" fillId="0" borderId="26" xfId="9" applyFont="1" applyBorder="1" applyAlignment="1">
      <alignment horizontal="center"/>
    </xf>
    <xf numFmtId="0" fontId="36" fillId="0" borderId="26" xfId="9" applyFont="1" applyFill="1" applyBorder="1" applyAlignment="1">
      <alignment horizontal="center"/>
    </xf>
    <xf numFmtId="0" fontId="36" fillId="0" borderId="26" xfId="9" applyFont="1" applyFill="1" applyBorder="1" applyAlignment="1"/>
    <xf numFmtId="0" fontId="1" fillId="0" borderId="27" xfId="9" applyFont="1" applyFill="1" applyBorder="1" applyAlignment="1">
      <alignment textRotation="90"/>
    </xf>
    <xf numFmtId="0" fontId="1" fillId="0" borderId="0" xfId="9" applyFont="1" applyFill="1" applyAlignment="1">
      <alignment horizontal="center" textRotation="90"/>
    </xf>
    <xf numFmtId="166" fontId="4" fillId="0" borderId="26" xfId="9" applyNumberFormat="1" applyFont="1" applyFill="1" applyBorder="1" applyAlignment="1">
      <alignment horizontal="center"/>
    </xf>
    <xf numFmtId="166" fontId="36" fillId="0" borderId="26" xfId="9" applyNumberFormat="1" applyFont="1" applyFill="1" applyBorder="1" applyAlignment="1">
      <alignment horizontal="center"/>
    </xf>
    <xf numFmtId="169" fontId="36" fillId="0" borderId="26" xfId="9" applyNumberFormat="1" applyFont="1" applyFill="1" applyBorder="1" applyAlignment="1">
      <alignment horizontal="center"/>
    </xf>
    <xf numFmtId="0" fontId="1" fillId="0" borderId="26" xfId="9" applyFont="1" applyFill="1" applyBorder="1" applyAlignment="1">
      <alignment horizontal="center"/>
    </xf>
    <xf numFmtId="166" fontId="1" fillId="0" borderId="0" xfId="9" applyNumberFormat="1" applyFont="1" applyFill="1" applyAlignment="1">
      <alignment horizontal="center"/>
    </xf>
    <xf numFmtId="0" fontId="1" fillId="0" borderId="26" xfId="21" applyFont="1" applyFill="1" applyBorder="1" applyAlignment="1">
      <alignment horizontal="center"/>
    </xf>
    <xf numFmtId="0" fontId="1" fillId="0" borderId="26" xfId="9" applyFont="1" applyFill="1" applyBorder="1" applyAlignment="1"/>
    <xf numFmtId="0" fontId="1" fillId="0" borderId="26" xfId="5" applyFont="1" applyFill="1" applyBorder="1" applyAlignment="1"/>
    <xf numFmtId="0" fontId="4" fillId="0" borderId="0" xfId="9" applyFont="1" applyFill="1" applyAlignment="1">
      <alignment horizontal="center"/>
    </xf>
    <xf numFmtId="0" fontId="4" fillId="3" borderId="0" xfId="9" applyFont="1" applyFill="1" applyAlignment="1"/>
    <xf numFmtId="0" fontId="37" fillId="3" borderId="0" xfId="9" applyFont="1" applyFill="1" applyAlignment="1"/>
    <xf numFmtId="0" fontId="38" fillId="3" borderId="0" xfId="9" applyFont="1" applyFill="1" applyAlignment="1"/>
    <xf numFmtId="0" fontId="39" fillId="3" borderId="0" xfId="9" applyFont="1" applyFill="1" applyAlignment="1"/>
    <xf numFmtId="0" fontId="1" fillId="3" borderId="0" xfId="9" applyFont="1" applyFill="1" applyAlignment="1">
      <alignment horizontal="right"/>
    </xf>
    <xf numFmtId="0" fontId="4" fillId="3" borderId="0" xfId="9" applyFont="1" applyFill="1" applyAlignment="1">
      <alignment horizontal="center"/>
    </xf>
    <xf numFmtId="166" fontId="1" fillId="3" borderId="0" xfId="9" applyNumberFormat="1" applyFont="1" applyFill="1" applyAlignment="1">
      <alignment horizontal="center"/>
    </xf>
    <xf numFmtId="166" fontId="4" fillId="3" borderId="0" xfId="9" applyNumberFormat="1" applyFont="1" applyFill="1" applyAlignment="1"/>
    <xf numFmtId="0" fontId="1" fillId="3" borderId="0" xfId="9" applyFont="1" applyFill="1" applyAlignment="1">
      <alignment horizontal="center"/>
    </xf>
    <xf numFmtId="1" fontId="1" fillId="3" borderId="0" xfId="2" applyNumberFormat="1" applyFont="1" applyFill="1" applyBorder="1" applyAlignment="1">
      <alignment horizontal="center"/>
    </xf>
    <xf numFmtId="0" fontId="4" fillId="0" borderId="0" xfId="1" applyFont="1"/>
    <xf numFmtId="0" fontId="1" fillId="0" borderId="0" xfId="1" applyFont="1"/>
    <xf numFmtId="0" fontId="1" fillId="0" borderId="26" xfId="1" applyFont="1" applyFill="1" applyBorder="1" applyAlignment="1"/>
    <xf numFmtId="0" fontId="1" fillId="0" borderId="0" xfId="15" applyFont="1"/>
    <xf numFmtId="0" fontId="0" fillId="0" borderId="0" xfId="9" applyFont="1" applyFill="1" applyAlignment="1"/>
    <xf numFmtId="0" fontId="23" fillId="0" borderId="21" xfId="14" applyFont="1" applyFill="1" applyBorder="1" applyAlignment="1">
      <alignment horizontal="right"/>
    </xf>
    <xf numFmtId="0" fontId="25" fillId="0" borderId="4" xfId="1" applyFont="1" applyFill="1" applyBorder="1" applyAlignment="1"/>
    <xf numFmtId="0" fontId="1" fillId="0" borderId="31" xfId="1" applyFont="1" applyFill="1" applyBorder="1" applyAlignment="1"/>
    <xf numFmtId="0" fontId="23" fillId="0" borderId="31" xfId="1" applyFont="1" applyFill="1" applyBorder="1" applyAlignment="1"/>
    <xf numFmtId="0" fontId="24" fillId="0" borderId="31" xfId="3" applyFont="1" applyFill="1" applyBorder="1" applyAlignment="1"/>
    <xf numFmtId="0" fontId="23" fillId="0" borderId="32" xfId="1" applyFont="1" applyFill="1" applyBorder="1" applyAlignment="1"/>
    <xf numFmtId="0" fontId="24" fillId="0" borderId="31" xfId="3" applyFont="1" applyFill="1" applyBorder="1" applyAlignment="1">
      <alignment horizontal="center"/>
    </xf>
    <xf numFmtId="0" fontId="1" fillId="0" borderId="33" xfId="1" applyFont="1" applyFill="1" applyBorder="1" applyAlignment="1"/>
    <xf numFmtId="0" fontId="24" fillId="0" borderId="31" xfId="3" applyFont="1" applyFill="1" applyBorder="1" applyAlignment="1">
      <alignment horizontal="right" vertical="top"/>
    </xf>
    <xf numFmtId="0" fontId="4" fillId="8" borderId="0" xfId="1" applyFont="1" applyFill="1" applyAlignment="1">
      <alignment vertical="top"/>
    </xf>
    <xf numFmtId="0" fontId="24" fillId="0" borderId="6" xfId="3" applyFont="1" applyFill="1" applyBorder="1" applyAlignment="1"/>
    <xf numFmtId="0" fontId="4" fillId="11" borderId="8" xfId="1" applyFont="1" applyFill="1" applyBorder="1" applyAlignment="1"/>
    <xf numFmtId="0" fontId="4" fillId="11" borderId="18" xfId="1" applyFont="1" applyFill="1" applyBorder="1" applyAlignment="1"/>
    <xf numFmtId="0" fontId="4" fillId="0" borderId="0" xfId="21" applyFont="1" applyBorder="1" applyAlignment="1"/>
    <xf numFmtId="0" fontId="1" fillId="0" borderId="0" xfId="21" applyFont="1" applyBorder="1" applyAlignment="1"/>
    <xf numFmtId="0" fontId="1" fillId="0" borderId="0" xfId="21" applyFont="1" applyAlignment="1"/>
    <xf numFmtId="0" fontId="1" fillId="0" borderId="0" xfId="10" applyFont="1" applyFill="1" applyAlignment="1"/>
    <xf numFmtId="0" fontId="1" fillId="0" borderId="0" xfId="10" applyFont="1" applyFill="1" applyAlignment="1">
      <alignment horizontal="center"/>
    </xf>
    <xf numFmtId="0" fontId="4" fillId="12" borderId="0" xfId="10" applyFont="1" applyFill="1" applyAlignment="1"/>
    <xf numFmtId="0" fontId="4" fillId="0" borderId="0" xfId="10" applyFont="1" applyFill="1" applyAlignment="1"/>
    <xf numFmtId="0" fontId="26" fillId="0" borderId="0" xfId="1" applyNumberFormat="1" applyFont="1" applyBorder="1" applyAlignment="1"/>
    <xf numFmtId="0" fontId="1" fillId="3" borderId="0" xfId="10" applyFont="1" applyFill="1" applyAlignment="1"/>
    <xf numFmtId="0" fontId="1" fillId="13" borderId="0" xfId="10" applyFont="1" applyFill="1" applyAlignment="1"/>
    <xf numFmtId="0" fontId="1" fillId="0" borderId="34" xfId="10" applyFont="1" applyFill="1" applyBorder="1" applyAlignment="1">
      <alignment horizontal="center"/>
    </xf>
    <xf numFmtId="0" fontId="1" fillId="9" borderId="34" xfId="4" applyNumberFormat="1" applyFont="1" applyFill="1" applyBorder="1" applyAlignment="1" applyProtection="1">
      <alignment horizontal="center" vertical="center" textRotation="90"/>
    </xf>
    <xf numFmtId="0" fontId="42" fillId="9" borderId="34" xfId="4" applyNumberFormat="1" applyFont="1" applyFill="1" applyBorder="1" applyAlignment="1" applyProtection="1">
      <alignment horizontal="center"/>
    </xf>
    <xf numFmtId="0" fontId="7" fillId="9" borderId="34" xfId="3" applyFill="1" applyBorder="1" applyAlignment="1">
      <alignment horizontal="center"/>
    </xf>
    <xf numFmtId="0" fontId="1" fillId="0" borderId="0" xfId="10" applyFont="1" applyFill="1" applyAlignment="1">
      <alignment horizontal="center" textRotation="90"/>
    </xf>
    <xf numFmtId="0" fontId="1" fillId="0" borderId="34" xfId="10" applyFont="1" applyFill="1" applyBorder="1" applyAlignment="1"/>
    <xf numFmtId="166" fontId="1" fillId="0" borderId="0" xfId="10" applyNumberFormat="1" applyFont="1" applyFill="1" applyAlignment="1">
      <alignment horizontal="center"/>
    </xf>
    <xf numFmtId="0" fontId="1" fillId="0" borderId="34" xfId="1" applyFont="1" applyFill="1" applyBorder="1" applyAlignment="1"/>
    <xf numFmtId="166" fontId="1" fillId="0" borderId="0" xfId="10" applyNumberFormat="1" applyFont="1" applyFill="1" applyBorder="1" applyAlignment="1">
      <alignment horizontal="center"/>
    </xf>
    <xf numFmtId="0" fontId="1" fillId="3" borderId="0" xfId="10" applyFont="1" applyFill="1" applyAlignment="1">
      <alignment horizontal="right"/>
    </xf>
    <xf numFmtId="0" fontId="4" fillId="3" borderId="0" xfId="10" applyFont="1" applyFill="1" applyAlignment="1">
      <alignment horizontal="center"/>
    </xf>
    <xf numFmtId="166" fontId="1" fillId="3" borderId="0" xfId="10" applyNumberFormat="1" applyFont="1" applyFill="1" applyAlignment="1"/>
    <xf numFmtId="0" fontId="1" fillId="3" borderId="0" xfId="10" applyFont="1" applyFill="1" applyAlignment="1">
      <alignment horizontal="center"/>
    </xf>
    <xf numFmtId="1" fontId="1" fillId="3" borderId="0" xfId="10" applyNumberFormat="1" applyFont="1" applyFill="1" applyAlignment="1">
      <alignment horizontal="center"/>
    </xf>
    <xf numFmtId="0" fontId="4" fillId="0" borderId="0" xfId="10" applyFont="1" applyFill="1" applyAlignment="1">
      <alignment horizontal="center"/>
    </xf>
    <xf numFmtId="0" fontId="26" fillId="0" borderId="0" xfId="1" applyFont="1" applyAlignment="1"/>
    <xf numFmtId="0" fontId="4" fillId="15" borderId="0" xfId="1" applyFont="1" applyFill="1" applyAlignment="1"/>
    <xf numFmtId="0" fontId="1" fillId="15" borderId="0" xfId="1" applyFont="1" applyFill="1"/>
    <xf numFmtId="0" fontId="17" fillId="0" borderId="26" xfId="1" applyFont="1" applyBorder="1"/>
    <xf numFmtId="0" fontId="17" fillId="0" borderId="26" xfId="1" applyFont="1" applyBorder="1" applyAlignment="1">
      <alignment horizontal="center"/>
    </xf>
    <xf numFmtId="0" fontId="1" fillId="0" borderId="26" xfId="1" applyFont="1" applyBorder="1" applyAlignment="1">
      <alignment horizontal="center"/>
    </xf>
    <xf numFmtId="0" fontId="1" fillId="0" borderId="26" xfId="1" applyFont="1" applyBorder="1"/>
    <xf numFmtId="0" fontId="1" fillId="0" borderId="0" xfId="1" applyFont="1" applyAlignment="1">
      <alignment horizontal="center"/>
    </xf>
    <xf numFmtId="0" fontId="4" fillId="0" borderId="0" xfId="1" applyFont="1" applyAlignment="1">
      <alignment horizontal="center"/>
    </xf>
    <xf numFmtId="0" fontId="43" fillId="12" borderId="26" xfId="1" applyFont="1" applyFill="1" applyBorder="1"/>
    <xf numFmtId="0" fontId="17" fillId="0" borderId="0" xfId="1" applyFont="1" applyAlignment="1">
      <alignment horizontal="center"/>
    </xf>
    <xf numFmtId="0" fontId="17" fillId="13" borderId="26" xfId="1" applyFont="1" applyFill="1" applyBorder="1"/>
    <xf numFmtId="0" fontId="17" fillId="0" borderId="26" xfId="1" applyFont="1" applyFill="1" applyBorder="1"/>
    <xf numFmtId="0" fontId="17" fillId="0" borderId="26" xfId="1" applyFont="1" applyFill="1" applyBorder="1" applyAlignment="1">
      <alignment horizontal="center"/>
    </xf>
    <xf numFmtId="0" fontId="1" fillId="0" borderId="26" xfId="1" applyFont="1" applyFill="1" applyBorder="1" applyAlignment="1">
      <alignment horizontal="center"/>
    </xf>
    <xf numFmtId="0" fontId="1" fillId="0" borderId="0" xfId="1" applyFont="1" applyFill="1" applyAlignment="1">
      <alignment horizontal="center"/>
    </xf>
    <xf numFmtId="0" fontId="1" fillId="0" borderId="0" xfId="1" applyFont="1" applyFill="1"/>
    <xf numFmtId="0" fontId="17" fillId="0" borderId="0" xfId="1" applyFont="1" applyFill="1" applyBorder="1"/>
    <xf numFmtId="49" fontId="1" fillId="0" borderId="0" xfId="1" applyNumberFormat="1" applyFont="1" applyFill="1" applyBorder="1" applyAlignment="1">
      <alignment horizontal="center"/>
    </xf>
    <xf numFmtId="0" fontId="1" fillId="0" borderId="0" xfId="1" applyFont="1" applyFill="1" applyBorder="1"/>
    <xf numFmtId="0" fontId="17" fillId="0" borderId="0" xfId="1" applyFont="1" applyBorder="1"/>
    <xf numFmtId="0" fontId="44" fillId="0" borderId="0" xfId="1" applyFont="1" applyFill="1"/>
    <xf numFmtId="0" fontId="31" fillId="0" borderId="0" xfId="1" applyFont="1" applyFill="1"/>
    <xf numFmtId="0" fontId="1" fillId="0" borderId="0" xfId="1" applyFont="1" applyFill="1" applyAlignment="1">
      <alignment horizontal="left"/>
    </xf>
    <xf numFmtId="0" fontId="4" fillId="0" borderId="0" xfId="1" applyFont="1" applyFill="1" applyAlignment="1">
      <alignment horizontal="right"/>
    </xf>
    <xf numFmtId="0" fontId="4" fillId="0" borderId="0" xfId="1" applyFont="1" applyFill="1" applyBorder="1"/>
    <xf numFmtId="0" fontId="1" fillId="0" borderId="0" xfId="1" applyFont="1" applyFill="1" applyBorder="1" applyAlignment="1">
      <alignment horizontal="left"/>
    </xf>
    <xf numFmtId="0" fontId="4" fillId="0" borderId="0" xfId="1" applyFont="1" applyFill="1"/>
    <xf numFmtId="0" fontId="45" fillId="0" borderId="0" xfId="1" applyFont="1" applyFill="1"/>
    <xf numFmtId="0" fontId="4" fillId="0" borderId="26" xfId="1" applyFont="1" applyBorder="1" applyAlignment="1"/>
    <xf numFmtId="0" fontId="4" fillId="12" borderId="26" xfId="1" applyFont="1" applyFill="1" applyBorder="1" applyAlignment="1"/>
    <xf numFmtId="0" fontId="1" fillId="0" borderId="0" xfId="1" applyFont="1" applyFill="1" applyAlignment="1">
      <alignment horizontal="right"/>
    </xf>
    <xf numFmtId="0" fontId="43" fillId="12" borderId="0" xfId="1" applyFont="1" applyFill="1" applyAlignment="1">
      <alignment vertical="center"/>
    </xf>
    <xf numFmtId="0" fontId="1" fillId="3" borderId="26" xfId="1" applyFont="1" applyFill="1" applyBorder="1" applyAlignment="1"/>
    <xf numFmtId="0" fontId="17" fillId="3" borderId="0" xfId="1" applyFont="1" applyFill="1" applyAlignment="1">
      <alignment vertical="center"/>
    </xf>
    <xf numFmtId="0" fontId="1" fillId="13" borderId="26" xfId="1" applyFont="1" applyFill="1" applyBorder="1" applyAlignment="1"/>
    <xf numFmtId="0" fontId="17" fillId="13" borderId="0" xfId="1" applyFont="1" applyFill="1" applyAlignment="1">
      <alignment vertical="center"/>
    </xf>
    <xf numFmtId="0" fontId="1" fillId="0" borderId="26" xfId="1" applyFont="1" applyBorder="1" applyAlignment="1"/>
    <xf numFmtId="0" fontId="4" fillId="0" borderId="0" xfId="1" applyFont="1" applyFill="1" applyBorder="1" applyAlignment="1">
      <alignment horizontal="right"/>
    </xf>
    <xf numFmtId="0" fontId="17" fillId="0" borderId="0" xfId="1" applyFont="1" applyAlignment="1">
      <alignment vertical="center"/>
    </xf>
    <xf numFmtId="0" fontId="4" fillId="9" borderId="8" xfId="1" applyFont="1" applyFill="1" applyBorder="1" applyAlignment="1"/>
    <xf numFmtId="0" fontId="1" fillId="9" borderId="10" xfId="1" applyFont="1" applyFill="1" applyBorder="1" applyAlignment="1"/>
    <xf numFmtId="0" fontId="1" fillId="9" borderId="7" xfId="1" applyFont="1" applyFill="1" applyBorder="1" applyAlignment="1"/>
    <xf numFmtId="0" fontId="1" fillId="9" borderId="8" xfId="1" applyFont="1" applyFill="1" applyBorder="1" applyAlignment="1"/>
    <xf numFmtId="0" fontId="1" fillId="9" borderId="0" xfId="1" applyFont="1" applyFill="1" applyBorder="1" applyAlignment="1"/>
    <xf numFmtId="0" fontId="1" fillId="9" borderId="11" xfId="1" applyFont="1" applyFill="1" applyBorder="1" applyAlignment="1"/>
    <xf numFmtId="0" fontId="4" fillId="6" borderId="37" xfId="1" applyFont="1" applyFill="1" applyBorder="1" applyAlignment="1"/>
    <xf numFmtId="0" fontId="4" fillId="6" borderId="38" xfId="1" applyFont="1" applyFill="1" applyBorder="1" applyAlignment="1"/>
    <xf numFmtId="0" fontId="1" fillId="0" borderId="39" xfId="1" applyFont="1" applyFill="1" applyBorder="1" applyAlignment="1"/>
    <xf numFmtId="0" fontId="1" fillId="0" borderId="40" xfId="1" applyFont="1" applyFill="1" applyBorder="1" applyAlignment="1"/>
    <xf numFmtId="0" fontId="1" fillId="0" borderId="41" xfId="1" applyFont="1" applyFill="1" applyBorder="1" applyAlignment="1"/>
    <xf numFmtId="0" fontId="1" fillId="0" borderId="42" xfId="1" applyFont="1" applyFill="1" applyBorder="1" applyAlignment="1"/>
    <xf numFmtId="0" fontId="1" fillId="0" borderId="43" xfId="1" applyFont="1" applyFill="1" applyBorder="1" applyAlignment="1"/>
    <xf numFmtId="0" fontId="1" fillId="0" borderId="36" xfId="1" applyNumberFormat="1" applyFont="1" applyBorder="1" applyAlignment="1"/>
    <xf numFmtId="0" fontId="1" fillId="0" borderId="35" xfId="1" applyNumberFormat="1" applyFont="1" applyBorder="1" applyAlignment="1"/>
    <xf numFmtId="0" fontId="0" fillId="0" borderId="0" xfId="0" applyFont="1"/>
    <xf numFmtId="0" fontId="0" fillId="0" borderId="26" xfId="0" applyFont="1" applyBorder="1" applyAlignment="1">
      <alignment horizontal="center"/>
    </xf>
    <xf numFmtId="0" fontId="0" fillId="0" borderId="26" xfId="0" applyFont="1" applyBorder="1"/>
    <xf numFmtId="0" fontId="0" fillId="0" borderId="26" xfId="0" applyFont="1" applyFill="1" applyBorder="1"/>
    <xf numFmtId="0" fontId="0" fillId="16" borderId="26" xfId="0" applyFont="1" applyFill="1" applyBorder="1" applyAlignment="1">
      <alignment horizontal="center"/>
    </xf>
    <xf numFmtId="0" fontId="0" fillId="0" borderId="26" xfId="0" applyFont="1" applyFill="1" applyBorder="1" applyAlignment="1">
      <alignment horizontal="center"/>
    </xf>
    <xf numFmtId="0" fontId="4" fillId="0" borderId="26" xfId="0" applyNumberFormat="1" applyFont="1" applyFill="1" applyBorder="1" applyAlignment="1">
      <alignment horizontal="center"/>
    </xf>
    <xf numFmtId="0" fontId="1" fillId="0" borderId="26" xfId="10" applyFont="1" applyFill="1" applyBorder="1" applyAlignment="1"/>
    <xf numFmtId="0" fontId="4" fillId="12" borderId="26" xfId="1" applyFont="1" applyFill="1" applyBorder="1"/>
    <xf numFmtId="0" fontId="1" fillId="0" borderId="0" xfId="1" applyFont="1" applyBorder="1"/>
    <xf numFmtId="0" fontId="0" fillId="0" borderId="0" xfId="0" applyFont="1" applyBorder="1" applyAlignment="1">
      <alignment horizontal="center"/>
    </xf>
    <xf numFmtId="0" fontId="1" fillId="0" borderId="0" xfId="1" applyFont="1" applyFill="1" applyBorder="1" applyAlignment="1">
      <alignment horizontal="center"/>
    </xf>
    <xf numFmtId="0" fontId="1" fillId="0" borderId="6" xfId="1" applyFont="1" applyFill="1" applyBorder="1" applyAlignment="1"/>
    <xf numFmtId="0" fontId="8" fillId="0" borderId="9" xfId="3" applyFont="1" applyFill="1" applyBorder="1" applyAlignment="1"/>
    <xf numFmtId="0" fontId="4" fillId="18" borderId="8" xfId="1" applyFont="1" applyFill="1" applyBorder="1" applyAlignment="1"/>
    <xf numFmtId="0" fontId="1" fillId="0" borderId="46" xfId="1" applyFont="1" applyFill="1" applyBorder="1" applyAlignment="1"/>
    <xf numFmtId="0" fontId="1" fillId="0" borderId="44" xfId="1" applyFont="1" applyFill="1" applyBorder="1" applyAlignment="1"/>
    <xf numFmtId="0" fontId="1" fillId="0" borderId="45" xfId="1" applyFont="1" applyFill="1" applyBorder="1" applyAlignment="1"/>
    <xf numFmtId="0" fontId="4" fillId="0" borderId="46" xfId="1" applyFont="1" applyFill="1" applyBorder="1" applyAlignment="1"/>
    <xf numFmtId="0" fontId="1" fillId="0" borderId="49" xfId="1" applyFont="1" applyFill="1" applyBorder="1" applyAlignment="1"/>
    <xf numFmtId="0" fontId="1" fillId="0" borderId="47" xfId="1" applyFont="1" applyFill="1" applyBorder="1" applyAlignment="1"/>
    <xf numFmtId="0" fontId="1" fillId="0" borderId="47" xfId="0" applyFont="1" applyFill="1" applyBorder="1" applyAlignment="1"/>
    <xf numFmtId="0" fontId="1" fillId="0" borderId="48" xfId="1" applyFont="1" applyFill="1" applyBorder="1" applyAlignment="1"/>
    <xf numFmtId="0" fontId="1" fillId="0" borderId="0" xfId="1" applyFont="1" applyAlignment="1">
      <alignment vertical="top"/>
    </xf>
    <xf numFmtId="0" fontId="1" fillId="4" borderId="0" xfId="1" applyFont="1" applyFill="1" applyBorder="1" applyAlignment="1"/>
    <xf numFmtId="0" fontId="1" fillId="0" borderId="0" xfId="1" applyFont="1" applyFill="1" applyBorder="1" applyAlignment="1"/>
    <xf numFmtId="0" fontId="4" fillId="0" borderId="0" xfId="1" applyFont="1" applyFill="1" applyBorder="1" applyAlignment="1"/>
    <xf numFmtId="0" fontId="4" fillId="0" borderId="0" xfId="1" applyFont="1" applyAlignment="1">
      <alignment vertical="top"/>
    </xf>
    <xf numFmtId="0" fontId="1" fillId="0" borderId="4" xfId="1" applyFont="1" applyFill="1" applyBorder="1" applyAlignment="1"/>
    <xf numFmtId="0" fontId="2" fillId="5" borderId="5" xfId="1" applyFont="1" applyFill="1" applyBorder="1" applyAlignment="1"/>
    <xf numFmtId="0" fontId="1" fillId="0" borderId="6" xfId="1" applyFont="1" applyFill="1" applyBorder="1" applyAlignment="1"/>
    <xf numFmtId="0" fontId="4" fillId="6" borderId="5" xfId="1" applyFont="1" applyFill="1" applyBorder="1" applyAlignment="1"/>
    <xf numFmtId="0" fontId="1" fillId="0" borderId="7" xfId="1" applyFont="1" applyFill="1" applyBorder="1" applyAlignment="1"/>
    <xf numFmtId="0" fontId="1" fillId="0" borderId="8" xfId="1" applyFont="1" applyFill="1" applyBorder="1" applyAlignment="1"/>
    <xf numFmtId="0" fontId="1" fillId="0" borderId="9" xfId="1" applyFont="1" applyFill="1" applyBorder="1" applyAlignment="1"/>
    <xf numFmtId="0" fontId="1" fillId="0" borderId="10" xfId="1" applyFont="1" applyFill="1" applyBorder="1" applyAlignment="1"/>
    <xf numFmtId="0" fontId="1" fillId="0" borderId="11" xfId="1" applyFont="1" applyFill="1" applyBorder="1" applyAlignment="1"/>
    <xf numFmtId="0" fontId="4" fillId="4" borderId="0" xfId="1" applyFont="1" applyFill="1" applyBorder="1" applyAlignment="1"/>
    <xf numFmtId="0" fontId="1" fillId="0" borderId="14" xfId="1" applyFont="1" applyFill="1" applyBorder="1" applyAlignment="1"/>
    <xf numFmtId="0" fontId="4" fillId="6" borderId="15" xfId="1" applyFont="1" applyFill="1" applyBorder="1" applyAlignment="1"/>
    <xf numFmtId="0" fontId="1" fillId="0" borderId="16" xfId="1" applyFont="1" applyFill="1" applyBorder="1" applyAlignment="1"/>
    <xf numFmtId="0" fontId="1" fillId="0" borderId="17" xfId="1" applyFont="1" applyFill="1" applyBorder="1" applyAlignment="1"/>
    <xf numFmtId="0" fontId="4" fillId="0" borderId="0" xfId="1" applyFont="1" applyBorder="1" applyAlignment="1">
      <alignment vertical="top"/>
    </xf>
    <xf numFmtId="0" fontId="4" fillId="4" borderId="0" xfId="1" quotePrefix="1" applyNumberFormat="1" applyFont="1" applyFill="1" applyBorder="1" applyAlignment="1"/>
    <xf numFmtId="0" fontId="23" fillId="0" borderId="0" xfId="0" applyFont="1" applyFill="1" applyBorder="1" applyAlignment="1"/>
    <xf numFmtId="0" fontId="23" fillId="0" borderId="4" xfId="3" applyFont="1" applyFill="1" applyBorder="1" applyAlignment="1"/>
    <xf numFmtId="0" fontId="23" fillId="0" borderId="0" xfId="1" applyFont="1" applyFill="1" applyBorder="1" applyAlignment="1"/>
    <xf numFmtId="0" fontId="23" fillId="0" borderId="8" xfId="1" applyFont="1" applyFill="1" applyBorder="1" applyAlignment="1">
      <alignment horizontal="right"/>
    </xf>
    <xf numFmtId="0" fontId="1" fillId="9" borderId="10" xfId="1" applyFont="1" applyFill="1" applyBorder="1" applyAlignment="1"/>
    <xf numFmtId="0" fontId="1" fillId="0" borderId="16" xfId="0" applyFont="1" applyFill="1" applyBorder="1" applyAlignment="1"/>
    <xf numFmtId="0" fontId="1" fillId="0" borderId="0" xfId="0" applyFont="1" applyFill="1" applyBorder="1" applyAlignment="1"/>
    <xf numFmtId="0" fontId="1" fillId="9" borderId="8" xfId="1" applyFont="1" applyFill="1" applyBorder="1" applyAlignment="1"/>
    <xf numFmtId="0" fontId="4" fillId="6" borderId="37" xfId="1" applyFont="1" applyFill="1" applyBorder="1" applyAlignment="1"/>
    <xf numFmtId="0" fontId="22" fillId="0" borderId="10" xfId="3" applyFont="1" applyFill="1" applyBorder="1" applyAlignment="1">
      <alignment horizontal="right"/>
    </xf>
    <xf numFmtId="0" fontId="1" fillId="0" borderId="25" xfId="1" applyFont="1" applyFill="1" applyBorder="1" applyAlignment="1"/>
    <xf numFmtId="0" fontId="7" fillId="0" borderId="11" xfId="3" applyFill="1" applyBorder="1" applyAlignment="1"/>
    <xf numFmtId="0" fontId="24" fillId="0" borderId="12" xfId="3" applyFont="1" applyFill="1" applyBorder="1" applyAlignment="1"/>
    <xf numFmtId="0" fontId="2" fillId="16" borderId="26" xfId="0" applyFont="1" applyFill="1" applyBorder="1" applyAlignment="1">
      <alignment horizontal="center"/>
    </xf>
    <xf numFmtId="0" fontId="2" fillId="16" borderId="26" xfId="0" applyFont="1" applyFill="1" applyBorder="1"/>
    <xf numFmtId="0" fontId="1" fillId="0" borderId="0" xfId="5" applyFont="1" applyFill="1" applyAlignment="1"/>
    <xf numFmtId="0" fontId="4" fillId="0" borderId="0" xfId="5" applyFont="1" applyFill="1" applyBorder="1" applyAlignment="1">
      <alignment horizontal="center"/>
    </xf>
    <xf numFmtId="0" fontId="1" fillId="0" borderId="0" xfId="5" applyFont="1" applyFill="1" applyBorder="1" applyAlignment="1"/>
    <xf numFmtId="0" fontId="1" fillId="0" borderId="0" xfId="5" applyFont="1" applyFill="1" applyAlignment="1">
      <alignment horizontal="center"/>
    </xf>
    <xf numFmtId="0" fontId="0" fillId="0" borderId="0" xfId="5" applyFont="1" applyFill="1" applyAlignment="1">
      <alignment horizontal="right"/>
    </xf>
    <xf numFmtId="0" fontId="1" fillId="0" borderId="0" xfId="5" applyFont="1" applyFill="1" applyAlignment="1">
      <alignment horizontal="right"/>
    </xf>
    <xf numFmtId="0" fontId="1" fillId="0" borderId="0" xfId="5" applyFont="1" applyFill="1" applyAlignment="1">
      <alignment textRotation="90"/>
    </xf>
    <xf numFmtId="0" fontId="4" fillId="12" borderId="0" xfId="5" applyFont="1" applyFill="1" applyAlignment="1"/>
    <xf numFmtId="0" fontId="26" fillId="0" borderId="0" xfId="10" applyFont="1" applyFill="1" applyBorder="1" applyAlignment="1"/>
    <xf numFmtId="0" fontId="26" fillId="0" borderId="0" xfId="5" applyFont="1" applyFill="1" applyBorder="1" applyAlignment="1"/>
    <xf numFmtId="0" fontId="1" fillId="3" borderId="0" xfId="5" applyFont="1" applyFill="1" applyAlignment="1"/>
    <xf numFmtId="0" fontId="1" fillId="13" borderId="0" xfId="5" applyFont="1" applyFill="1" applyAlignment="1"/>
    <xf numFmtId="0" fontId="26" fillId="0" borderId="26" xfId="5" applyFont="1" applyFill="1" applyBorder="1" applyAlignment="1"/>
    <xf numFmtId="0" fontId="1" fillId="0" borderId="26" xfId="5" applyFont="1" applyFill="1" applyBorder="1" applyAlignment="1">
      <alignment horizontal="center" textRotation="90"/>
    </xf>
    <xf numFmtId="0" fontId="4" fillId="0" borderId="26" xfId="5" applyFont="1" applyFill="1" applyBorder="1" applyAlignment="1">
      <alignment horizontal="center"/>
    </xf>
    <xf numFmtId="0" fontId="38" fillId="0" borderId="26" xfId="5" applyFont="1" applyFill="1" applyBorder="1" applyAlignment="1">
      <alignment horizontal="center"/>
    </xf>
    <xf numFmtId="0" fontId="39" fillId="0" borderId="26" xfId="5" applyFont="1" applyFill="1" applyBorder="1" applyAlignment="1">
      <alignment horizontal="center"/>
    </xf>
    <xf numFmtId="0" fontId="1" fillId="0" borderId="27" xfId="5" applyFont="1" applyFill="1" applyBorder="1" applyAlignment="1">
      <alignment textRotation="90"/>
    </xf>
    <xf numFmtId="0" fontId="1" fillId="0" borderId="0" xfId="5" applyFont="1" applyFill="1" applyAlignment="1">
      <alignment horizontal="center" textRotation="90"/>
    </xf>
    <xf numFmtId="0" fontId="4" fillId="0" borderId="26" xfId="5" applyFont="1" applyFill="1" applyBorder="1" applyAlignment="1"/>
    <xf numFmtId="0" fontId="35" fillId="0" borderId="26" xfId="5" applyFont="1" applyFill="1" applyBorder="1" applyAlignment="1"/>
    <xf numFmtId="0" fontId="1" fillId="0" borderId="26" xfId="20" applyFont="1" applyFill="1" applyBorder="1" applyAlignment="1">
      <alignment horizontal="center"/>
    </xf>
    <xf numFmtId="0" fontId="1" fillId="0" borderId="26" xfId="5" applyFont="1" applyFill="1" applyBorder="1" applyAlignment="1">
      <alignment horizontal="center"/>
    </xf>
    <xf numFmtId="166" fontId="1" fillId="0" borderId="0" xfId="5" applyNumberFormat="1" applyFont="1" applyFill="1" applyBorder="1" applyAlignment="1">
      <alignment horizontal="center"/>
    </xf>
    <xf numFmtId="166" fontId="1" fillId="0" borderId="0" xfId="5" applyNumberFormat="1" applyFont="1" applyFill="1" applyAlignment="1">
      <alignment horizontal="center"/>
    </xf>
    <xf numFmtId="0" fontId="4" fillId="0" borderId="0" xfId="5" applyFont="1" applyFill="1" applyAlignment="1">
      <alignment horizontal="center"/>
    </xf>
    <xf numFmtId="0" fontId="4" fillId="3" borderId="0" xfId="5" applyFont="1" applyFill="1" applyAlignment="1"/>
    <xf numFmtId="0" fontId="1" fillId="3" borderId="0" xfId="5" applyFont="1" applyFill="1" applyAlignment="1">
      <alignment horizontal="right"/>
    </xf>
    <xf numFmtId="0" fontId="4" fillId="3" borderId="0" xfId="5" applyFont="1" applyFill="1" applyAlignment="1">
      <alignment horizontal="center"/>
    </xf>
    <xf numFmtId="166" fontId="1" fillId="3" borderId="0" xfId="5" applyNumberFormat="1" applyFont="1" applyFill="1" applyAlignment="1">
      <alignment horizontal="center"/>
    </xf>
    <xf numFmtId="166" fontId="4" fillId="3" borderId="0" xfId="5" applyNumberFormat="1" applyFont="1" applyFill="1" applyAlignment="1"/>
    <xf numFmtId="0" fontId="1" fillId="3" borderId="0" xfId="5" applyFont="1" applyFill="1" applyAlignment="1">
      <alignment horizontal="center"/>
    </xf>
    <xf numFmtId="0" fontId="4" fillId="0" borderId="0" xfId="5" applyFont="1" applyFill="1" applyAlignment="1"/>
    <xf numFmtId="0" fontId="26" fillId="0" borderId="0" xfId="5" applyFont="1" applyFill="1" applyAlignment="1"/>
    <xf numFmtId="0" fontId="8" fillId="0" borderId="0" xfId="5" applyFont="1" applyFill="1" applyAlignment="1"/>
    <xf numFmtId="0" fontId="1" fillId="7" borderId="26" xfId="10" applyNumberFormat="1" applyFont="1" applyFill="1" applyBorder="1" applyAlignment="1">
      <alignment textRotation="90"/>
    </xf>
    <xf numFmtId="0" fontId="36" fillId="0" borderId="26" xfId="10" applyFont="1" applyFill="1" applyBorder="1" applyAlignment="1">
      <alignment horizontal="center"/>
    </xf>
    <xf numFmtId="0" fontId="36" fillId="0" borderId="26" xfId="10" applyFont="1" applyFill="1" applyBorder="1" applyAlignment="1"/>
    <xf numFmtId="166" fontId="36" fillId="0" borderId="26" xfId="10" applyNumberFormat="1" applyFont="1" applyFill="1" applyBorder="1" applyAlignment="1">
      <alignment horizontal="center"/>
    </xf>
    <xf numFmtId="170" fontId="36" fillId="0" borderId="26" xfId="10" applyNumberFormat="1" applyFont="1" applyFill="1" applyBorder="1" applyAlignment="1">
      <alignment horizontal="center"/>
    </xf>
    <xf numFmtId="0" fontId="1" fillId="19" borderId="26" xfId="5" applyFont="1" applyFill="1" applyBorder="1" applyAlignment="1"/>
    <xf numFmtId="0" fontId="1" fillId="19" borderId="26" xfId="1" applyFont="1" applyFill="1" applyBorder="1" applyAlignment="1"/>
    <xf numFmtId="0" fontId="0" fillId="0" borderId="0" xfId="1" applyFont="1" applyAlignment="1">
      <alignment vertical="top"/>
    </xf>
    <xf numFmtId="0" fontId="24" fillId="0" borderId="4" xfId="3" applyFont="1" applyFill="1" applyBorder="1" applyAlignment="1"/>
    <xf numFmtId="0" fontId="1" fillId="0" borderId="27" xfId="9" applyFont="1" applyFill="1" applyBorder="1" applyAlignment="1">
      <alignment textRotation="90"/>
    </xf>
    <xf numFmtId="0" fontId="1" fillId="0" borderId="0" xfId="9" applyFont="1" applyFill="1" applyAlignment="1">
      <alignment horizontal="center" textRotation="90"/>
    </xf>
    <xf numFmtId="0" fontId="1" fillId="0" borderId="0" xfId="9" applyFont="1" applyFill="1" applyAlignment="1">
      <alignment textRotation="90"/>
    </xf>
    <xf numFmtId="0" fontId="1" fillId="0" borderId="0" xfId="9" applyFont="1" applyFill="1" applyBorder="1" applyAlignment="1">
      <alignment horizontal="center"/>
    </xf>
    <xf numFmtId="0" fontId="1" fillId="0" borderId="51" xfId="9" applyFont="1" applyFill="1" applyBorder="1" applyAlignment="1">
      <alignment horizontal="center"/>
    </xf>
    <xf numFmtId="0" fontId="36" fillId="0" borderId="26" xfId="0" applyFont="1" applyBorder="1" applyAlignment="1">
      <alignment horizontal="center"/>
    </xf>
    <xf numFmtId="0" fontId="4" fillId="0" borderId="26" xfId="0" applyFont="1" applyBorder="1" applyAlignment="1">
      <alignment horizontal="center"/>
    </xf>
    <xf numFmtId="0" fontId="36" fillId="0" borderId="26" xfId="0" applyFont="1" applyBorder="1"/>
    <xf numFmtId="0" fontId="0" fillId="0" borderId="0" xfId="0" applyFont="1" applyFill="1" applyAlignment="1">
      <alignment horizontal="center"/>
    </xf>
    <xf numFmtId="0" fontId="0" fillId="0" borderId="0" xfId="0" applyFont="1" applyAlignment="1">
      <alignment horizontal="center"/>
    </xf>
    <xf numFmtId="166" fontId="1" fillId="0" borderId="35" xfId="9" applyNumberFormat="1" applyFont="1" applyFill="1" applyBorder="1" applyAlignment="1">
      <alignment horizontal="center"/>
    </xf>
    <xf numFmtId="166" fontId="1" fillId="0" borderId="0" xfId="9" applyNumberFormat="1" applyFont="1" applyFill="1" applyBorder="1" applyAlignment="1">
      <alignment horizontal="center"/>
    </xf>
    <xf numFmtId="0" fontId="4" fillId="0" borderId="0" xfId="9" applyFont="1" applyFill="1" applyBorder="1" applyAlignment="1">
      <alignment horizontal="center"/>
    </xf>
    <xf numFmtId="0" fontId="1" fillId="0" borderId="0" xfId="9" applyFont="1" applyAlignment="1"/>
    <xf numFmtId="0" fontId="17" fillId="0" borderId="0" xfId="9" applyFont="1" applyAlignment="1"/>
    <xf numFmtId="0" fontId="26" fillId="0" borderId="0" xfId="21" applyFont="1" applyBorder="1" applyAlignment="1"/>
    <xf numFmtId="0" fontId="1" fillId="20" borderId="26" xfId="9" applyNumberFormat="1" applyFont="1" applyFill="1" applyBorder="1" applyAlignment="1">
      <alignment vertical="center"/>
    </xf>
    <xf numFmtId="0" fontId="34" fillId="20" borderId="26" xfId="3" applyFont="1" applyFill="1" applyBorder="1" applyAlignment="1">
      <alignment horizontal="center"/>
    </xf>
    <xf numFmtId="0" fontId="1" fillId="0" borderId="0" xfId="1" applyFont="1" applyAlignment="1">
      <alignment vertical="top"/>
    </xf>
    <xf numFmtId="0" fontId="4" fillId="0" borderId="0" xfId="1" applyFont="1" applyAlignment="1">
      <alignment vertical="top"/>
    </xf>
    <xf numFmtId="0" fontId="4" fillId="0" borderId="0" xfId="1" applyFont="1" applyFill="1" applyBorder="1" applyAlignment="1"/>
    <xf numFmtId="0" fontId="1" fillId="0" borderId="11" xfId="1" applyFont="1" applyFill="1" applyBorder="1" applyAlignment="1"/>
    <xf numFmtId="0" fontId="1" fillId="0" borderId="0" xfId="1" applyFont="1" applyFill="1" applyBorder="1" applyAlignment="1"/>
    <xf numFmtId="0" fontId="4" fillId="0" borderId="8" xfId="1" applyFont="1" applyFill="1" applyBorder="1" applyAlignment="1"/>
    <xf numFmtId="0" fontId="1" fillId="0" borderId="6" xfId="1" applyFont="1" applyFill="1" applyBorder="1" applyAlignment="1"/>
    <xf numFmtId="0" fontId="1" fillId="0" borderId="7" xfId="1" applyFont="1" applyFill="1" applyBorder="1" applyAlignment="1"/>
    <xf numFmtId="0" fontId="4" fillId="7" borderId="8" xfId="1" applyFont="1" applyFill="1" applyBorder="1" applyAlignment="1"/>
    <xf numFmtId="0" fontId="4" fillId="0" borderId="18" xfId="1" applyFont="1" applyFill="1" applyBorder="1" applyAlignment="1"/>
    <xf numFmtId="0" fontId="1" fillId="0" borderId="17" xfId="1" applyFont="1" applyFill="1" applyBorder="1" applyAlignment="1"/>
    <xf numFmtId="0" fontId="1" fillId="7" borderId="10" xfId="1" applyFont="1" applyFill="1" applyBorder="1" applyAlignment="1"/>
    <xf numFmtId="0" fontId="4" fillId="9" borderId="8" xfId="1" applyFont="1" applyFill="1" applyBorder="1" applyAlignment="1"/>
    <xf numFmtId="0" fontId="4" fillId="7" borderId="0" xfId="1" applyFont="1" applyFill="1" applyAlignment="1">
      <alignment vertical="top"/>
    </xf>
    <xf numFmtId="0" fontId="0" fillId="3" borderId="7" xfId="1" applyFont="1" applyFill="1" applyBorder="1" applyAlignment="1"/>
    <xf numFmtId="0" fontId="23" fillId="0" borderId="7" xfId="1" applyFont="1" applyFill="1" applyBorder="1" applyAlignment="1"/>
    <xf numFmtId="0" fontId="1" fillId="7" borderId="8" xfId="1" applyFont="1" applyFill="1" applyBorder="1" applyAlignment="1"/>
    <xf numFmtId="0" fontId="1" fillId="7" borderId="0" xfId="1" applyFont="1" applyFill="1" applyBorder="1" applyAlignment="1"/>
    <xf numFmtId="0" fontId="4" fillId="0" borderId="7" xfId="1" applyFont="1" applyBorder="1" applyAlignment="1">
      <alignment vertical="top"/>
    </xf>
    <xf numFmtId="0" fontId="1" fillId="7" borderId="11" xfId="1" applyFont="1" applyFill="1" applyBorder="1" applyAlignment="1"/>
    <xf numFmtId="0" fontId="1" fillId="0" borderId="9" xfId="1" applyFont="1" applyBorder="1" applyAlignment="1">
      <alignment vertical="top"/>
    </xf>
    <xf numFmtId="0" fontId="23" fillId="0" borderId="21" xfId="1" applyFont="1" applyFill="1" applyBorder="1" applyAlignment="1">
      <alignment horizontal="right"/>
    </xf>
    <xf numFmtId="0" fontId="1" fillId="0" borderId="21" xfId="1" applyFont="1" applyFill="1" applyBorder="1" applyAlignment="1"/>
    <xf numFmtId="0" fontId="1" fillId="3" borderId="8" xfId="1" applyFont="1" applyFill="1" applyBorder="1" applyAlignment="1"/>
    <xf numFmtId="0" fontId="4" fillId="0" borderId="0" xfId="1" applyFont="1" applyFill="1" applyBorder="1" applyAlignment="1">
      <alignment vertical="top"/>
    </xf>
    <xf numFmtId="49" fontId="0" fillId="0" borderId="26" xfId="1" applyNumberFormat="1" applyFont="1" applyFill="1" applyBorder="1" applyAlignment="1"/>
    <xf numFmtId="0" fontId="7" fillId="0" borderId="0" xfId="3" applyFill="1" applyAlignment="1">
      <alignment vertical="top"/>
    </xf>
    <xf numFmtId="0" fontId="46" fillId="0" borderId="26" xfId="3" applyFont="1" applyFill="1" applyBorder="1" applyAlignment="1"/>
    <xf numFmtId="0" fontId="2" fillId="3" borderId="0" xfId="1" applyFont="1" applyFill="1" applyBorder="1" applyAlignment="1"/>
    <xf numFmtId="0" fontId="2" fillId="5" borderId="53" xfId="1" applyFont="1" applyFill="1" applyBorder="1" applyAlignment="1"/>
    <xf numFmtId="0" fontId="2" fillId="3" borderId="19" xfId="1" applyFont="1" applyFill="1" applyBorder="1" applyAlignment="1"/>
    <xf numFmtId="0" fontId="1" fillId="3" borderId="4" xfId="1" applyFont="1" applyFill="1" applyBorder="1" applyAlignment="1"/>
    <xf numFmtId="0" fontId="2" fillId="0" borderId="20" xfId="1" applyFont="1" applyFill="1" applyBorder="1" applyAlignment="1"/>
    <xf numFmtId="0" fontId="4" fillId="0" borderId="4" xfId="1" applyFont="1" applyFill="1" applyBorder="1" applyAlignment="1">
      <alignment vertical="top"/>
    </xf>
    <xf numFmtId="0" fontId="1" fillId="0" borderId="7" xfId="1" applyFont="1" applyFill="1" applyBorder="1" applyAlignment="1">
      <alignment vertical="top"/>
    </xf>
    <xf numFmtId="0" fontId="4" fillId="0" borderId="7" xfId="1" applyFont="1" applyFill="1" applyBorder="1" applyAlignment="1">
      <alignment vertical="top"/>
    </xf>
    <xf numFmtId="0" fontId="7" fillId="7" borderId="26" xfId="3" applyFill="1" applyBorder="1" applyAlignment="1">
      <alignment horizontal="center"/>
    </xf>
    <xf numFmtId="0" fontId="8" fillId="3" borderId="4" xfId="3" applyFont="1" applyFill="1" applyBorder="1" applyAlignment="1"/>
    <xf numFmtId="0" fontId="0" fillId="0" borderId="0" xfId="1" applyFont="1" applyAlignment="1"/>
    <xf numFmtId="0" fontId="7" fillId="12" borderId="26" xfId="3" applyNumberFormat="1" applyFill="1" applyBorder="1" applyAlignment="1"/>
    <xf numFmtId="0" fontId="48" fillId="0" borderId="8" xfId="1" applyFont="1" applyFill="1" applyBorder="1" applyAlignment="1">
      <alignment horizontal="right"/>
    </xf>
    <xf numFmtId="0" fontId="23" fillId="0" borderId="23" xfId="1" applyFont="1" applyFill="1" applyBorder="1" applyAlignment="1"/>
    <xf numFmtId="0" fontId="7" fillId="0" borderId="11" xfId="3" applyFill="1" applyBorder="1" applyAlignment="1">
      <alignment horizontal="right" vertical="top"/>
    </xf>
    <xf numFmtId="0" fontId="40" fillId="7" borderId="26" xfId="5" applyFont="1" applyFill="1" applyBorder="1" applyAlignment="1">
      <alignment horizontal="center"/>
    </xf>
    <xf numFmtId="0" fontId="40" fillId="7" borderId="26" xfId="10" applyFont="1" applyFill="1" applyBorder="1" applyAlignment="1">
      <alignment horizontal="center"/>
    </xf>
    <xf numFmtId="0" fontId="40" fillId="9" borderId="34" xfId="21" applyFont="1" applyFill="1" applyBorder="1" applyAlignment="1">
      <alignment horizontal="center"/>
    </xf>
    <xf numFmtId="0" fontId="4" fillId="9" borderId="34" xfId="21" applyFont="1" applyFill="1" applyBorder="1" applyAlignment="1"/>
    <xf numFmtId="168" fontId="40" fillId="8" borderId="26" xfId="9" applyNumberFormat="1" applyFont="1" applyFill="1" applyBorder="1" applyAlignment="1">
      <alignment horizontal="center"/>
    </xf>
    <xf numFmtId="0" fontId="40" fillId="8" borderId="26" xfId="9" applyFont="1" applyFill="1" applyBorder="1" applyAlignment="1">
      <alignment horizontal="center"/>
    </xf>
    <xf numFmtId="0" fontId="40" fillId="20" borderId="26" xfId="21" applyFont="1" applyFill="1" applyBorder="1" applyAlignment="1">
      <alignment horizontal="center"/>
    </xf>
    <xf numFmtId="0" fontId="40" fillId="20" borderId="26" xfId="9" applyFont="1" applyFill="1" applyBorder="1" applyAlignment="1">
      <alignment horizontal="center"/>
    </xf>
    <xf numFmtId="0" fontId="50" fillId="0" borderId="26" xfId="20" applyFont="1" applyFill="1" applyBorder="1" applyAlignment="1">
      <alignment horizontal="center"/>
    </xf>
    <xf numFmtId="0" fontId="50" fillId="0" borderId="26" xfId="5" applyFont="1" applyFill="1" applyBorder="1" applyAlignment="1">
      <alignment horizontal="center"/>
    </xf>
    <xf numFmtId="0" fontId="4" fillId="0" borderId="8" xfId="1" applyFont="1" applyBorder="1" applyAlignment="1">
      <alignment vertical="top"/>
    </xf>
    <xf numFmtId="0" fontId="1" fillId="7" borderId="50" xfId="1" applyFont="1" applyFill="1" applyBorder="1" applyAlignment="1"/>
    <xf numFmtId="0" fontId="4" fillId="0" borderId="17" xfId="1" applyFont="1" applyFill="1" applyBorder="1" applyAlignment="1">
      <alignment vertical="top"/>
    </xf>
    <xf numFmtId="0" fontId="1" fillId="0" borderId="0" xfId="1" applyFont="1" applyFill="1" applyAlignment="1">
      <alignment horizontal="right" vertical="top"/>
    </xf>
    <xf numFmtId="0" fontId="4" fillId="0" borderId="28" xfId="19" applyFont="1" applyBorder="1" applyAlignment="1"/>
    <xf numFmtId="0" fontId="1" fillId="0" borderId="30" xfId="19" applyNumberFormat="1" applyFont="1" applyBorder="1" applyAlignment="1">
      <alignment horizontal="center"/>
    </xf>
    <xf numFmtId="0" fontId="4" fillId="0" borderId="26" xfId="19" applyFont="1" applyBorder="1" applyAlignment="1">
      <alignment horizontal="center"/>
    </xf>
    <xf numFmtId="0" fontId="4" fillId="0" borderId="26" xfId="19" applyFont="1" applyBorder="1" applyAlignment="1"/>
    <xf numFmtId="0" fontId="23" fillId="0" borderId="4" xfId="14" applyFont="1" applyFill="1" applyBorder="1" applyAlignment="1"/>
    <xf numFmtId="0" fontId="23" fillId="0" borderId="7" xfId="14" applyFont="1" applyFill="1" applyBorder="1" applyAlignment="1"/>
    <xf numFmtId="0" fontId="24" fillId="0" borderId="11" xfId="3" applyFont="1" applyFill="1" applyBorder="1" applyAlignment="1">
      <alignment horizontal="right"/>
    </xf>
    <xf numFmtId="0" fontId="1" fillId="0" borderId="26" xfId="19" applyFont="1" applyFill="1" applyBorder="1" applyAlignment="1">
      <alignment horizontal="center"/>
    </xf>
    <xf numFmtId="0" fontId="4" fillId="0" borderId="26" xfId="19" applyFont="1" applyBorder="1"/>
    <xf numFmtId="0" fontId="1" fillId="0" borderId="0" xfId="19" applyFont="1"/>
    <xf numFmtId="0" fontId="1" fillId="16" borderId="26" xfId="19" applyFont="1" applyFill="1" applyBorder="1" applyAlignment="1">
      <alignment horizontal="center"/>
    </xf>
    <xf numFmtId="0" fontId="1" fillId="0" borderId="26" xfId="19" applyFont="1" applyBorder="1" applyAlignment="1">
      <alignment horizontal="center"/>
    </xf>
    <xf numFmtId="0" fontId="17" fillId="0" borderId="26" xfId="19" applyFont="1" applyBorder="1" applyAlignment="1">
      <alignment horizontal="center"/>
    </xf>
    <xf numFmtId="0" fontId="1" fillId="17" borderId="26" xfId="19" applyFont="1" applyFill="1" applyBorder="1" applyAlignment="1">
      <alignment horizontal="center"/>
    </xf>
    <xf numFmtId="0" fontId="1" fillId="0" borderId="0" xfId="19" applyFont="1" applyBorder="1" applyAlignment="1">
      <alignment horizontal="right"/>
    </xf>
    <xf numFmtId="49" fontId="1" fillId="0" borderId="0" xfId="19" applyNumberFormat="1" applyFont="1" applyBorder="1" applyAlignment="1">
      <alignment horizontal="center"/>
    </xf>
    <xf numFmtId="0" fontId="4" fillId="0" borderId="0" xfId="19" applyFont="1" applyBorder="1" applyAlignment="1"/>
    <xf numFmtId="0" fontId="1" fillId="0" borderId="0" xfId="19" applyFont="1" applyAlignment="1"/>
    <xf numFmtId="0" fontId="1" fillId="0" borderId="0" xfId="19" applyFont="1" applyBorder="1" applyAlignment="1">
      <alignment horizontal="center"/>
    </xf>
    <xf numFmtId="0" fontId="45" fillId="0" borderId="0" xfId="9" applyFont="1" applyAlignment="1"/>
    <xf numFmtId="0" fontId="43" fillId="0" borderId="0" xfId="9" applyFont="1" applyAlignment="1">
      <alignment horizontal="right"/>
    </xf>
    <xf numFmtId="0" fontId="17" fillId="0" borderId="0" xfId="9" applyFont="1" applyAlignment="1">
      <alignment horizontal="right"/>
    </xf>
    <xf numFmtId="0" fontId="17" fillId="0" borderId="35" xfId="9" applyFont="1" applyBorder="1" applyAlignment="1"/>
    <xf numFmtId="0" fontId="17" fillId="0" borderId="55" xfId="9" applyFont="1" applyBorder="1" applyAlignment="1"/>
    <xf numFmtId="0" fontId="17" fillId="0" borderId="51" xfId="9" applyFont="1" applyBorder="1" applyAlignment="1"/>
    <xf numFmtId="0" fontId="17" fillId="0" borderId="0" xfId="9" applyFont="1" applyAlignment="1">
      <alignment horizontal="left"/>
    </xf>
    <xf numFmtId="0" fontId="17" fillId="0" borderId="56" xfId="9" applyFont="1" applyFill="1" applyBorder="1" applyAlignment="1"/>
    <xf numFmtId="0" fontId="17" fillId="0" borderId="27" xfId="9" applyFont="1" applyBorder="1" applyAlignment="1">
      <alignment horizontal="left"/>
    </xf>
    <xf numFmtId="0" fontId="17" fillId="0" borderId="57" xfId="9" applyFont="1" applyBorder="1" applyAlignment="1"/>
    <xf numFmtId="0" fontId="17" fillId="0" borderId="0" xfId="9" applyFont="1" applyBorder="1" applyAlignment="1"/>
    <xf numFmtId="0" fontId="17" fillId="0" borderId="58" xfId="9" applyFont="1" applyBorder="1" applyAlignment="1"/>
    <xf numFmtId="0" fontId="17" fillId="0" borderId="51" xfId="9" applyFont="1" applyFill="1" applyBorder="1" applyAlignment="1"/>
    <xf numFmtId="0" fontId="17" fillId="0" borderId="0" xfId="9" applyFont="1" applyBorder="1" applyAlignment="1">
      <alignment horizontal="left"/>
    </xf>
    <xf numFmtId="0" fontId="17" fillId="0" borderId="27" xfId="9" applyFont="1" applyBorder="1" applyAlignment="1"/>
    <xf numFmtId="0" fontId="17" fillId="0" borderId="56" xfId="9" applyFont="1" applyBorder="1" applyAlignment="1"/>
    <xf numFmtId="0" fontId="17" fillId="0" borderId="59" xfId="9" applyFont="1" applyBorder="1" applyAlignment="1"/>
    <xf numFmtId="0" fontId="43" fillId="0" borderId="16" xfId="9" applyFont="1" applyBorder="1" applyAlignment="1"/>
    <xf numFmtId="0" fontId="17" fillId="0" borderId="16" xfId="9" applyFont="1" applyBorder="1" applyAlignment="1"/>
    <xf numFmtId="0" fontId="17" fillId="0" borderId="60" xfId="9" applyFont="1" applyBorder="1" applyAlignment="1"/>
    <xf numFmtId="0" fontId="17" fillId="0" borderId="36" xfId="9" applyFont="1" applyBorder="1" applyAlignment="1">
      <alignment horizontal="left"/>
    </xf>
    <xf numFmtId="0" fontId="43" fillId="0" borderId="0" xfId="9" applyFont="1" applyBorder="1" applyAlignment="1"/>
    <xf numFmtId="0" fontId="43" fillId="0" borderId="0" xfId="9" applyFont="1" applyAlignment="1"/>
    <xf numFmtId="0" fontId="0" fillId="0" borderId="26" xfId="19" applyFont="1" applyBorder="1" applyAlignment="1">
      <alignment horizontal="center"/>
    </xf>
    <xf numFmtId="0" fontId="0" fillId="0" borderId="26" xfId="19" applyFont="1" applyBorder="1"/>
    <xf numFmtId="49" fontId="0" fillId="0" borderId="26" xfId="19" applyNumberFormat="1" applyFont="1" applyFill="1" applyBorder="1" applyAlignment="1">
      <alignment horizontal="center"/>
    </xf>
    <xf numFmtId="49" fontId="0" fillId="0" borderId="26" xfId="19" applyNumberFormat="1" applyFont="1" applyBorder="1" applyAlignment="1">
      <alignment horizontal="center"/>
    </xf>
    <xf numFmtId="0" fontId="0" fillId="0" borderId="0" xfId="19" quotePrefix="1" applyFont="1" applyAlignment="1"/>
    <xf numFmtId="0" fontId="0" fillId="0" borderId="54" xfId="1" applyFont="1" applyBorder="1" applyAlignment="1"/>
    <xf numFmtId="0" fontId="52" fillId="0" borderId="9" xfId="3" applyFont="1" applyBorder="1"/>
    <xf numFmtId="0" fontId="4" fillId="0" borderId="28" xfId="19" applyFont="1" applyFill="1" applyBorder="1" applyAlignment="1"/>
    <xf numFmtId="0" fontId="1" fillId="0" borderId="30" xfId="19" applyNumberFormat="1" applyFont="1" applyFill="1" applyBorder="1" applyAlignment="1">
      <alignment horizontal="center"/>
    </xf>
    <xf numFmtId="0" fontId="4" fillId="0" borderId="26" xfId="19" applyFont="1" applyFill="1" applyBorder="1" applyAlignment="1">
      <alignment horizontal="center"/>
    </xf>
    <xf numFmtId="0" fontId="4" fillId="0" borderId="26" xfId="19" applyFont="1" applyFill="1" applyBorder="1" applyAlignment="1"/>
    <xf numFmtId="0" fontId="0" fillId="0" borderId="26" xfId="9" applyNumberFormat="1" applyFont="1" applyFill="1" applyBorder="1" applyAlignment="1"/>
    <xf numFmtId="0" fontId="0" fillId="0" borderId="26" xfId="19" applyNumberFormat="1" applyFont="1" applyFill="1" applyBorder="1" applyAlignment="1"/>
    <xf numFmtId="0" fontId="0" fillId="0" borderId="26" xfId="9" applyFont="1" applyFill="1" applyBorder="1" applyAlignment="1"/>
    <xf numFmtId="0" fontId="0" fillId="0" borderId="26" xfId="10" applyFont="1" applyFill="1" applyBorder="1" applyAlignment="1"/>
    <xf numFmtId="0" fontId="4" fillId="0" borderId="0" xfId="19" applyFont="1" applyFill="1" applyBorder="1" applyAlignment="1"/>
    <xf numFmtId="0" fontId="0" fillId="0" borderId="0" xfId="19" applyNumberFormat="1" applyFont="1" applyFill="1" applyBorder="1" applyAlignment="1"/>
    <xf numFmtId="0" fontId="1" fillId="0" borderId="0" xfId="19" applyFont="1" applyFill="1" applyBorder="1" applyAlignment="1">
      <alignment horizontal="center"/>
    </xf>
    <xf numFmtId="0" fontId="31" fillId="0" borderId="0" xfId="10" applyFont="1" applyAlignment="1"/>
    <xf numFmtId="0" fontId="1" fillId="0" borderId="0" xfId="10" applyFont="1" applyAlignment="1"/>
    <xf numFmtId="0" fontId="4" fillId="0" borderId="0" xfId="10" applyFont="1" applyAlignment="1">
      <alignment horizontal="right"/>
    </xf>
    <xf numFmtId="0" fontId="1" fillId="0" borderId="0" xfId="10" applyFont="1" applyAlignment="1">
      <alignment horizontal="left"/>
    </xf>
    <xf numFmtId="0" fontId="1" fillId="0" borderId="0" xfId="10" applyFont="1" applyAlignment="1">
      <alignment horizontal="right"/>
    </xf>
    <xf numFmtId="0" fontId="1" fillId="0" borderId="35" xfId="10" applyFont="1" applyBorder="1" applyAlignment="1"/>
    <xf numFmtId="0" fontId="1" fillId="0" borderId="55" xfId="10" applyFont="1" applyBorder="1" applyAlignment="1"/>
    <xf numFmtId="0" fontId="1" fillId="0" borderId="51" xfId="10" applyFont="1" applyBorder="1" applyAlignment="1"/>
    <xf numFmtId="0" fontId="1" fillId="0" borderId="56" xfId="10" applyFont="1" applyFill="1" applyBorder="1" applyAlignment="1"/>
    <xf numFmtId="0" fontId="1" fillId="0" borderId="27" xfId="10" applyFont="1" applyBorder="1" applyAlignment="1">
      <alignment horizontal="left"/>
    </xf>
    <xf numFmtId="0" fontId="1" fillId="0" borderId="57" xfId="10" applyFont="1" applyBorder="1" applyAlignment="1"/>
    <xf numFmtId="0" fontId="1" fillId="0" borderId="0" xfId="10" applyFont="1" applyBorder="1" applyAlignment="1"/>
    <xf numFmtId="0" fontId="1" fillId="0" borderId="58" xfId="10" applyFont="1" applyBorder="1" applyAlignment="1"/>
    <xf numFmtId="0" fontId="1" fillId="0" borderId="51" xfId="10" applyFont="1" applyFill="1" applyBorder="1" applyAlignment="1"/>
    <xf numFmtId="0" fontId="1" fillId="0" borderId="0" xfId="10" applyFont="1" applyBorder="1" applyAlignment="1">
      <alignment horizontal="left"/>
    </xf>
    <xf numFmtId="0" fontId="1" fillId="0" borderId="27" xfId="10" applyFont="1" applyBorder="1" applyAlignment="1"/>
    <xf numFmtId="0" fontId="1" fillId="0" borderId="56" xfId="10" applyFont="1" applyBorder="1" applyAlignment="1"/>
    <xf numFmtId="0" fontId="1" fillId="0" borderId="36" xfId="10" applyFont="1" applyBorder="1" applyAlignment="1">
      <alignment horizontal="left"/>
    </xf>
    <xf numFmtId="0" fontId="1" fillId="0" borderId="59" xfId="10" applyFont="1" applyBorder="1" applyAlignment="1"/>
    <xf numFmtId="0" fontId="4" fillId="0" borderId="16" xfId="10" applyFont="1" applyBorder="1" applyAlignment="1"/>
    <xf numFmtId="0" fontId="1" fillId="0" borderId="16" xfId="10" applyFont="1" applyBorder="1" applyAlignment="1"/>
    <xf numFmtId="0" fontId="1" fillId="0" borderId="60" xfId="10" applyFont="1" applyBorder="1" applyAlignment="1"/>
    <xf numFmtId="0" fontId="4" fillId="0" borderId="0" xfId="10" applyFont="1" applyBorder="1" applyAlignment="1"/>
    <xf numFmtId="0" fontId="4" fillId="0" borderId="0" xfId="10" applyFont="1" applyAlignment="1"/>
    <xf numFmtId="0" fontId="31" fillId="0" borderId="0" xfId="15" applyFont="1"/>
    <xf numFmtId="0" fontId="4" fillId="0" borderId="0" xfId="15" applyFont="1" applyAlignment="1">
      <alignment horizontal="right"/>
    </xf>
    <xf numFmtId="0" fontId="1" fillId="0" borderId="0" xfId="19" applyFont="1" applyBorder="1"/>
    <xf numFmtId="0" fontId="1" fillId="0" borderId="0" xfId="19" applyFont="1" applyAlignment="1">
      <alignment horizontal="left"/>
    </xf>
    <xf numFmtId="0" fontId="1" fillId="0" borderId="35" xfId="19" applyFont="1" applyBorder="1"/>
    <xf numFmtId="0" fontId="1" fillId="0" borderId="57" xfId="19" applyFont="1" applyBorder="1"/>
    <xf numFmtId="0" fontId="1" fillId="0" borderId="27" xfId="19" applyFont="1" applyBorder="1"/>
    <xf numFmtId="0" fontId="1" fillId="0" borderId="51" xfId="19" applyFont="1" applyBorder="1"/>
    <xf numFmtId="0" fontId="1" fillId="0" borderId="56" xfId="19" applyFont="1" applyBorder="1"/>
    <xf numFmtId="0" fontId="1" fillId="0" borderId="36" xfId="19" applyFont="1" applyBorder="1" applyAlignment="1">
      <alignment horizontal="left"/>
    </xf>
    <xf numFmtId="0" fontId="1" fillId="0" borderId="58" xfId="19" applyFont="1" applyBorder="1"/>
    <xf numFmtId="0" fontId="1" fillId="0" borderId="16" xfId="19" applyFont="1" applyBorder="1"/>
    <xf numFmtId="0" fontId="4" fillId="0" borderId="16" xfId="19" applyFont="1" applyBorder="1"/>
    <xf numFmtId="0" fontId="1" fillId="0" borderId="60" xfId="19" applyFont="1" applyBorder="1"/>
    <xf numFmtId="0" fontId="1" fillId="0" borderId="0" xfId="19" applyFont="1" applyBorder="1" applyAlignment="1">
      <alignment horizontal="left"/>
    </xf>
    <xf numFmtId="0" fontId="4" fillId="0" borderId="0" xfId="19" applyFont="1" applyBorder="1"/>
    <xf numFmtId="0" fontId="4" fillId="0" borderId="0" xfId="19" applyFont="1"/>
    <xf numFmtId="0" fontId="0" fillId="0" borderId="0" xfId="10" applyFont="1" applyAlignment="1"/>
    <xf numFmtId="0" fontId="0" fillId="0" borderId="56" xfId="10" applyFont="1" applyFill="1" applyBorder="1" applyAlignment="1"/>
    <xf numFmtId="0" fontId="0" fillId="0" borderId="51" xfId="10" applyFont="1" applyBorder="1" applyAlignment="1"/>
    <xf numFmtId="0" fontId="0" fillId="0" borderId="27" xfId="19" applyFont="1" applyBorder="1"/>
    <xf numFmtId="0" fontId="0" fillId="0" borderId="0" xfId="19" applyFont="1"/>
    <xf numFmtId="0" fontId="0" fillId="0" borderId="51" xfId="19" applyFont="1" applyBorder="1"/>
    <xf numFmtId="0" fontId="0" fillId="0" borderId="60" xfId="19" applyFont="1" applyBorder="1"/>
    <xf numFmtId="0" fontId="0" fillId="3" borderId="26" xfId="1" applyFont="1" applyFill="1" applyBorder="1" applyAlignment="1"/>
    <xf numFmtId="0" fontId="0" fillId="13" borderId="26" xfId="1" applyFont="1" applyFill="1" applyBorder="1" applyAlignment="1"/>
    <xf numFmtId="0" fontId="0" fillId="19" borderId="26" xfId="5" applyFont="1" applyFill="1" applyBorder="1" applyAlignment="1"/>
    <xf numFmtId="0" fontId="0" fillId="19" borderId="26" xfId="1" applyFont="1" applyFill="1" applyBorder="1" applyAlignment="1"/>
    <xf numFmtId="0" fontId="35" fillId="19" borderId="26" xfId="1" applyFont="1" applyFill="1" applyBorder="1" applyAlignment="1"/>
    <xf numFmtId="0" fontId="0" fillId="0" borderId="26" xfId="1" applyFont="1" applyBorder="1" applyAlignment="1"/>
    <xf numFmtId="0" fontId="35" fillId="19" borderId="26" xfId="5" applyFont="1" applyFill="1" applyBorder="1" applyAlignment="1"/>
    <xf numFmtId="0" fontId="0" fillId="0" borderId="34" xfId="10" applyFont="1" applyFill="1" applyBorder="1" applyAlignment="1"/>
    <xf numFmtId="0" fontId="35" fillId="0" borderId="34" xfId="10" applyFont="1" applyFill="1" applyBorder="1" applyAlignment="1"/>
    <xf numFmtId="0" fontId="1" fillId="9" borderId="34" xfId="10" applyFont="1" applyFill="1" applyBorder="1" applyAlignment="1"/>
    <xf numFmtId="0" fontId="0" fillId="0" borderId="34" xfId="1" applyFont="1" applyFill="1" applyBorder="1" applyAlignment="1"/>
    <xf numFmtId="0" fontId="0" fillId="0" borderId="26" xfId="1" applyFont="1" applyBorder="1"/>
    <xf numFmtId="0" fontId="26" fillId="0" borderId="0" xfId="1" applyFont="1" applyAlignment="1">
      <alignment horizontal="right"/>
    </xf>
    <xf numFmtId="0" fontId="4" fillId="0" borderId="0" xfId="19" applyFont="1" applyFill="1" applyBorder="1" applyAlignment="1">
      <alignment horizontal="right"/>
    </xf>
    <xf numFmtId="0" fontId="4" fillId="0" borderId="0" xfId="19" applyFont="1" applyAlignment="1">
      <alignment horizontal="right"/>
    </xf>
    <xf numFmtId="0" fontId="1" fillId="0" borderId="55" xfId="19" applyFont="1" applyBorder="1"/>
    <xf numFmtId="0" fontId="1" fillId="0" borderId="27" xfId="19" applyFont="1" applyBorder="1" applyAlignment="1">
      <alignment horizontal="left"/>
    </xf>
    <xf numFmtId="0" fontId="1" fillId="0" borderId="59" xfId="19" applyFont="1" applyBorder="1"/>
    <xf numFmtId="0" fontId="43" fillId="0" borderId="0" xfId="19" applyFont="1" applyFill="1" applyBorder="1" applyAlignment="1">
      <alignment horizontal="right"/>
    </xf>
    <xf numFmtId="0" fontId="17" fillId="0" borderId="0" xfId="19" applyFont="1"/>
    <xf numFmtId="0" fontId="17" fillId="0" borderId="0" xfId="19" applyFont="1" applyAlignment="1">
      <alignment horizontal="left"/>
    </xf>
    <xf numFmtId="0" fontId="43" fillId="0" borderId="0" xfId="19" applyFont="1" applyAlignment="1">
      <alignment horizontal="right"/>
    </xf>
    <xf numFmtId="0" fontId="17" fillId="0" borderId="35" xfId="19" applyFont="1" applyBorder="1"/>
    <xf numFmtId="0" fontId="17" fillId="0" borderId="55" xfId="19" applyFont="1" applyBorder="1"/>
    <xf numFmtId="0" fontId="17" fillId="0" borderId="51" xfId="19" applyFont="1" applyBorder="1"/>
    <xf numFmtId="0" fontId="17" fillId="0" borderId="27" xfId="19" applyFont="1" applyBorder="1" applyAlignment="1">
      <alignment horizontal="left"/>
    </xf>
    <xf numFmtId="0" fontId="17" fillId="0" borderId="58" xfId="19" applyFont="1" applyBorder="1"/>
    <xf numFmtId="0" fontId="17" fillId="0" borderId="0" xfId="19" applyFont="1" applyBorder="1"/>
    <xf numFmtId="0" fontId="17" fillId="0" borderId="0" xfId="19" applyFont="1" applyBorder="1" applyAlignment="1">
      <alignment horizontal="left"/>
    </xf>
    <xf numFmtId="0" fontId="17" fillId="0" borderId="59" xfId="19" applyFont="1" applyBorder="1"/>
    <xf numFmtId="0" fontId="43" fillId="0" borderId="16" xfId="19" applyFont="1" applyBorder="1"/>
    <xf numFmtId="0" fontId="17" fillId="0" borderId="16" xfId="19" applyFont="1" applyBorder="1"/>
    <xf numFmtId="0" fontId="17" fillId="0" borderId="27" xfId="19" applyFont="1" applyBorder="1"/>
    <xf numFmtId="0" fontId="17" fillId="0" borderId="56" xfId="19" applyFont="1" applyBorder="1"/>
    <xf numFmtId="0" fontId="17" fillId="0" borderId="36" xfId="19" applyFont="1" applyBorder="1" applyAlignment="1">
      <alignment horizontal="left"/>
    </xf>
    <xf numFmtId="0" fontId="17" fillId="0" borderId="60" xfId="19" applyFont="1" applyBorder="1"/>
    <xf numFmtId="0" fontId="17" fillId="0" borderId="57" xfId="19" applyFont="1" applyBorder="1"/>
    <xf numFmtId="0" fontId="43" fillId="0" borderId="0" xfId="19" applyFont="1" applyBorder="1"/>
    <xf numFmtId="0" fontId="43" fillId="0" borderId="0" xfId="19" applyFont="1"/>
    <xf numFmtId="0" fontId="7" fillId="0" borderId="8" xfId="3" applyFill="1" applyBorder="1" applyAlignment="1"/>
    <xf numFmtId="0" fontId="4" fillId="7" borderId="7" xfId="1" applyFont="1" applyFill="1" applyBorder="1" applyAlignment="1">
      <alignment vertical="top"/>
    </xf>
    <xf numFmtId="0" fontId="1" fillId="7" borderId="8" xfId="1" applyFont="1" applyFill="1" applyBorder="1" applyAlignment="1">
      <alignment horizontal="right"/>
    </xf>
    <xf numFmtId="0" fontId="1" fillId="7" borderId="9" xfId="1" applyFont="1" applyFill="1" applyBorder="1" applyAlignment="1">
      <alignment vertical="top"/>
    </xf>
    <xf numFmtId="0" fontId="1" fillId="7" borderId="10" xfId="1" applyFont="1" applyFill="1" applyBorder="1" applyAlignment="1">
      <alignment horizontal="right" vertical="top"/>
    </xf>
    <xf numFmtId="0" fontId="9" fillId="0" borderId="11" xfId="3" applyFont="1" applyFill="1" applyBorder="1" applyAlignment="1"/>
    <xf numFmtId="0" fontId="50" fillId="0" borderId="26" xfId="9" applyFont="1" applyFill="1" applyBorder="1" applyAlignment="1">
      <alignment horizontal="center"/>
    </xf>
    <xf numFmtId="0" fontId="4" fillId="6" borderId="61" xfId="1" applyFont="1" applyFill="1" applyBorder="1" applyAlignment="1"/>
    <xf numFmtId="0" fontId="0" fillId="0" borderId="55" xfId="19" applyFont="1" applyBorder="1"/>
    <xf numFmtId="0" fontId="4" fillId="0" borderId="0" xfId="19" applyFont="1" applyAlignment="1">
      <alignment horizontal="left"/>
    </xf>
    <xf numFmtId="0" fontId="17" fillId="0" borderId="62" xfId="19" applyFont="1" applyBorder="1"/>
    <xf numFmtId="0" fontId="17" fillId="0" borderId="59" xfId="19" applyFont="1" applyBorder="1" applyAlignment="1">
      <alignment horizontal="left"/>
    </xf>
    <xf numFmtId="0" fontId="1" fillId="0" borderId="35" xfId="1" applyFont="1" applyBorder="1"/>
    <xf numFmtId="0" fontId="1" fillId="0" borderId="57" xfId="1" applyFont="1" applyBorder="1"/>
    <xf numFmtId="0" fontId="1" fillId="0" borderId="51" xfId="1" applyFont="1" applyBorder="1"/>
    <xf numFmtId="0" fontId="1" fillId="0" borderId="56" xfId="1" applyFont="1" applyBorder="1"/>
    <xf numFmtId="0" fontId="0" fillId="0" borderId="26" xfId="1" applyFont="1" applyFill="1" applyBorder="1" applyAlignment="1"/>
    <xf numFmtId="0" fontId="35" fillId="0" borderId="26" xfId="9" applyFont="1" applyFill="1" applyBorder="1" applyAlignment="1"/>
    <xf numFmtId="0" fontId="0" fillId="0" borderId="0" xfId="19" applyFont="1" applyBorder="1"/>
    <xf numFmtId="0" fontId="4" fillId="0" borderId="26" xfId="1" applyFont="1" applyFill="1" applyBorder="1" applyAlignment="1"/>
    <xf numFmtId="0" fontId="4" fillId="0" borderId="34" xfId="10" applyFont="1" applyFill="1" applyBorder="1" applyAlignment="1"/>
    <xf numFmtId="0" fontId="4" fillId="0" borderId="34" xfId="1" applyFont="1" applyFill="1" applyBorder="1" applyAlignment="1"/>
    <xf numFmtId="0" fontId="4" fillId="9" borderId="34" xfId="1" applyFont="1" applyFill="1" applyBorder="1" applyAlignment="1"/>
    <xf numFmtId="0" fontId="1" fillId="3" borderId="30" xfId="9" applyFont="1" applyFill="1" applyBorder="1" applyAlignment="1">
      <alignment horizontal="center"/>
    </xf>
    <xf numFmtId="0" fontId="4" fillId="3" borderId="28" xfId="5" applyFont="1" applyFill="1" applyBorder="1" applyAlignment="1"/>
    <xf numFmtId="0" fontId="4" fillId="3" borderId="26" xfId="9" applyFont="1" applyFill="1" applyBorder="1" applyAlignment="1">
      <alignment horizontal="center"/>
    </xf>
    <xf numFmtId="166" fontId="4" fillId="3" borderId="26" xfId="9" applyNumberFormat="1" applyFont="1" applyFill="1" applyBorder="1" applyAlignment="1">
      <alignment horizontal="center"/>
    </xf>
    <xf numFmtId="0" fontId="4" fillId="3" borderId="26" xfId="9" applyFont="1" applyFill="1" applyBorder="1" applyAlignment="1"/>
    <xf numFmtId="0" fontId="4" fillId="3" borderId="30" xfId="5" applyFont="1" applyFill="1" applyBorder="1" applyAlignment="1">
      <alignment horizontal="center"/>
    </xf>
    <xf numFmtId="0" fontId="4" fillId="3" borderId="26" xfId="5" applyFont="1" applyFill="1" applyBorder="1" applyAlignment="1">
      <alignment horizontal="center"/>
    </xf>
    <xf numFmtId="0" fontId="4" fillId="3" borderId="26" xfId="10" applyFont="1" applyFill="1" applyBorder="1" applyAlignment="1"/>
    <xf numFmtId="0" fontId="4" fillId="3" borderId="26" xfId="5" applyFont="1" applyFill="1" applyBorder="1" applyAlignment="1"/>
    <xf numFmtId="0" fontId="4" fillId="3" borderId="28" xfId="9" applyFont="1" applyFill="1" applyBorder="1" applyAlignment="1"/>
    <xf numFmtId="166" fontId="4" fillId="3" borderId="0" xfId="9" applyNumberFormat="1" applyFont="1" applyFill="1" applyBorder="1" applyAlignment="1">
      <alignment horizontal="center"/>
    </xf>
    <xf numFmtId="0" fontId="4" fillId="0" borderId="34" xfId="10" applyFont="1" applyFill="1" applyBorder="1" applyAlignment="1">
      <alignment horizontal="right"/>
    </xf>
    <xf numFmtId="0" fontId="7" fillId="0" borderId="31" xfId="3" applyFill="1" applyBorder="1" applyAlignment="1"/>
    <xf numFmtId="0" fontId="38" fillId="3" borderId="0" xfId="5" applyFont="1" applyFill="1" applyAlignment="1"/>
    <xf numFmtId="0" fontId="39" fillId="3" borderId="0" xfId="5" applyFont="1" applyFill="1" applyAlignment="1"/>
    <xf numFmtId="173" fontId="36" fillId="0" borderId="26" xfId="9" applyNumberFormat="1" applyFont="1" applyFill="1" applyBorder="1" applyAlignment="1">
      <alignment horizontal="center"/>
    </xf>
    <xf numFmtId="0" fontId="55" fillId="0" borderId="0" xfId="3" applyFont="1" applyFill="1" applyBorder="1" applyAlignment="1"/>
    <xf numFmtId="0" fontId="0" fillId="0" borderId="26" xfId="1" applyFont="1" applyFill="1" applyBorder="1"/>
    <xf numFmtId="0" fontId="0" fillId="0" borderId="28" xfId="1" applyNumberFormat="1" applyFont="1" applyFill="1" applyBorder="1" applyAlignment="1">
      <alignment horizontal="center"/>
    </xf>
    <xf numFmtId="49" fontId="0" fillId="0" borderId="29" xfId="1" applyNumberFormat="1" applyFont="1" applyFill="1" applyBorder="1" applyAlignment="1">
      <alignment horizontal="center"/>
    </xf>
    <xf numFmtId="0" fontId="0" fillId="0" borderId="30" xfId="1" applyNumberFormat="1" applyFont="1" applyFill="1" applyBorder="1" applyAlignment="1">
      <alignment horizontal="center"/>
    </xf>
    <xf numFmtId="49" fontId="1" fillId="0" borderId="28" xfId="1" applyNumberFormat="1" applyFont="1" applyFill="1" applyBorder="1" applyAlignment="1">
      <alignment horizontal="center"/>
    </xf>
    <xf numFmtId="49" fontId="1" fillId="0" borderId="30" xfId="1" applyNumberFormat="1" applyFont="1" applyFill="1" applyBorder="1" applyAlignment="1">
      <alignment horizontal="center"/>
    </xf>
    <xf numFmtId="0" fontId="4" fillId="0" borderId="0" xfId="9" applyFont="1" applyFill="1" applyAlignment="1"/>
    <xf numFmtId="0" fontId="35" fillId="0" borderId="34" xfId="1" applyFont="1" applyFill="1" applyBorder="1" applyAlignment="1"/>
    <xf numFmtId="0" fontId="38" fillId="0" borderId="34" xfId="1" applyFont="1" applyFill="1" applyBorder="1" applyAlignment="1"/>
    <xf numFmtId="0" fontId="1" fillId="0" borderId="34" xfId="10" applyFont="1" applyFill="1" applyBorder="1" applyAlignment="1">
      <alignment horizontal="right"/>
    </xf>
    <xf numFmtId="0" fontId="56" fillId="0" borderId="34" xfId="10" applyFont="1" applyFill="1" applyBorder="1" applyAlignment="1">
      <alignment horizontal="right"/>
    </xf>
    <xf numFmtId="0" fontId="36" fillId="0" borderId="34" xfId="10" applyFont="1" applyFill="1" applyBorder="1" applyAlignment="1">
      <alignment horizontal="center"/>
    </xf>
    <xf numFmtId="0" fontId="4" fillId="3" borderId="34" xfId="10" applyFont="1" applyFill="1" applyBorder="1" applyAlignment="1">
      <alignment horizontal="center"/>
    </xf>
    <xf numFmtId="0" fontId="4" fillId="3" borderId="34" xfId="10" applyFont="1" applyFill="1" applyBorder="1" applyAlignment="1">
      <alignment horizontal="right"/>
    </xf>
    <xf numFmtId="0" fontId="4" fillId="0" borderId="11" xfId="1" applyFont="1" applyFill="1" applyBorder="1" applyAlignment="1"/>
    <xf numFmtId="0" fontId="49" fillId="0" borderId="31" xfId="1" applyFont="1" applyFill="1" applyBorder="1" applyAlignment="1">
      <alignment vertical="top"/>
    </xf>
    <xf numFmtId="0" fontId="24" fillId="0" borderId="11" xfId="3" applyFont="1" applyFill="1" applyBorder="1" applyAlignment="1"/>
    <xf numFmtId="0" fontId="23" fillId="0" borderId="11" xfId="1" applyFont="1" applyBorder="1" applyAlignment="1">
      <alignment vertical="top"/>
    </xf>
    <xf numFmtId="0" fontId="24" fillId="0" borderId="31" xfId="3" applyFont="1" applyFill="1" applyBorder="1" applyAlignment="1">
      <alignment vertical="top"/>
    </xf>
    <xf numFmtId="0" fontId="24" fillId="0" borderId="33" xfId="3" applyFont="1" applyFill="1" applyBorder="1" applyAlignment="1">
      <alignment horizontal="right" vertical="top"/>
    </xf>
    <xf numFmtId="0" fontId="4" fillId="0" borderId="44" xfId="1" applyFont="1" applyFill="1" applyBorder="1" applyAlignment="1"/>
    <xf numFmtId="0" fontId="4" fillId="6" borderId="65" xfId="1" applyFont="1" applyFill="1" applyBorder="1" applyAlignment="1"/>
    <xf numFmtId="0" fontId="4" fillId="18" borderId="67" xfId="1" applyFont="1" applyFill="1" applyBorder="1" applyAlignment="1"/>
    <xf numFmtId="0" fontId="4" fillId="0" borderId="50" xfId="1" applyFont="1" applyBorder="1" applyAlignment="1">
      <alignment vertical="top"/>
    </xf>
    <xf numFmtId="0" fontId="9" fillId="0" borderId="68" xfId="3" applyFont="1" applyFill="1" applyBorder="1" applyAlignment="1">
      <alignment horizontal="right"/>
    </xf>
    <xf numFmtId="0" fontId="31" fillId="0" borderId="0" xfId="19" applyFont="1" applyBorder="1"/>
    <xf numFmtId="0" fontId="1" fillId="0" borderId="36" xfId="19" applyFont="1" applyBorder="1"/>
    <xf numFmtId="0" fontId="31" fillId="0" borderId="0" xfId="19" applyFont="1"/>
    <xf numFmtId="0" fontId="1" fillId="0" borderId="0" xfId="19" applyFont="1" applyFill="1" applyBorder="1" applyAlignment="1">
      <alignment horizontal="left"/>
    </xf>
    <xf numFmtId="0" fontId="1" fillId="0" borderId="35" xfId="19" applyFont="1" applyBorder="1" applyAlignment="1">
      <alignment horizontal="left"/>
    </xf>
    <xf numFmtId="0" fontId="1" fillId="0" borderId="57" xfId="19" applyFont="1" applyBorder="1" applyAlignment="1">
      <alignment horizontal="left"/>
    </xf>
    <xf numFmtId="0" fontId="1" fillId="0" borderId="51" xfId="19" applyFont="1" applyBorder="1" applyAlignment="1">
      <alignment horizontal="left"/>
    </xf>
    <xf numFmtId="0" fontId="1" fillId="0" borderId="56" xfId="19" applyFont="1" applyBorder="1" applyAlignment="1">
      <alignment horizontal="left"/>
    </xf>
    <xf numFmtId="0" fontId="1" fillId="0" borderId="58" xfId="19" applyFont="1" applyBorder="1" applyAlignment="1">
      <alignment horizontal="left"/>
    </xf>
    <xf numFmtId="0" fontId="1" fillId="0" borderId="59" xfId="19" applyFont="1" applyBorder="1" applyAlignment="1">
      <alignment horizontal="left"/>
    </xf>
    <xf numFmtId="0" fontId="1" fillId="0" borderId="60" xfId="19" applyFont="1" applyBorder="1" applyAlignment="1">
      <alignment horizontal="left"/>
    </xf>
    <xf numFmtId="17" fontId="31" fillId="0" borderId="0" xfId="19" applyNumberFormat="1" applyFont="1"/>
    <xf numFmtId="17" fontId="4" fillId="0" borderId="0" xfId="19" applyNumberFormat="1" applyFont="1"/>
    <xf numFmtId="0" fontId="0" fillId="0" borderId="26" xfId="19" applyFont="1" applyFill="1" applyBorder="1" applyAlignment="1">
      <alignment horizontal="center"/>
    </xf>
    <xf numFmtId="0" fontId="0" fillId="0" borderId="26" xfId="5" applyFont="1" applyFill="1" applyBorder="1" applyAlignment="1"/>
    <xf numFmtId="0" fontId="0" fillId="12" borderId="26" xfId="5" applyFont="1" applyFill="1" applyBorder="1" applyAlignment="1"/>
    <xf numFmtId="0" fontId="1" fillId="21" borderId="26" xfId="5" applyFont="1" applyFill="1" applyBorder="1" applyAlignment="1"/>
    <xf numFmtId="0" fontId="4" fillId="0" borderId="0" xfId="19" applyFont="1" applyBorder="1" applyAlignment="1">
      <alignment horizontal="right"/>
    </xf>
    <xf numFmtId="0" fontId="0" fillId="0" borderId="0" xfId="19" applyFont="1" applyFill="1" applyBorder="1" applyAlignment="1">
      <alignment horizontal="left"/>
    </xf>
    <xf numFmtId="0" fontId="0" fillId="0" borderId="51" xfId="19" applyFont="1" applyBorder="1" applyAlignment="1">
      <alignment horizontal="left"/>
    </xf>
    <xf numFmtId="0" fontId="0" fillId="0" borderId="0" xfId="19" applyFont="1" applyAlignment="1">
      <alignment horizontal="left"/>
    </xf>
    <xf numFmtId="0" fontId="0" fillId="0" borderId="36" xfId="19" applyFont="1" applyBorder="1" applyAlignment="1">
      <alignment horizontal="left"/>
    </xf>
    <xf numFmtId="0" fontId="0" fillId="0" borderId="35" xfId="19" applyFont="1" applyBorder="1" applyAlignment="1">
      <alignment horizontal="left"/>
    </xf>
    <xf numFmtId="0" fontId="1" fillId="0" borderId="69" xfId="16" applyFont="1" applyBorder="1" applyAlignment="1"/>
    <xf numFmtId="0" fontId="4" fillId="0" borderId="69" xfId="16" applyFont="1" applyBorder="1" applyAlignment="1">
      <alignment horizontal="center"/>
    </xf>
    <xf numFmtId="0" fontId="1" fillId="0" borderId="70" xfId="16" applyFont="1" applyBorder="1" applyAlignment="1"/>
    <xf numFmtId="0" fontId="1" fillId="0" borderId="71" xfId="16" applyFont="1" applyBorder="1" applyAlignment="1"/>
    <xf numFmtId="0" fontId="1" fillId="0" borderId="72" xfId="16" applyFont="1" applyBorder="1" applyAlignment="1"/>
    <xf numFmtId="0" fontId="1" fillId="0" borderId="69" xfId="16" applyFont="1" applyFill="1" applyBorder="1" applyAlignment="1"/>
    <xf numFmtId="0" fontId="1" fillId="0" borderId="0" xfId="16" applyFont="1"/>
    <xf numFmtId="0" fontId="4" fillId="0" borderId="71" xfId="10" applyFont="1" applyBorder="1" applyAlignment="1">
      <alignment horizontal="center"/>
    </xf>
    <xf numFmtId="0" fontId="4" fillId="0" borderId="73" xfId="10" applyFont="1" applyBorder="1" applyAlignment="1">
      <alignment horizontal="center"/>
    </xf>
    <xf numFmtId="0" fontId="4" fillId="0" borderId="74" xfId="10" applyFont="1" applyBorder="1" applyAlignment="1">
      <alignment horizontal="center"/>
    </xf>
    <xf numFmtId="0" fontId="4" fillId="0" borderId="75" xfId="10" applyFont="1" applyBorder="1" applyAlignment="1">
      <alignment horizontal="center"/>
    </xf>
    <xf numFmtId="0" fontId="4" fillId="0" borderId="69" xfId="10" applyFont="1" applyFill="1" applyBorder="1" applyAlignment="1">
      <alignment horizontal="center"/>
    </xf>
    <xf numFmtId="0" fontId="4" fillId="0" borderId="0" xfId="10" applyFont="1" applyAlignment="1">
      <alignment vertical="center"/>
    </xf>
    <xf numFmtId="0" fontId="4" fillId="0" borderId="77" xfId="10" applyFont="1" applyBorder="1" applyAlignment="1"/>
    <xf numFmtId="0" fontId="1" fillId="0" borderId="77" xfId="10" applyFont="1" applyBorder="1" applyAlignment="1">
      <alignment horizontal="center"/>
    </xf>
    <xf numFmtId="0" fontId="1" fillId="0" borderId="78" xfId="10" applyFont="1" applyBorder="1" applyAlignment="1">
      <alignment horizontal="center"/>
    </xf>
    <xf numFmtId="0" fontId="1" fillId="0" borderId="79" xfId="10" applyFont="1" applyBorder="1" applyAlignment="1">
      <alignment horizontal="center"/>
    </xf>
    <xf numFmtId="0" fontId="1" fillId="0" borderId="76" xfId="10" applyFont="1" applyFill="1" applyBorder="1" applyAlignment="1">
      <alignment horizontal="center"/>
    </xf>
    <xf numFmtId="0" fontId="1" fillId="0" borderId="80" xfId="10" applyFont="1" applyBorder="1" applyAlignment="1"/>
    <xf numFmtId="0" fontId="1" fillId="0" borderId="81" xfId="16" applyFont="1" applyFill="1" applyBorder="1" applyAlignment="1">
      <alignment horizontal="center"/>
    </xf>
    <xf numFmtId="0" fontId="1" fillId="0" borderId="26" xfId="16" applyFont="1" applyFill="1" applyBorder="1" applyAlignment="1">
      <alignment horizontal="center"/>
    </xf>
    <xf numFmtId="0" fontId="1" fillId="0" borderId="28" xfId="16" applyFont="1" applyFill="1" applyBorder="1" applyAlignment="1">
      <alignment horizontal="center"/>
    </xf>
    <xf numFmtId="0" fontId="1" fillId="0" borderId="80" xfId="16" applyFont="1" applyFill="1" applyBorder="1" applyAlignment="1">
      <alignment horizontal="center"/>
    </xf>
    <xf numFmtId="0" fontId="1" fillId="0" borderId="76" xfId="16" applyFont="1" applyBorder="1" applyAlignment="1"/>
    <xf numFmtId="0" fontId="1" fillId="0" borderId="81" xfId="10" applyFont="1" applyBorder="1" applyAlignment="1">
      <alignment horizontal="center"/>
    </xf>
    <xf numFmtId="0" fontId="1" fillId="0" borderId="26" xfId="10" applyFont="1" applyBorder="1" applyAlignment="1">
      <alignment horizontal="center"/>
    </xf>
    <xf numFmtId="0" fontId="1" fillId="0" borderId="28" xfId="10" applyFont="1" applyBorder="1" applyAlignment="1">
      <alignment horizontal="center"/>
    </xf>
    <xf numFmtId="0" fontId="1" fillId="3" borderId="26" xfId="16" applyFont="1" applyFill="1" applyBorder="1" applyAlignment="1">
      <alignment horizontal="center"/>
    </xf>
    <xf numFmtId="0" fontId="1" fillId="0" borderId="82" xfId="16" applyFont="1" applyFill="1" applyBorder="1" applyAlignment="1">
      <alignment horizontal="center"/>
    </xf>
    <xf numFmtId="0" fontId="1" fillId="0" borderId="80" xfId="16" applyFont="1" applyBorder="1" applyAlignment="1"/>
    <xf numFmtId="0" fontId="1" fillId="0" borderId="80" xfId="10" applyFont="1" applyFill="1" applyBorder="1" applyAlignment="1">
      <alignment horizontal="center"/>
    </xf>
    <xf numFmtId="0" fontId="1" fillId="0" borderId="82" xfId="16" applyFont="1" applyBorder="1" applyAlignment="1"/>
    <xf numFmtId="0" fontId="1" fillId="0" borderId="83" xfId="10" applyFont="1" applyBorder="1" applyAlignment="1">
      <alignment horizontal="center"/>
    </xf>
    <xf numFmtId="0" fontId="1" fillId="0" borderId="84" xfId="10" applyFont="1" applyBorder="1" applyAlignment="1">
      <alignment horizontal="center"/>
    </xf>
    <xf numFmtId="0" fontId="1" fillId="0" borderId="85" xfId="10" applyFont="1" applyBorder="1" applyAlignment="1">
      <alignment horizontal="center"/>
    </xf>
    <xf numFmtId="0" fontId="1" fillId="0" borderId="82" xfId="10" applyFont="1" applyFill="1" applyBorder="1" applyAlignment="1">
      <alignment horizontal="center"/>
    </xf>
    <xf numFmtId="0" fontId="4" fillId="0" borderId="86" xfId="10" applyFont="1" applyBorder="1" applyAlignment="1"/>
    <xf numFmtId="0" fontId="4" fillId="0" borderId="80" xfId="10" applyFont="1" applyFill="1" applyBorder="1" applyAlignment="1">
      <alignment horizontal="center"/>
    </xf>
    <xf numFmtId="0" fontId="4" fillId="0" borderId="82" xfId="10" applyFont="1" applyFill="1" applyBorder="1" applyAlignment="1">
      <alignment horizontal="center"/>
    </xf>
    <xf numFmtId="0" fontId="1" fillId="0" borderId="0" xfId="16" applyFont="1" applyAlignment="1"/>
    <xf numFmtId="0" fontId="4" fillId="0" borderId="26" xfId="16" applyFont="1" applyBorder="1" applyAlignment="1"/>
    <xf numFmtId="0" fontId="1" fillId="3" borderId="26" xfId="16" applyFont="1" applyFill="1" applyBorder="1" applyAlignment="1"/>
    <xf numFmtId="0" fontId="4" fillId="12" borderId="26" xfId="19" applyFont="1" applyFill="1" applyBorder="1" applyAlignment="1"/>
    <xf numFmtId="0" fontId="1" fillId="0" borderId="48" xfId="1" applyFont="1" applyBorder="1" applyAlignment="1">
      <alignment vertical="top"/>
    </xf>
    <xf numFmtId="0" fontId="0" fillId="0" borderId="9" xfId="1" applyFont="1" applyFill="1" applyBorder="1" applyAlignment="1"/>
    <xf numFmtId="0" fontId="1" fillId="0" borderId="10" xfId="1" applyFont="1" applyBorder="1" applyAlignment="1">
      <alignment vertical="top"/>
    </xf>
    <xf numFmtId="0" fontId="7" fillId="0" borderId="11" xfId="3" applyFill="1" applyBorder="1" applyAlignment="1">
      <alignment horizontal="right"/>
    </xf>
    <xf numFmtId="0" fontId="1" fillId="0" borderId="88" xfId="1" applyFont="1" applyFill="1" applyBorder="1" applyAlignment="1"/>
    <xf numFmtId="49" fontId="51" fillId="22" borderId="26" xfId="1" applyNumberFormat="1" applyFont="1" applyFill="1" applyBorder="1" applyAlignment="1"/>
    <xf numFmtId="0" fontId="51" fillId="22" borderId="26" xfId="1" applyNumberFormat="1" applyFont="1" applyFill="1" applyBorder="1" applyAlignment="1"/>
    <xf numFmtId="0" fontId="58" fillId="22" borderId="26" xfId="3" applyFont="1" applyFill="1" applyBorder="1" applyAlignment="1"/>
    <xf numFmtId="0" fontId="51" fillId="22" borderId="26" xfId="0" applyNumberFormat="1" applyFont="1" applyFill="1" applyBorder="1" applyAlignment="1"/>
    <xf numFmtId="165" fontId="51" fillId="22" borderId="26" xfId="1" applyNumberFormat="1" applyFont="1" applyFill="1" applyBorder="1" applyAlignment="1">
      <alignment horizontal="center"/>
    </xf>
    <xf numFmtId="166" fontId="51" fillId="22" borderId="26" xfId="1" applyNumberFormat="1" applyFont="1" applyFill="1" applyBorder="1" applyAlignment="1">
      <alignment horizontal="center"/>
    </xf>
    <xf numFmtId="0" fontId="4" fillId="0" borderId="9" xfId="1" applyFont="1" applyBorder="1" applyAlignment="1">
      <alignment vertical="top"/>
    </xf>
    <xf numFmtId="0" fontId="0" fillId="20" borderId="28" xfId="1" applyNumberFormat="1" applyFont="1" applyFill="1" applyBorder="1" applyAlignment="1">
      <alignment horizontal="center"/>
    </xf>
    <xf numFmtId="0" fontId="1" fillId="0" borderId="89" xfId="1" applyFont="1" applyBorder="1"/>
    <xf numFmtId="0" fontId="1" fillId="0" borderId="90" xfId="1" applyFont="1" applyBorder="1"/>
    <xf numFmtId="0" fontId="1" fillId="0" borderId="91" xfId="1" applyFont="1" applyBorder="1" applyAlignment="1">
      <alignment horizontal="center"/>
    </xf>
    <xf numFmtId="0" fontId="4" fillId="0" borderId="91" xfId="1" applyFont="1" applyBorder="1" applyAlignment="1"/>
    <xf numFmtId="0" fontId="43" fillId="0" borderId="92" xfId="1" applyFont="1" applyBorder="1" applyAlignment="1">
      <alignment horizontal="right"/>
    </xf>
    <xf numFmtId="0" fontId="43" fillId="12" borderId="91" xfId="1" applyFont="1" applyFill="1" applyBorder="1"/>
    <xf numFmtId="0" fontId="43" fillId="0" borderId="92" xfId="1" quotePrefix="1" applyFont="1" applyBorder="1" applyAlignment="1">
      <alignment horizontal="right"/>
    </xf>
    <xf numFmtId="0" fontId="17" fillId="3" borderId="91" xfId="1" applyFont="1" applyFill="1" applyBorder="1"/>
    <xf numFmtId="0" fontId="17" fillId="13" borderId="91" xfId="1" applyFont="1" applyFill="1" applyBorder="1"/>
    <xf numFmtId="0" fontId="17" fillId="0" borderId="91" xfId="1" applyFont="1" applyBorder="1"/>
    <xf numFmtId="0" fontId="17" fillId="0" borderId="91" xfId="1" applyFont="1" applyFill="1" applyBorder="1"/>
    <xf numFmtId="0" fontId="4" fillId="0" borderId="92" xfId="1" applyFont="1" applyBorder="1" applyAlignment="1">
      <alignment horizontal="center"/>
    </xf>
    <xf numFmtId="0" fontId="4" fillId="0" borderId="89" xfId="1" applyFont="1" applyBorder="1" applyAlignment="1">
      <alignment horizontal="center"/>
    </xf>
    <xf numFmtId="0" fontId="43" fillId="12" borderId="92" xfId="1" applyFont="1" applyFill="1" applyBorder="1"/>
    <xf numFmtId="0" fontId="17" fillId="3" borderId="92" xfId="1" applyFont="1" applyFill="1" applyBorder="1"/>
    <xf numFmtId="0" fontId="17" fillId="13" borderId="92" xfId="1" applyFont="1" applyFill="1" applyBorder="1"/>
    <xf numFmtId="0" fontId="17" fillId="0" borderId="92" xfId="1" applyFont="1" applyFill="1" applyBorder="1"/>
    <xf numFmtId="0" fontId="17" fillId="0" borderId="92" xfId="1" applyFont="1" applyBorder="1"/>
    <xf numFmtId="0" fontId="1" fillId="0" borderId="89" xfId="1" applyFont="1" applyBorder="1" applyAlignment="1">
      <alignment horizontal="center"/>
    </xf>
    <xf numFmtId="0" fontId="0" fillId="0" borderId="92" xfId="1" applyFont="1" applyFill="1" applyBorder="1"/>
    <xf numFmtId="16" fontId="43" fillId="0" borderId="92" xfId="1" quotePrefix="1" applyNumberFormat="1" applyFont="1" applyBorder="1" applyAlignment="1">
      <alignment horizontal="right"/>
    </xf>
    <xf numFmtId="0" fontId="17" fillId="0" borderId="91" xfId="1" applyFont="1" applyBorder="1" applyAlignment="1">
      <alignment horizontal="right"/>
    </xf>
    <xf numFmtId="0" fontId="17" fillId="0" borderId="91" xfId="1" quotePrefix="1" applyFont="1" applyBorder="1" applyAlignment="1">
      <alignment horizontal="right"/>
    </xf>
    <xf numFmtId="0" fontId="17" fillId="0" borderId="89" xfId="1" applyFont="1" applyBorder="1" applyAlignment="1">
      <alignment horizontal="right"/>
    </xf>
    <xf numFmtId="0" fontId="17" fillId="0" borderId="89" xfId="1" quotePrefix="1" applyFont="1" applyBorder="1" applyAlignment="1">
      <alignment horizontal="right"/>
    </xf>
    <xf numFmtId="0" fontId="1" fillId="0" borderId="89" xfId="1" applyFont="1" applyBorder="1" applyAlignment="1">
      <alignment horizontal="right"/>
    </xf>
    <xf numFmtId="0" fontId="4" fillId="0" borderId="69" xfId="10" applyFont="1" applyBorder="1" applyAlignment="1"/>
    <xf numFmtId="0" fontId="4" fillId="0" borderId="71" xfId="10" applyFont="1" applyFill="1" applyBorder="1" applyAlignment="1">
      <alignment horizontal="center"/>
    </xf>
    <xf numFmtId="0" fontId="1" fillId="0" borderId="76" xfId="10" applyFont="1" applyBorder="1" applyAlignment="1"/>
    <xf numFmtId="0" fontId="1" fillId="3" borderId="80" xfId="10" applyFont="1" applyFill="1" applyBorder="1" applyAlignment="1"/>
    <xf numFmtId="0" fontId="1" fillId="3" borderId="81" xfId="10" applyFont="1" applyFill="1" applyBorder="1" applyAlignment="1"/>
    <xf numFmtId="0" fontId="1" fillId="3" borderId="81" xfId="16" applyFont="1" applyFill="1" applyBorder="1" applyAlignment="1">
      <alignment horizontal="center"/>
    </xf>
    <xf numFmtId="0" fontId="1" fillId="3" borderId="28" xfId="16" applyFont="1" applyFill="1" applyBorder="1" applyAlignment="1">
      <alignment horizontal="center"/>
    </xf>
    <xf numFmtId="0" fontId="1" fillId="3" borderId="80" xfId="16" applyFont="1" applyFill="1" applyBorder="1" applyAlignment="1">
      <alignment horizontal="center"/>
    </xf>
    <xf numFmtId="0" fontId="1" fillId="3" borderId="80" xfId="16" applyFont="1" applyFill="1" applyBorder="1" applyAlignment="1"/>
    <xf numFmtId="0" fontId="1" fillId="3" borderId="81" xfId="10" applyFont="1" applyFill="1" applyBorder="1" applyAlignment="1">
      <alignment horizontal="center"/>
    </xf>
    <xf numFmtId="0" fontId="1" fillId="3" borderId="26" xfId="10" applyFont="1" applyFill="1" applyBorder="1" applyAlignment="1">
      <alignment horizontal="center"/>
    </xf>
    <xf numFmtId="0" fontId="1" fillId="3" borderId="28" xfId="10" applyFont="1" applyFill="1" applyBorder="1" applyAlignment="1">
      <alignment horizontal="center"/>
    </xf>
    <xf numFmtId="0" fontId="1" fillId="3" borderId="80" xfId="10" applyFont="1" applyFill="1" applyBorder="1" applyAlignment="1">
      <alignment horizontal="center"/>
    </xf>
    <xf numFmtId="0" fontId="1" fillId="0" borderId="76" xfId="16" applyFont="1" applyFill="1" applyBorder="1" applyAlignment="1">
      <alignment horizontal="center"/>
    </xf>
    <xf numFmtId="0" fontId="4" fillId="0" borderId="94" xfId="10" applyFont="1" applyBorder="1" applyAlignment="1"/>
    <xf numFmtId="0" fontId="1" fillId="0" borderId="26" xfId="16" applyFont="1" applyBorder="1" applyAlignment="1"/>
    <xf numFmtId="0" fontId="1" fillId="0" borderId="26" xfId="16" applyFont="1" applyBorder="1" applyAlignment="1">
      <alignment horizontal="left"/>
    </xf>
    <xf numFmtId="0" fontId="1" fillId="0" borderId="26" xfId="16" applyFont="1" applyFill="1" applyBorder="1" applyAlignment="1"/>
    <xf numFmtId="0" fontId="0" fillId="3" borderId="81" xfId="10" applyFont="1" applyFill="1" applyBorder="1" applyAlignment="1"/>
    <xf numFmtId="0" fontId="0" fillId="0" borderId="93" xfId="16" applyFont="1" applyBorder="1" applyAlignment="1"/>
    <xf numFmtId="0" fontId="0" fillId="0" borderId="81" xfId="16" applyFont="1" applyBorder="1" applyAlignment="1">
      <alignment horizontal="left"/>
    </xf>
    <xf numFmtId="0" fontId="0" fillId="0" borderId="83" xfId="10" applyFont="1" applyFill="1" applyBorder="1" applyAlignment="1">
      <alignment horizontal="left"/>
    </xf>
    <xf numFmtId="0" fontId="0" fillId="0" borderId="81" xfId="10" applyFont="1" applyBorder="1" applyAlignment="1">
      <alignment horizontal="center"/>
    </xf>
    <xf numFmtId="0" fontId="0" fillId="0" borderId="26" xfId="10" applyFont="1" applyBorder="1" applyAlignment="1">
      <alignment horizontal="center"/>
    </xf>
    <xf numFmtId="0" fontId="0" fillId="0" borderId="28" xfId="10" applyFont="1" applyBorder="1" applyAlignment="1">
      <alignment horizontal="center"/>
    </xf>
    <xf numFmtId="0" fontId="0" fillId="0" borderId="28" xfId="10" applyFont="1" applyFill="1" applyBorder="1" applyAlignment="1">
      <alignment horizontal="center"/>
    </xf>
    <xf numFmtId="0" fontId="0" fillId="0" borderId="81" xfId="10" applyFont="1" applyFill="1" applyBorder="1" applyAlignment="1"/>
    <xf numFmtId="0" fontId="0" fillId="3" borderId="81" xfId="16" applyFont="1" applyFill="1" applyBorder="1" applyAlignment="1"/>
    <xf numFmtId="0" fontId="0" fillId="0" borderId="93" xfId="16" applyFont="1" applyBorder="1" applyAlignment="1">
      <alignment horizontal="left"/>
    </xf>
    <xf numFmtId="0" fontId="0" fillId="13" borderId="26" xfId="16" applyFont="1" applyFill="1" applyBorder="1" applyAlignment="1"/>
    <xf numFmtId="0" fontId="0" fillId="0" borderId="80" xfId="16" applyFont="1" applyFill="1" applyBorder="1" applyAlignment="1">
      <alignment horizontal="center"/>
    </xf>
    <xf numFmtId="0" fontId="0" fillId="3" borderId="26" xfId="1" applyFont="1" applyFill="1" applyBorder="1"/>
    <xf numFmtId="0" fontId="0" fillId="13" borderId="26" xfId="1" applyFont="1" applyFill="1" applyBorder="1"/>
    <xf numFmtId="0" fontId="4" fillId="0" borderId="26" xfId="1" applyFont="1" applyBorder="1"/>
    <xf numFmtId="0" fontId="17" fillId="0" borderId="0" xfId="1" applyFont="1" applyFill="1" applyAlignment="1">
      <alignment vertical="center"/>
    </xf>
    <xf numFmtId="0" fontId="1" fillId="9" borderId="26" xfId="19" applyFont="1" applyFill="1" applyBorder="1" applyAlignment="1">
      <alignment horizontal="center"/>
    </xf>
    <xf numFmtId="49" fontId="0" fillId="0" borderId="0" xfId="19" applyNumberFormat="1" applyFont="1" applyBorder="1" applyAlignment="1">
      <alignment horizontal="center"/>
    </xf>
    <xf numFmtId="0" fontId="4" fillId="12" borderId="26" xfId="0" applyNumberFormat="1" applyFont="1" applyFill="1" applyBorder="1" applyAlignment="1">
      <alignment horizontal="center"/>
    </xf>
    <xf numFmtId="0" fontId="4" fillId="0" borderId="95" xfId="1" applyFont="1" applyBorder="1" applyAlignment="1">
      <alignment horizontal="center"/>
    </xf>
    <xf numFmtId="20" fontId="1" fillId="0" borderId="95" xfId="1" applyNumberFormat="1" applyFont="1" applyBorder="1" applyAlignment="1">
      <alignment horizontal="center"/>
    </xf>
    <xf numFmtId="0" fontId="4" fillId="8" borderId="95" xfId="1" applyFont="1" applyFill="1" applyBorder="1" applyAlignment="1">
      <alignment horizontal="center"/>
    </xf>
    <xf numFmtId="0" fontId="1" fillId="8" borderId="95" xfId="1" applyFont="1" applyFill="1" applyBorder="1" applyAlignment="1">
      <alignment horizontal="center"/>
    </xf>
    <xf numFmtId="0" fontId="4" fillId="20" borderId="95" xfId="1" applyFont="1" applyFill="1" applyBorder="1" applyAlignment="1">
      <alignment horizontal="center"/>
    </xf>
    <xf numFmtId="0" fontId="1" fillId="20" borderId="95" xfId="1" applyFont="1" applyFill="1" applyBorder="1" applyAlignment="1">
      <alignment horizontal="center"/>
    </xf>
    <xf numFmtId="20" fontId="4" fillId="0" borderId="0" xfId="1" applyNumberFormat="1" applyFont="1" applyAlignment="1">
      <alignment horizontal="center"/>
    </xf>
    <xf numFmtId="20" fontId="0" fillId="0" borderId="95" xfId="0" applyNumberFormat="1" applyBorder="1" applyAlignment="1">
      <alignment horizontal="center"/>
    </xf>
    <xf numFmtId="0" fontId="4" fillId="0" borderId="95" xfId="0" applyFont="1" applyBorder="1" applyAlignment="1">
      <alignment horizontal="center"/>
    </xf>
    <xf numFmtId="0" fontId="0" fillId="0" borderId="95" xfId="0" applyBorder="1" applyAlignment="1">
      <alignment horizontal="center"/>
    </xf>
    <xf numFmtId="0" fontId="7" fillId="0" borderId="0" xfId="3" applyAlignment="1">
      <alignment horizontal="center"/>
    </xf>
    <xf numFmtId="0" fontId="0" fillId="8" borderId="96" xfId="0" applyFont="1" applyFill="1" applyBorder="1"/>
    <xf numFmtId="0" fontId="1" fillId="8" borderId="98" xfId="1" applyFont="1" applyFill="1" applyBorder="1"/>
    <xf numFmtId="0" fontId="1" fillId="8" borderId="97" xfId="1" applyFont="1" applyFill="1" applyBorder="1"/>
    <xf numFmtId="0" fontId="0" fillId="8" borderId="96" xfId="0" applyFill="1" applyBorder="1"/>
    <xf numFmtId="0" fontId="4" fillId="20" borderId="95" xfId="0" applyFont="1" applyFill="1" applyBorder="1" applyAlignment="1">
      <alignment horizontal="center"/>
    </xf>
    <xf numFmtId="0" fontId="0" fillId="20" borderId="95" xfId="0" applyFont="1" applyFill="1" applyBorder="1"/>
    <xf numFmtId="0" fontId="0" fillId="20" borderId="95" xfId="0" applyFill="1" applyBorder="1"/>
    <xf numFmtId="0" fontId="43" fillId="3" borderId="95" xfId="17" applyFont="1" applyFill="1" applyBorder="1" applyAlignment="1">
      <alignment horizontal="center"/>
    </xf>
    <xf numFmtId="0" fontId="0" fillId="0" borderId="0" xfId="1" applyFont="1"/>
    <xf numFmtId="0" fontId="31" fillId="0" borderId="0" xfId="1" applyFont="1"/>
    <xf numFmtId="0" fontId="4" fillId="8" borderId="0" xfId="1" applyFont="1" applyFill="1" applyAlignment="1">
      <alignment horizontal="center"/>
    </xf>
    <xf numFmtId="0" fontId="4" fillId="20" borderId="0" xfId="1" applyFont="1" applyFill="1" applyAlignment="1">
      <alignment horizontal="center"/>
    </xf>
    <xf numFmtId="0" fontId="1" fillId="8" borderId="0" xfId="1" applyFont="1" applyFill="1" applyAlignment="1">
      <alignment horizontal="center"/>
    </xf>
    <xf numFmtId="0" fontId="1" fillId="20" borderId="0" xfId="1" applyFont="1" applyFill="1" applyAlignment="1">
      <alignment horizontal="center"/>
    </xf>
    <xf numFmtId="0" fontId="4" fillId="0" borderId="0" xfId="1" applyFont="1" applyFill="1" applyAlignment="1">
      <alignment horizontal="center"/>
    </xf>
    <xf numFmtId="0" fontId="60" fillId="0" borderId="26" xfId="1" applyFont="1" applyBorder="1" applyAlignment="1"/>
    <xf numFmtId="0" fontId="58" fillId="22" borderId="0" xfId="3" applyFont="1" applyFill="1" applyBorder="1" applyAlignment="1">
      <alignment vertical="top"/>
    </xf>
    <xf numFmtId="0" fontId="4" fillId="0" borderId="99" xfId="1" applyFont="1" applyBorder="1" applyAlignment="1">
      <alignment horizontal="center"/>
    </xf>
    <xf numFmtId="0" fontId="4" fillId="0" borderId="100" xfId="1" applyFont="1" applyBorder="1" applyAlignment="1"/>
    <xf numFmtId="0" fontId="1" fillId="0" borderId="101" xfId="1" applyFont="1" applyBorder="1"/>
    <xf numFmtId="0" fontId="43" fillId="0" borderId="102" xfId="1" applyFont="1" applyBorder="1" applyAlignment="1">
      <alignment horizontal="right"/>
    </xf>
    <xf numFmtId="0" fontId="43" fillId="12" borderId="100" xfId="1" applyFont="1" applyFill="1" applyBorder="1"/>
    <xf numFmtId="0" fontId="17" fillId="0" borderId="100" xfId="1" applyFont="1" applyBorder="1" applyAlignment="1">
      <alignment horizontal="right"/>
    </xf>
    <xf numFmtId="0" fontId="43" fillId="0" borderId="102" xfId="1" quotePrefix="1" applyFont="1" applyBorder="1" applyAlignment="1">
      <alignment horizontal="right"/>
    </xf>
    <xf numFmtId="0" fontId="17" fillId="3" borderId="100" xfId="1" applyFont="1" applyFill="1" applyBorder="1"/>
    <xf numFmtId="0" fontId="17" fillId="13" borderId="100" xfId="1" applyFont="1" applyFill="1" applyBorder="1"/>
    <xf numFmtId="0" fontId="17" fillId="0" borderId="100" xfId="1" quotePrefix="1" applyFont="1" applyBorder="1" applyAlignment="1">
      <alignment horizontal="right"/>
    </xf>
    <xf numFmtId="0" fontId="17" fillId="0" borderId="100" xfId="1" applyFont="1" applyBorder="1"/>
    <xf numFmtId="0" fontId="17" fillId="0" borderId="100" xfId="1" applyFont="1" applyFill="1" applyBorder="1"/>
    <xf numFmtId="0" fontId="1" fillId="0" borderId="103" xfId="1" applyFont="1" applyBorder="1"/>
    <xf numFmtId="0" fontId="4" fillId="0" borderId="102" xfId="1" applyFont="1" applyBorder="1" applyAlignment="1">
      <alignment horizontal="right"/>
    </xf>
    <xf numFmtId="0" fontId="1" fillId="0" borderId="100" xfId="1" applyFont="1" applyBorder="1"/>
    <xf numFmtId="0" fontId="0" fillId="0" borderId="102" xfId="1" applyFont="1" applyBorder="1"/>
    <xf numFmtId="0" fontId="4" fillId="0" borderId="0" xfId="0" applyFont="1"/>
    <xf numFmtId="0" fontId="4" fillId="0" borderId="102" xfId="19" applyFont="1" applyBorder="1" applyAlignment="1">
      <alignment horizontal="center"/>
    </xf>
    <xf numFmtId="0" fontId="1" fillId="0" borderId="102" xfId="19" applyFont="1" applyBorder="1" applyAlignment="1">
      <alignment horizontal="center"/>
    </xf>
    <xf numFmtId="0" fontId="1" fillId="16" borderId="102" xfId="19" applyFont="1" applyFill="1" applyBorder="1" applyAlignment="1">
      <alignment horizontal="center"/>
    </xf>
    <xf numFmtId="0" fontId="1" fillId="0" borderId="102" xfId="19" applyFont="1" applyFill="1" applyBorder="1" applyAlignment="1">
      <alignment horizontal="center"/>
    </xf>
    <xf numFmtId="0" fontId="0" fillId="0" borderId="0" xfId="0" applyFill="1"/>
    <xf numFmtId="0" fontId="4" fillId="0" borderId="102" xfId="19" applyFont="1" applyBorder="1"/>
    <xf numFmtId="0" fontId="0" fillId="0" borderId="102" xfId="19" applyFont="1" applyBorder="1"/>
    <xf numFmtId="49" fontId="0" fillId="0" borderId="102" xfId="19" applyNumberFormat="1" applyFont="1" applyBorder="1" applyAlignment="1">
      <alignment horizontal="center"/>
    </xf>
    <xf numFmtId="0" fontId="0" fillId="0" borderId="102" xfId="19" applyFont="1" applyBorder="1" applyAlignment="1">
      <alignment horizontal="center"/>
    </xf>
    <xf numFmtId="0" fontId="0" fillId="0" borderId="102" xfId="10" applyFont="1" applyFill="1" applyBorder="1" applyAlignment="1"/>
    <xf numFmtId="0" fontId="0" fillId="0" borderId="102" xfId="19" applyNumberFormat="1" applyFont="1" applyFill="1" applyBorder="1" applyAlignment="1"/>
    <xf numFmtId="0" fontId="0" fillId="0" borderId="0" xfId="0" applyBorder="1"/>
    <xf numFmtId="0" fontId="4" fillId="0" borderId="0" xfId="1" applyFont="1" applyBorder="1"/>
    <xf numFmtId="0" fontId="0" fillId="0" borderId="0" xfId="0"/>
    <xf numFmtId="0" fontId="38" fillId="0" borderId="26" xfId="9" applyFont="1" applyFill="1" applyBorder="1" applyAlignment="1"/>
    <xf numFmtId="0" fontId="1" fillId="12" borderId="0" xfId="1" applyFont="1" applyFill="1"/>
    <xf numFmtId="0" fontId="1" fillId="3" borderId="0" xfId="1" applyFont="1" applyFill="1"/>
    <xf numFmtId="0" fontId="1" fillId="13" borderId="0" xfId="1" applyFont="1" applyFill="1"/>
    <xf numFmtId="0" fontId="0" fillId="3" borderId="0" xfId="1" applyFont="1" applyFill="1"/>
    <xf numFmtId="0" fontId="0" fillId="13" borderId="0" xfId="1" applyFont="1" applyFill="1"/>
    <xf numFmtId="0" fontId="38" fillId="0" borderId="0" xfId="1" applyFont="1"/>
    <xf numFmtId="0" fontId="39" fillId="0" borderId="0" xfId="1" applyFont="1"/>
    <xf numFmtId="0" fontId="0" fillId="0" borderId="0" xfId="0" applyAlignment="1">
      <alignment horizontal="left"/>
    </xf>
    <xf numFmtId="0" fontId="4" fillId="0" borderId="102" xfId="1" quotePrefix="1" applyFont="1" applyBorder="1" applyAlignment="1">
      <alignment horizontal="right"/>
    </xf>
    <xf numFmtId="0" fontId="1" fillId="0" borderId="93" xfId="1" applyFont="1" applyFill="1" applyBorder="1" applyAlignment="1"/>
    <xf numFmtId="0" fontId="36" fillId="0" borderId="34" xfId="15" applyFont="1" applyFill="1" applyBorder="1" applyAlignment="1">
      <alignment horizontal="center"/>
    </xf>
    <xf numFmtId="0" fontId="17" fillId="0" borderId="0" xfId="1" applyFont="1" applyFill="1" applyBorder="1" applyAlignment="1">
      <alignment horizontal="center"/>
    </xf>
    <xf numFmtId="0" fontId="0" fillId="0" borderId="0" xfId="1" applyNumberFormat="1" applyFont="1" applyFill="1" applyBorder="1" applyAlignment="1">
      <alignment horizontal="center"/>
    </xf>
    <xf numFmtId="49" fontId="0" fillId="0" borderId="0" xfId="1" applyNumberFormat="1" applyFont="1" applyFill="1" applyBorder="1" applyAlignment="1">
      <alignment horizontal="center"/>
    </xf>
    <xf numFmtId="0" fontId="17" fillId="0" borderId="102" xfId="1" applyFont="1" applyFill="1" applyBorder="1"/>
    <xf numFmtId="0" fontId="1" fillId="0" borderId="102" xfId="1" applyFont="1" applyFill="1" applyBorder="1" applyAlignment="1">
      <alignment horizontal="center"/>
    </xf>
    <xf numFmtId="0" fontId="0" fillId="0" borderId="100" xfId="1" applyNumberFormat="1" applyFont="1" applyFill="1" applyBorder="1" applyAlignment="1">
      <alignment horizontal="center"/>
    </xf>
    <xf numFmtId="49" fontId="0" fillId="0" borderId="99" xfId="1" applyNumberFormat="1" applyFont="1" applyFill="1" applyBorder="1" applyAlignment="1">
      <alignment horizontal="center"/>
    </xf>
    <xf numFmtId="0" fontId="0" fillId="0" borderId="101" xfId="1" applyNumberFormat="1" applyFont="1" applyFill="1" applyBorder="1" applyAlignment="1">
      <alignment horizontal="center"/>
    </xf>
    <xf numFmtId="0" fontId="17" fillId="0" borderId="102" xfId="1" applyFont="1" applyFill="1" applyBorder="1" applyAlignment="1">
      <alignment horizontal="center"/>
    </xf>
    <xf numFmtId="0" fontId="0" fillId="0" borderId="102" xfId="1" applyFont="1" applyFill="1" applyBorder="1"/>
    <xf numFmtId="0" fontId="17" fillId="0" borderId="102" xfId="1" applyFont="1" applyBorder="1"/>
    <xf numFmtId="0" fontId="0" fillId="0" borderId="0" xfId="1" applyFont="1" applyFill="1" applyBorder="1"/>
    <xf numFmtId="0" fontId="17" fillId="0" borderId="0" xfId="1" applyFont="1" applyBorder="1" applyAlignment="1">
      <alignment horizontal="center"/>
    </xf>
    <xf numFmtId="0" fontId="4" fillId="0" borderId="102" xfId="19" applyFont="1" applyFill="1" applyBorder="1" applyAlignment="1">
      <alignment horizontal="center"/>
    </xf>
    <xf numFmtId="0" fontId="1" fillId="0" borderId="102" xfId="1" applyFont="1" applyBorder="1" applyAlignment="1">
      <alignment horizontal="center"/>
    </xf>
    <xf numFmtId="0" fontId="0" fillId="0" borderId="102" xfId="0" applyFont="1" applyBorder="1" applyAlignment="1">
      <alignment horizontal="center"/>
    </xf>
    <xf numFmtId="0" fontId="0" fillId="16" borderId="102" xfId="0" applyFont="1" applyFill="1" applyBorder="1" applyAlignment="1">
      <alignment horizontal="center"/>
    </xf>
    <xf numFmtId="0" fontId="0" fillId="0" borderId="102" xfId="0" applyBorder="1" applyAlignment="1">
      <alignment horizontal="center"/>
    </xf>
    <xf numFmtId="0" fontId="1" fillId="23" borderId="102" xfId="19" applyFont="1" applyFill="1" applyBorder="1" applyAlignment="1">
      <alignment horizontal="center"/>
    </xf>
    <xf numFmtId="16" fontId="0" fillId="0" borderId="102" xfId="0" quotePrefix="1" applyNumberFormat="1" applyBorder="1" applyAlignment="1">
      <alignment horizontal="center"/>
    </xf>
    <xf numFmtId="49" fontId="1" fillId="0" borderId="0" xfId="19" applyNumberFormat="1" applyFont="1" applyFill="1" applyBorder="1" applyAlignment="1">
      <alignment horizontal="center"/>
    </xf>
    <xf numFmtId="0" fontId="62" fillId="0" borderId="26" xfId="9" applyFont="1" applyBorder="1" applyAlignment="1">
      <alignment horizontal="center"/>
    </xf>
    <xf numFmtId="0" fontId="46" fillId="0" borderId="102" xfId="3" applyFont="1" applyFill="1" applyBorder="1" applyAlignment="1"/>
    <xf numFmtId="0" fontId="7" fillId="9" borderId="102" xfId="3" applyNumberFormat="1" applyFill="1" applyBorder="1" applyAlignment="1"/>
    <xf numFmtId="0" fontId="50" fillId="0" borderId="26" xfId="9" applyFont="1" applyBorder="1" applyAlignment="1">
      <alignment horizontal="center"/>
    </xf>
    <xf numFmtId="0" fontId="17" fillId="0" borderId="0" xfId="19" applyFont="1" applyBorder="1" applyAlignment="1">
      <alignment horizontal="center"/>
    </xf>
    <xf numFmtId="0" fontId="4" fillId="0" borderId="0" xfId="19" applyFont="1" applyFill="1" applyBorder="1" applyAlignment="1">
      <alignment horizontal="center"/>
    </xf>
    <xf numFmtId="0" fontId="4" fillId="0" borderId="0" xfId="19" applyFont="1" applyBorder="1" applyAlignment="1">
      <alignment horizontal="center"/>
    </xf>
    <xf numFmtId="0" fontId="0" fillId="0" borderId="0" xfId="19" applyFont="1" applyBorder="1" applyAlignment="1">
      <alignment horizontal="center"/>
    </xf>
    <xf numFmtId="0" fontId="1" fillId="0" borderId="16" xfId="1" applyFont="1" applyBorder="1" applyAlignment="1"/>
    <xf numFmtId="0" fontId="4" fillId="0" borderId="16" xfId="1" applyFont="1" applyBorder="1" applyAlignment="1"/>
    <xf numFmtId="0" fontId="1" fillId="0" borderId="60" xfId="1" applyFont="1" applyBorder="1" applyAlignment="1"/>
    <xf numFmtId="0" fontId="0" fillId="0" borderId="60" xfId="10" applyFont="1" applyBorder="1" applyAlignment="1"/>
    <xf numFmtId="0" fontId="53" fillId="0" borderId="102" xfId="3" applyFont="1" applyFill="1" applyBorder="1" applyAlignment="1"/>
    <xf numFmtId="0" fontId="1" fillId="0" borderId="0" xfId="10" applyFont="1" applyFill="1" applyBorder="1" applyAlignment="1">
      <alignment textRotation="90"/>
    </xf>
    <xf numFmtId="0" fontId="43" fillId="0" borderId="100" xfId="1" quotePrefix="1" applyFont="1" applyBorder="1" applyAlignment="1">
      <alignment horizontal="right"/>
    </xf>
    <xf numFmtId="0" fontId="43" fillId="0" borderId="101" xfId="1" quotePrefix="1" applyFont="1" applyBorder="1" applyAlignment="1">
      <alignment horizontal="right"/>
    </xf>
    <xf numFmtId="0" fontId="4" fillId="0" borderId="102" xfId="1" applyFont="1" applyBorder="1" applyAlignment="1"/>
    <xf numFmtId="0" fontId="4" fillId="12" borderId="102" xfId="1" applyFont="1" applyFill="1" applyBorder="1" applyAlignment="1"/>
    <xf numFmtId="0" fontId="0" fillId="13" borderId="102" xfId="1" applyFont="1" applyFill="1" applyBorder="1" applyAlignment="1"/>
    <xf numFmtId="0" fontId="1" fillId="0" borderId="102" xfId="1" applyFont="1" applyBorder="1" applyAlignment="1"/>
    <xf numFmtId="0" fontId="0" fillId="0" borderId="102" xfId="9" applyNumberFormat="1" applyFont="1" applyFill="1" applyBorder="1" applyAlignment="1"/>
    <xf numFmtId="0" fontId="4" fillId="9" borderId="26" xfId="5" applyFont="1" applyFill="1" applyBorder="1" applyAlignment="1"/>
    <xf numFmtId="16" fontId="43" fillId="0" borderId="102" xfId="1" quotePrefix="1" applyNumberFormat="1" applyFont="1" applyBorder="1" applyAlignment="1">
      <alignment horizontal="right"/>
    </xf>
    <xf numFmtId="0" fontId="0" fillId="0" borderId="34" xfId="10" applyFont="1" applyBorder="1" applyAlignment="1">
      <alignment horizontal="center"/>
    </xf>
    <xf numFmtId="0" fontId="43" fillId="0" borderId="100" xfId="1" quotePrefix="1" applyFont="1" applyBorder="1" applyAlignment="1"/>
    <xf numFmtId="0" fontId="1" fillId="7" borderId="7" xfId="1" applyFont="1" applyFill="1" applyBorder="1" applyAlignment="1"/>
    <xf numFmtId="0" fontId="43" fillId="0" borderId="101" xfId="1" quotePrefix="1" applyFont="1" applyBorder="1" applyAlignment="1">
      <alignment horizontal="right"/>
    </xf>
    <xf numFmtId="0" fontId="1" fillId="0" borderId="102" xfId="19" applyFont="1" applyBorder="1"/>
    <xf numFmtId="0" fontId="17" fillId="0" borderId="102" xfId="19" applyFont="1" applyBorder="1" applyAlignment="1"/>
    <xf numFmtId="0" fontId="1" fillId="0" borderId="0" xfId="19" applyFont="1" applyAlignment="1">
      <alignment horizontal="center"/>
    </xf>
    <xf numFmtId="49" fontId="1" fillId="0" borderId="0" xfId="19" applyNumberFormat="1" applyFont="1" applyAlignment="1">
      <alignment horizontal="center"/>
    </xf>
    <xf numFmtId="0" fontId="17" fillId="0" borderId="102" xfId="19" applyFont="1" applyBorder="1" applyAlignment="1">
      <alignment horizontal="center"/>
    </xf>
    <xf numFmtId="0" fontId="17" fillId="0" borderId="54" xfId="19" applyFont="1" applyBorder="1" applyAlignment="1"/>
    <xf numFmtId="16" fontId="1" fillId="0" borderId="0" xfId="19" applyNumberFormat="1" applyFont="1" applyBorder="1" applyAlignment="1">
      <alignment horizontal="center"/>
    </xf>
    <xf numFmtId="0" fontId="17" fillId="0" borderId="106" xfId="9" applyFont="1" applyBorder="1" applyAlignment="1"/>
    <xf numFmtId="0" fontId="17" fillId="0" borderId="103" xfId="9" applyFont="1" applyFill="1" applyBorder="1" applyAlignment="1"/>
    <xf numFmtId="0" fontId="17" fillId="0" borderId="106" xfId="9" applyFont="1" applyFill="1" applyBorder="1" applyAlignment="1"/>
    <xf numFmtId="0" fontId="17" fillId="0" borderId="103" xfId="9" applyFont="1" applyBorder="1" applyAlignment="1"/>
    <xf numFmtId="0" fontId="0" fillId="0" borderId="102" xfId="1" applyFont="1" applyBorder="1" applyAlignment="1"/>
    <xf numFmtId="0" fontId="0" fillId="3" borderId="102" xfId="1" applyFont="1" applyFill="1" applyBorder="1" applyAlignment="1"/>
    <xf numFmtId="0" fontId="4" fillId="0" borderId="27" xfId="10" applyFont="1" applyBorder="1" applyAlignment="1">
      <alignment horizontal="left"/>
    </xf>
    <xf numFmtId="0" fontId="4" fillId="0" borderId="0" xfId="10" applyFont="1" applyBorder="1" applyAlignment="1">
      <alignment horizontal="left"/>
    </xf>
    <xf numFmtId="0" fontId="0" fillId="0" borderId="36" xfId="10" applyFont="1" applyBorder="1" applyAlignment="1">
      <alignment horizontal="left"/>
    </xf>
    <xf numFmtId="0" fontId="43" fillId="0" borderId="102" xfId="19" applyFont="1" applyBorder="1" applyAlignment="1">
      <alignment horizontal="center"/>
    </xf>
    <xf numFmtId="0" fontId="0" fillId="0" borderId="0" xfId="10" applyFont="1" applyBorder="1" applyAlignment="1">
      <alignment horizontal="left"/>
    </xf>
    <xf numFmtId="0" fontId="35" fillId="0" borderId="93" xfId="1" applyFont="1" applyFill="1" applyBorder="1" applyAlignment="1"/>
    <xf numFmtId="0" fontId="43" fillId="0" borderId="93" xfId="1" applyFont="1" applyBorder="1"/>
    <xf numFmtId="0" fontId="35" fillId="9" borderId="93" xfId="10" applyFont="1" applyFill="1" applyBorder="1" applyAlignment="1"/>
    <xf numFmtId="0" fontId="1" fillId="20" borderId="26" xfId="19" applyFont="1" applyFill="1" applyBorder="1" applyAlignment="1">
      <alignment horizontal="center"/>
    </xf>
    <xf numFmtId="0" fontId="43" fillId="0" borderId="101" xfId="1" quotePrefix="1" applyFont="1" applyBorder="1" applyAlignment="1">
      <alignment horizontal="right"/>
    </xf>
    <xf numFmtId="0" fontId="1" fillId="9" borderId="39" xfId="1" applyFont="1" applyFill="1" applyBorder="1" applyAlignment="1"/>
    <xf numFmtId="0" fontId="1" fillId="9" borderId="43" xfId="1" applyFont="1" applyFill="1" applyBorder="1" applyAlignment="1"/>
    <xf numFmtId="0" fontId="4" fillId="9" borderId="93" xfId="1" applyFont="1" applyFill="1" applyBorder="1" applyAlignment="1"/>
    <xf numFmtId="0" fontId="38" fillId="9" borderId="93" xfId="10" applyFont="1" applyFill="1" applyBorder="1" applyAlignment="1"/>
    <xf numFmtId="0" fontId="4" fillId="0" borderId="93" xfId="10" applyFont="1" applyFill="1" applyBorder="1" applyAlignment="1"/>
    <xf numFmtId="0" fontId="0" fillId="0" borderId="0" xfId="10" applyFont="1" applyAlignment="1">
      <alignment horizontal="left"/>
    </xf>
    <xf numFmtId="0" fontId="0" fillId="0" borderId="0" xfId="19" quotePrefix="1" applyFont="1" applyBorder="1" applyAlignment="1">
      <alignment horizontal="left"/>
    </xf>
    <xf numFmtId="0" fontId="17" fillId="0" borderId="0" xfId="19" quotePrefix="1" applyFont="1" applyBorder="1" applyAlignment="1">
      <alignment horizontal="left"/>
    </xf>
    <xf numFmtId="0" fontId="0" fillId="0" borderId="0" xfId="19" applyFont="1" applyBorder="1" applyAlignment="1">
      <alignment horizontal="right"/>
    </xf>
    <xf numFmtId="16" fontId="0" fillId="0" borderId="0" xfId="19" quotePrefix="1" applyNumberFormat="1" applyFont="1" applyBorder="1" applyAlignment="1">
      <alignment horizontal="center"/>
    </xf>
    <xf numFmtId="0" fontId="1" fillId="3" borderId="26" xfId="1" applyFont="1" applyFill="1" applyBorder="1"/>
    <xf numFmtId="0" fontId="1" fillId="13" borderId="26" xfId="1" applyFont="1" applyFill="1" applyBorder="1"/>
    <xf numFmtId="0" fontId="4" fillId="3" borderId="93" xfId="10" applyFont="1" applyFill="1" applyBorder="1" applyAlignment="1">
      <alignment horizontal="right"/>
    </xf>
    <xf numFmtId="0" fontId="3" fillId="0" borderId="0" xfId="10" applyFont="1" applyAlignment="1"/>
    <xf numFmtId="0" fontId="31" fillId="0" borderId="0" xfId="19" applyFont="1" applyFill="1" applyBorder="1" applyAlignment="1"/>
    <xf numFmtId="0" fontId="1" fillId="0" borderId="4" xfId="3" applyFont="1" applyFill="1" applyBorder="1" applyAlignment="1"/>
    <xf numFmtId="0" fontId="1" fillId="0" borderId="7" xfId="4" applyFont="1" applyFill="1" applyBorder="1" applyAlignment="1"/>
    <xf numFmtId="0" fontId="8" fillId="0" borderId="7" xfId="3" applyFont="1" applyFill="1" applyBorder="1" applyAlignment="1"/>
    <xf numFmtId="0" fontId="1" fillId="0" borderId="9" xfId="1" applyFont="1" applyFill="1" applyBorder="1" applyAlignment="1">
      <alignment vertical="top"/>
    </xf>
    <xf numFmtId="0" fontId="34" fillId="8" borderId="28" xfId="3" applyFont="1" applyFill="1" applyBorder="1" applyAlignment="1"/>
    <xf numFmtId="49" fontId="0" fillId="0" borderId="0" xfId="19" quotePrefix="1" applyNumberFormat="1" applyFont="1" applyBorder="1" applyAlignment="1">
      <alignment horizontal="center"/>
    </xf>
    <xf numFmtId="0" fontId="4" fillId="0" borderId="26" xfId="9" applyFont="1" applyFill="1" applyBorder="1" applyAlignment="1"/>
    <xf numFmtId="0" fontId="4" fillId="17" borderId="26" xfId="19" applyFont="1" applyFill="1" applyBorder="1" applyAlignment="1">
      <alignment horizontal="center"/>
    </xf>
    <xf numFmtId="0" fontId="0" fillId="0" borderId="0" xfId="1" quotePrefix="1" applyFont="1" applyAlignment="1"/>
    <xf numFmtId="49" fontId="0" fillId="24" borderId="26" xfId="19" applyNumberFormat="1" applyFont="1" applyFill="1" applyBorder="1" applyAlignment="1">
      <alignment horizontal="center"/>
    </xf>
    <xf numFmtId="0" fontId="0" fillId="0" borderId="0" xfId="5" applyFont="1" applyFill="1" applyAlignment="1"/>
    <xf numFmtId="0" fontId="0" fillId="3" borderId="26" xfId="5" applyFont="1" applyFill="1" applyBorder="1" applyAlignment="1"/>
    <xf numFmtId="0" fontId="0" fillId="25" borderId="26" xfId="5" applyFont="1" applyFill="1" applyBorder="1" applyAlignment="1"/>
    <xf numFmtId="0" fontId="26" fillId="0" borderId="26" xfId="1" applyFont="1" applyFill="1" applyBorder="1" applyAlignment="1"/>
    <xf numFmtId="0" fontId="35" fillId="0" borderId="26" xfId="1" applyFont="1" applyFill="1" applyBorder="1" applyAlignment="1"/>
    <xf numFmtId="0" fontId="38" fillId="0" borderId="26" xfId="5" applyFont="1" applyFill="1" applyBorder="1" applyAlignment="1"/>
    <xf numFmtId="0" fontId="38" fillId="0" borderId="26" xfId="1" applyFont="1" applyFill="1" applyBorder="1" applyAlignment="1"/>
    <xf numFmtId="0" fontId="63" fillId="0" borderId="26" xfId="5" applyFont="1" applyFill="1" applyBorder="1" applyAlignment="1"/>
    <xf numFmtId="0" fontId="38" fillId="26" borderId="26" xfId="5" applyFont="1" applyFill="1" applyBorder="1" applyAlignment="1"/>
    <xf numFmtId="0" fontId="0" fillId="0" borderId="35" xfId="19" applyFont="1" applyBorder="1"/>
    <xf numFmtId="0" fontId="4" fillId="0" borderId="0" xfId="19" applyFont="1" applyFill="1" applyBorder="1"/>
    <xf numFmtId="0" fontId="0" fillId="0" borderId="0" xfId="19" applyFont="1" applyFill="1" applyBorder="1"/>
    <xf numFmtId="49" fontId="0" fillId="0" borderId="0" xfId="19" applyNumberFormat="1" applyFont="1" applyFill="1" applyBorder="1" applyAlignment="1">
      <alignment horizontal="center"/>
    </xf>
    <xf numFmtId="0" fontId="0" fillId="0" borderId="0" xfId="19" applyFont="1" applyFill="1" applyBorder="1" applyAlignment="1">
      <alignment horizontal="center"/>
    </xf>
    <xf numFmtId="0" fontId="1" fillId="0" borderId="0" xfId="19" applyFont="1" applyFill="1" applyBorder="1" applyAlignment="1">
      <alignment horizontal="right"/>
    </xf>
    <xf numFmtId="0" fontId="0" fillId="0" borderId="0" xfId="10" applyFont="1" applyBorder="1" applyAlignment="1"/>
    <xf numFmtId="0" fontId="0" fillId="0" borderId="106" xfId="10" applyFont="1" applyBorder="1" applyAlignment="1"/>
    <xf numFmtId="0" fontId="1" fillId="0" borderId="106" xfId="1" applyFont="1" applyBorder="1"/>
    <xf numFmtId="0" fontId="1" fillId="0" borderId="103" xfId="10" applyFont="1" applyBorder="1" applyAlignment="1"/>
    <xf numFmtId="0" fontId="1" fillId="0" borderId="106" xfId="10" applyFont="1" applyBorder="1" applyAlignment="1"/>
    <xf numFmtId="0" fontId="38" fillId="0" borderId="93" xfId="10" applyFont="1" applyFill="1" applyBorder="1" applyAlignment="1"/>
    <xf numFmtId="0" fontId="0" fillId="9" borderId="34" xfId="4" applyNumberFormat="1" applyFont="1" applyFill="1" applyBorder="1" applyAlignment="1">
      <alignment horizontal="center"/>
    </xf>
    <xf numFmtId="0" fontId="0" fillId="12" borderId="26" xfId="9" applyFont="1" applyFill="1" applyBorder="1" applyAlignment="1"/>
    <xf numFmtId="0" fontId="0" fillId="3" borderId="26" xfId="9" applyFont="1" applyFill="1" applyBorder="1" applyAlignment="1"/>
    <xf numFmtId="0" fontId="4" fillId="27" borderId="26" xfId="9" applyFont="1" applyFill="1" applyBorder="1" applyAlignment="1"/>
    <xf numFmtId="0" fontId="50" fillId="0" borderId="26" xfId="21" applyFont="1" applyFill="1" applyBorder="1" applyAlignment="1">
      <alignment horizontal="center"/>
    </xf>
    <xf numFmtId="0" fontId="3" fillId="0" borderId="0" xfId="10" applyFont="1" applyFill="1" applyAlignment="1">
      <alignment horizontal="right"/>
    </xf>
    <xf numFmtId="0" fontId="64" fillId="0" borderId="34" xfId="10" applyFont="1" applyFill="1" applyBorder="1" applyAlignment="1">
      <alignment horizontal="right"/>
    </xf>
    <xf numFmtId="0" fontId="64" fillId="0" borderId="34" xfId="10" applyFont="1" applyFill="1" applyBorder="1" applyAlignment="1">
      <alignment horizontal="center"/>
    </xf>
    <xf numFmtId="0" fontId="1" fillId="0" borderId="7" xfId="1" applyFont="1" applyBorder="1" applyAlignment="1">
      <alignment vertical="top"/>
    </xf>
    <xf numFmtId="0" fontId="23" fillId="0" borderId="9" xfId="3" applyFont="1" applyFill="1" applyBorder="1" applyAlignment="1"/>
    <xf numFmtId="0" fontId="1" fillId="0" borderId="31" xfId="1" applyFont="1" applyBorder="1" applyAlignment="1">
      <alignment vertical="top"/>
    </xf>
    <xf numFmtId="0" fontId="37" fillId="0" borderId="35" xfId="1" applyFont="1" applyFill="1" applyBorder="1" applyAlignment="1"/>
    <xf numFmtId="0" fontId="1" fillId="0" borderId="55" xfId="1" applyFont="1" applyFill="1" applyBorder="1"/>
    <xf numFmtId="0" fontId="1" fillId="0" borderId="106" xfId="1" applyFont="1" applyFill="1" applyBorder="1"/>
    <xf numFmtId="0" fontId="1" fillId="0" borderId="110" xfId="1" applyFont="1" applyFill="1" applyBorder="1" applyAlignment="1">
      <alignment horizontal="left"/>
    </xf>
    <xf numFmtId="0" fontId="37" fillId="0" borderId="58" xfId="1" applyFont="1" applyFill="1" applyBorder="1"/>
    <xf numFmtId="0" fontId="17" fillId="0" borderId="58" xfId="1" applyFont="1" applyFill="1" applyBorder="1" applyAlignment="1">
      <alignment horizontal="left"/>
    </xf>
    <xf numFmtId="0" fontId="1" fillId="0" borderId="57" xfId="1" applyFont="1" applyFill="1" applyBorder="1"/>
    <xf numFmtId="0" fontId="1" fillId="0" borderId="63" xfId="1" applyFont="1" applyFill="1" applyBorder="1"/>
    <xf numFmtId="0" fontId="1" fillId="0" borderId="58" xfId="1" applyFont="1" applyFill="1" applyBorder="1" applyAlignment="1">
      <alignment horizontal="left"/>
    </xf>
    <xf numFmtId="0" fontId="1" fillId="0" borderId="36" xfId="1" applyFont="1" applyFill="1" applyBorder="1" applyAlignment="1">
      <alignment horizontal="left"/>
    </xf>
    <xf numFmtId="0" fontId="1" fillId="0" borderId="58" xfId="1" applyFont="1" applyFill="1" applyBorder="1"/>
    <xf numFmtId="0" fontId="1" fillId="0" borderId="54" xfId="1" applyFont="1" applyFill="1" applyBorder="1" applyAlignment="1">
      <alignment horizontal="left"/>
    </xf>
    <xf numFmtId="0" fontId="1" fillId="0" borderId="103" xfId="1" applyFont="1" applyFill="1" applyBorder="1"/>
    <xf numFmtId="0" fontId="4" fillId="0" borderId="58" xfId="1" applyFont="1" applyFill="1" applyBorder="1"/>
    <xf numFmtId="0" fontId="1" fillId="0" borderId="111" xfId="1" applyFont="1" applyFill="1" applyBorder="1"/>
    <xf numFmtId="0" fontId="17" fillId="0" borderId="103" xfId="9" applyFont="1" applyFill="1" applyBorder="1"/>
    <xf numFmtId="0" fontId="37" fillId="0" borderId="58" xfId="1" applyFont="1" applyFill="1" applyBorder="1" applyAlignment="1">
      <alignment horizontal="right"/>
    </xf>
    <xf numFmtId="0" fontId="1" fillId="0" borderId="62" xfId="1" applyFont="1" applyFill="1" applyBorder="1"/>
    <xf numFmtId="0" fontId="1" fillId="0" borderId="27" xfId="1" applyFont="1" applyFill="1" applyBorder="1"/>
    <xf numFmtId="0" fontId="4" fillId="0" borderId="16" xfId="1" applyFont="1" applyFill="1" applyBorder="1"/>
    <xf numFmtId="0" fontId="1" fillId="0" borderId="60" xfId="1" applyFont="1" applyFill="1" applyBorder="1"/>
    <xf numFmtId="0" fontId="43" fillId="0" borderId="0" xfId="1" quotePrefix="1" applyFont="1" applyFill="1" applyAlignment="1">
      <alignment horizontal="right"/>
    </xf>
    <xf numFmtId="0" fontId="1" fillId="0" borderId="35" xfId="1" applyFont="1" applyFill="1" applyBorder="1"/>
    <xf numFmtId="0" fontId="31" fillId="0" borderId="0" xfId="1" applyFont="1" applyFill="1" applyAlignment="1"/>
    <xf numFmtId="0" fontId="39" fillId="0" borderId="58" xfId="1" applyFont="1" applyFill="1" applyBorder="1"/>
    <xf numFmtId="0" fontId="1" fillId="0" borderId="110" xfId="1" applyFont="1" applyFill="1" applyBorder="1"/>
    <xf numFmtId="0" fontId="39" fillId="0" borderId="35" xfId="1" applyFont="1" applyFill="1" applyBorder="1" applyAlignment="1"/>
    <xf numFmtId="0" fontId="39" fillId="0" borderId="58" xfId="1" applyFont="1" applyFill="1" applyBorder="1" applyAlignment="1"/>
    <xf numFmtId="0" fontId="1" fillId="0" borderId="57" xfId="1" applyFont="1" applyFill="1" applyBorder="1" applyAlignment="1"/>
    <xf numFmtId="0" fontId="1" fillId="0" borderId="36" xfId="1" applyFont="1" applyFill="1" applyBorder="1"/>
    <xf numFmtId="0" fontId="4" fillId="0" borderId="57" xfId="1" applyFont="1" applyFill="1" applyBorder="1" applyAlignment="1"/>
    <xf numFmtId="0" fontId="1" fillId="0" borderId="111" xfId="1" applyFont="1" applyFill="1" applyBorder="1" applyAlignment="1">
      <alignment horizontal="left"/>
    </xf>
    <xf numFmtId="0" fontId="39" fillId="0" borderId="58" xfId="1" applyFont="1" applyFill="1" applyBorder="1" applyAlignment="1">
      <alignment horizontal="right"/>
    </xf>
    <xf numFmtId="0" fontId="39" fillId="0" borderId="57" xfId="1" applyFont="1" applyFill="1" applyBorder="1" applyAlignment="1"/>
    <xf numFmtId="0" fontId="1" fillId="0" borderId="57" xfId="1" applyFont="1" applyFill="1" applyBorder="1" applyAlignment="1">
      <alignment horizontal="left"/>
    </xf>
    <xf numFmtId="0" fontId="4" fillId="0" borderId="57" xfId="1" applyFont="1" applyFill="1" applyBorder="1" applyAlignment="1">
      <alignment horizontal="right"/>
    </xf>
    <xf numFmtId="0" fontId="1" fillId="0" borderId="59" xfId="1" applyFont="1" applyFill="1" applyBorder="1"/>
    <xf numFmtId="0" fontId="4" fillId="0" borderId="35" xfId="1" applyFont="1" applyFill="1" applyBorder="1" applyAlignment="1"/>
    <xf numFmtId="0" fontId="1" fillId="0" borderId="112" xfId="1" applyFont="1" applyFill="1" applyBorder="1"/>
    <xf numFmtId="0" fontId="65" fillId="0" borderId="0" xfId="1" applyFont="1" applyFill="1" applyBorder="1" applyAlignment="1">
      <alignment horizontal="right"/>
    </xf>
    <xf numFmtId="0" fontId="17" fillId="0" borderId="113" xfId="1" applyFont="1" applyFill="1" applyBorder="1" applyAlignment="1">
      <alignment horizontal="left"/>
    </xf>
    <xf numFmtId="0" fontId="0" fillId="0" borderId="0" xfId="1" applyFont="1" applyFill="1"/>
    <xf numFmtId="0" fontId="0" fillId="0" borderId="106" xfId="1" applyFont="1" applyFill="1" applyBorder="1"/>
    <xf numFmtId="0" fontId="0" fillId="0" borderId="63" xfId="1" applyFont="1" applyFill="1" applyBorder="1"/>
    <xf numFmtId="0" fontId="0" fillId="0" borderId="55" xfId="1" applyFont="1" applyFill="1" applyBorder="1"/>
    <xf numFmtId="0" fontId="0" fillId="0" borderId="103" xfId="1" applyFont="1" applyFill="1" applyBorder="1"/>
    <xf numFmtId="0" fontId="0" fillId="0" borderId="60" xfId="1" applyFont="1" applyFill="1" applyBorder="1"/>
    <xf numFmtId="0" fontId="0" fillId="0" borderId="0" xfId="1" applyFont="1" applyFill="1" applyAlignment="1">
      <alignment horizontal="left"/>
    </xf>
    <xf numFmtId="0" fontId="0" fillId="0" borderId="58" xfId="1" applyFont="1" applyFill="1" applyBorder="1"/>
    <xf numFmtId="0" fontId="0" fillId="0" borderId="0" xfId="1" applyFont="1" applyFill="1" applyBorder="1" applyAlignment="1">
      <alignment horizontal="left"/>
    </xf>
    <xf numFmtId="0" fontId="0" fillId="0" borderId="36" xfId="1" applyFont="1" applyFill="1" applyBorder="1" applyAlignment="1">
      <alignment horizontal="left"/>
    </xf>
    <xf numFmtId="0" fontId="0" fillId="0" borderId="57" xfId="1" applyFont="1" applyFill="1" applyBorder="1" applyAlignment="1">
      <alignment horizontal="left"/>
    </xf>
    <xf numFmtId="0" fontId="0" fillId="0" borderId="58" xfId="1" applyFont="1" applyFill="1" applyBorder="1" applyAlignment="1">
      <alignment horizontal="left"/>
    </xf>
    <xf numFmtId="0" fontId="1" fillId="0" borderId="26" xfId="1" applyFont="1" applyFill="1" applyBorder="1"/>
    <xf numFmtId="0" fontId="4" fillId="0" borderId="26" xfId="1" applyFont="1" applyFill="1" applyBorder="1"/>
    <xf numFmtId="0" fontId="1" fillId="12" borderId="26" xfId="1" applyFont="1" applyFill="1" applyBorder="1"/>
    <xf numFmtId="0" fontId="66" fillId="0" borderId="58" xfId="1" applyFont="1" applyFill="1" applyBorder="1" applyAlignment="1">
      <alignment horizontal="right"/>
    </xf>
    <xf numFmtId="0" fontId="39" fillId="0" borderId="0" xfId="1" applyFont="1" applyFill="1" applyBorder="1"/>
    <xf numFmtId="0" fontId="0" fillId="0" borderId="58" xfId="1" applyFont="1" applyFill="1" applyBorder="1" applyAlignment="1">
      <alignment horizontal="right"/>
    </xf>
    <xf numFmtId="172" fontId="1" fillId="0" borderId="0" xfId="18" applyNumberFormat="1" applyFont="1" applyAlignment="1">
      <alignment horizontal="right"/>
    </xf>
    <xf numFmtId="0" fontId="39" fillId="0" borderId="0" xfId="1" applyFont="1" applyFill="1" applyBorder="1" applyAlignment="1"/>
    <xf numFmtId="49" fontId="0" fillId="16" borderId="54" xfId="0" applyNumberFormat="1" applyFont="1" applyFill="1" applyBorder="1" applyAlignment="1">
      <alignment horizontal="center"/>
    </xf>
    <xf numFmtId="49" fontId="0" fillId="0" borderId="54" xfId="0" applyNumberFormat="1" applyFont="1" applyBorder="1" applyAlignment="1">
      <alignment horizontal="center"/>
    </xf>
    <xf numFmtId="49" fontId="0" fillId="0" borderId="54" xfId="0" quotePrefix="1" applyNumberFormat="1" applyFont="1" applyBorder="1" applyAlignment="1">
      <alignment horizontal="center"/>
    </xf>
    <xf numFmtId="166" fontId="4" fillId="0" borderId="54" xfId="9" applyNumberFormat="1" applyFont="1" applyFill="1" applyBorder="1" applyAlignment="1">
      <alignment horizontal="center"/>
    </xf>
    <xf numFmtId="0" fontId="4" fillId="0" borderId="54" xfId="0" applyNumberFormat="1" applyFont="1" applyFill="1" applyBorder="1" applyAlignment="1">
      <alignment horizontal="center"/>
    </xf>
    <xf numFmtId="0" fontId="0" fillId="16" borderId="63" xfId="0" applyFont="1" applyFill="1" applyBorder="1" applyAlignment="1">
      <alignment horizontal="center"/>
    </xf>
    <xf numFmtId="0" fontId="0" fillId="0" borderId="63" xfId="0" applyFont="1" applyFill="1" applyBorder="1" applyAlignment="1">
      <alignment horizontal="center"/>
    </xf>
    <xf numFmtId="0" fontId="0" fillId="0" borderId="63" xfId="0" applyFont="1" applyBorder="1" applyAlignment="1">
      <alignment horizontal="center"/>
    </xf>
    <xf numFmtId="166" fontId="4" fillId="0" borderId="63" xfId="9" applyNumberFormat="1" applyFont="1" applyFill="1" applyBorder="1" applyAlignment="1">
      <alignment horizontal="center"/>
    </xf>
    <xf numFmtId="49" fontId="0" fillId="0" borderId="54" xfId="0" applyNumberFormat="1" applyFont="1" applyFill="1" applyBorder="1" applyAlignment="1">
      <alignment horizontal="center"/>
    </xf>
    <xf numFmtId="0" fontId="0" fillId="0" borderId="63" xfId="0" applyNumberFormat="1" applyFont="1" applyFill="1" applyBorder="1" applyAlignment="1">
      <alignment horizontal="center"/>
    </xf>
    <xf numFmtId="0" fontId="0" fillId="0" borderId="63" xfId="0" applyNumberFormat="1" applyFont="1" applyBorder="1" applyAlignment="1">
      <alignment horizontal="center"/>
    </xf>
    <xf numFmtId="49" fontId="0" fillId="16" borderId="63" xfId="0" applyNumberFormat="1" applyFont="1" applyFill="1" applyBorder="1" applyAlignment="1">
      <alignment horizontal="center"/>
    </xf>
    <xf numFmtId="49" fontId="0" fillId="0" borderId="54" xfId="0" quotePrefix="1" applyNumberFormat="1" applyFont="1" applyFill="1" applyBorder="1" applyAlignment="1">
      <alignment horizontal="center"/>
    </xf>
    <xf numFmtId="0" fontId="0" fillId="16" borderId="63" xfId="0" applyNumberFormat="1" applyFont="1" applyFill="1" applyBorder="1" applyAlignment="1">
      <alignment horizontal="center"/>
    </xf>
    <xf numFmtId="0" fontId="54" fillId="0" borderId="63" xfId="0" applyNumberFormat="1" applyFont="1" applyFill="1" applyBorder="1" applyAlignment="1">
      <alignment horizontal="center"/>
    </xf>
    <xf numFmtId="0" fontId="54" fillId="0" borderId="54" xfId="0" applyNumberFormat="1" applyFont="1" applyFill="1" applyBorder="1" applyAlignment="1">
      <alignment horizontal="center"/>
    </xf>
    <xf numFmtId="49" fontId="3" fillId="16" borderId="54" xfId="0" applyNumberFormat="1" applyFont="1" applyFill="1" applyBorder="1" applyAlignment="1">
      <alignment horizontal="center"/>
    </xf>
    <xf numFmtId="49" fontId="0" fillId="23" borderId="54" xfId="0" applyNumberFormat="1" applyFont="1" applyFill="1" applyBorder="1" applyAlignment="1">
      <alignment horizontal="center"/>
    </xf>
    <xf numFmtId="49" fontId="0" fillId="17" borderId="54" xfId="0" applyNumberFormat="1" applyFont="1" applyFill="1" applyBorder="1" applyAlignment="1">
      <alignment horizontal="center"/>
    </xf>
    <xf numFmtId="49" fontId="0" fillId="23" borderId="54" xfId="0" quotePrefix="1" applyNumberFormat="1" applyFont="1" applyFill="1" applyBorder="1" applyAlignment="1">
      <alignment horizontal="center"/>
    </xf>
    <xf numFmtId="0" fontId="35" fillId="0" borderId="26" xfId="1" applyFont="1" applyBorder="1"/>
    <xf numFmtId="0" fontId="35" fillId="0" borderId="0" xfId="1" applyFont="1"/>
    <xf numFmtId="0" fontId="2" fillId="28" borderId="26" xfId="0" applyFont="1" applyFill="1" applyBorder="1" applyAlignment="1">
      <alignment horizontal="center"/>
    </xf>
    <xf numFmtId="166" fontId="4" fillId="3" borderId="63" xfId="9" applyNumberFormat="1" applyFont="1" applyFill="1" applyBorder="1" applyAlignment="1">
      <alignment horizontal="center"/>
    </xf>
    <xf numFmtId="166" fontId="4" fillId="3" borderId="54" xfId="9" applyNumberFormat="1" applyFont="1" applyFill="1" applyBorder="1" applyAlignment="1">
      <alignment horizontal="center"/>
    </xf>
    <xf numFmtId="0" fontId="1" fillId="0" borderId="28" xfId="1" applyFont="1" applyBorder="1"/>
    <xf numFmtId="0" fontId="1" fillId="0" borderId="99" xfId="1" applyFont="1" applyBorder="1"/>
    <xf numFmtId="0" fontId="35" fillId="0" borderId="28" xfId="1" applyFont="1" applyBorder="1"/>
    <xf numFmtId="0" fontId="35" fillId="0" borderId="99" xfId="1" applyFont="1" applyBorder="1"/>
    <xf numFmtId="0" fontId="64" fillId="0" borderId="26" xfId="0" applyFont="1" applyBorder="1" applyAlignment="1">
      <alignment horizontal="center"/>
    </xf>
    <xf numFmtId="166" fontId="4" fillId="29" borderId="54" xfId="9" applyNumberFormat="1" applyFont="1" applyFill="1" applyBorder="1" applyAlignment="1">
      <alignment horizontal="center"/>
    </xf>
    <xf numFmtId="166" fontId="4" fillId="29" borderId="63" xfId="9" applyNumberFormat="1" applyFont="1" applyFill="1" applyBorder="1" applyAlignment="1">
      <alignment horizontal="center"/>
    </xf>
    <xf numFmtId="166" fontId="4" fillId="29" borderId="63" xfId="9" quotePrefix="1" applyNumberFormat="1" applyFont="1" applyFill="1" applyBorder="1" applyAlignment="1">
      <alignment horizontal="center"/>
    </xf>
    <xf numFmtId="166" fontId="4" fillId="12" borderId="54" xfId="9" applyNumberFormat="1" applyFont="1" applyFill="1" applyBorder="1" applyAlignment="1">
      <alignment horizontal="center"/>
    </xf>
    <xf numFmtId="166" fontId="4" fillId="12" borderId="63" xfId="9" applyNumberFormat="1" applyFont="1" applyFill="1" applyBorder="1" applyAlignment="1">
      <alignment horizontal="center"/>
    </xf>
    <xf numFmtId="166" fontId="4" fillId="13" borderId="54" xfId="9" applyNumberFormat="1" applyFont="1" applyFill="1" applyBorder="1" applyAlignment="1">
      <alignment horizontal="center"/>
    </xf>
    <xf numFmtId="166" fontId="4" fillId="13" borderId="63" xfId="9" applyNumberFormat="1" applyFont="1" applyFill="1" applyBorder="1" applyAlignment="1">
      <alignment horizontal="center"/>
    </xf>
    <xf numFmtId="0" fontId="0" fillId="0" borderId="114" xfId="0" applyFont="1" applyBorder="1"/>
    <xf numFmtId="0" fontId="1" fillId="0" borderId="114" xfId="1" applyFont="1" applyBorder="1"/>
    <xf numFmtId="0" fontId="1" fillId="0" borderId="109" xfId="1" applyFont="1" applyBorder="1"/>
    <xf numFmtId="0" fontId="35" fillId="0" borderId="114" xfId="1" applyFont="1" applyBorder="1"/>
    <xf numFmtId="0" fontId="35" fillId="0" borderId="26" xfId="1" applyFont="1" applyFill="1" applyBorder="1"/>
    <xf numFmtId="0" fontId="0" fillId="0" borderId="0" xfId="0" applyFont="1" applyAlignment="1">
      <alignment horizontal="center" textRotation="90"/>
    </xf>
    <xf numFmtId="0" fontId="0" fillId="0" borderId="0" xfId="0" applyFont="1" applyAlignment="1">
      <alignment horizontal="center" vertical="top" textRotation="90"/>
    </xf>
    <xf numFmtId="0" fontId="67" fillId="0" borderId="0" xfId="1" applyFont="1" applyFill="1" applyBorder="1" applyAlignment="1">
      <alignment horizontal="right"/>
    </xf>
    <xf numFmtId="0" fontId="39" fillId="0" borderId="0" xfId="1" applyFont="1" applyFill="1"/>
    <xf numFmtId="0" fontId="67" fillId="0" borderId="0" xfId="1" applyFont="1" applyFill="1"/>
    <xf numFmtId="0" fontId="67" fillId="0" borderId="0" xfId="1" applyFont="1" applyFill="1" applyAlignment="1">
      <alignment horizontal="right"/>
    </xf>
    <xf numFmtId="16" fontId="67" fillId="0" borderId="0" xfId="1" quotePrefix="1" applyNumberFormat="1" applyFont="1" applyFill="1" applyAlignment="1">
      <alignment horizontal="right"/>
    </xf>
    <xf numFmtId="0" fontId="67" fillId="0" borderId="0" xfId="1" quotePrefix="1" applyFont="1" applyFill="1" applyBorder="1" applyAlignment="1">
      <alignment horizontal="right"/>
    </xf>
    <xf numFmtId="0" fontId="1" fillId="0" borderId="115" xfId="1" applyFont="1" applyFill="1" applyBorder="1"/>
    <xf numFmtId="0" fontId="1" fillId="0" borderId="54" xfId="1" applyFont="1" applyFill="1" applyBorder="1"/>
    <xf numFmtId="0" fontId="39" fillId="0" borderId="0" xfId="1" applyFont="1" applyFill="1" applyBorder="1" applyAlignment="1">
      <alignment horizontal="right"/>
    </xf>
    <xf numFmtId="0" fontId="39" fillId="0" borderId="111" xfId="1" applyFont="1" applyFill="1" applyBorder="1" applyAlignment="1">
      <alignment horizontal="right"/>
    </xf>
    <xf numFmtId="0" fontId="1" fillId="0" borderId="58" xfId="1" applyFont="1" applyFill="1" applyBorder="1" applyAlignment="1">
      <alignment horizontal="right"/>
    </xf>
    <xf numFmtId="0" fontId="39" fillId="0" borderId="0" xfId="1" applyFont="1" applyFill="1" applyAlignment="1">
      <alignment horizontal="right"/>
    </xf>
    <xf numFmtId="0" fontId="37" fillId="0" borderId="0" xfId="1" applyFont="1" applyFill="1" applyAlignment="1">
      <alignment horizontal="right"/>
    </xf>
    <xf numFmtId="0" fontId="41" fillId="0" borderId="0" xfId="1" applyFont="1" applyFill="1"/>
    <xf numFmtId="0" fontId="37" fillId="0" borderId="0" xfId="1" applyFont="1" applyFill="1"/>
    <xf numFmtId="0" fontId="37" fillId="0" borderId="0" xfId="1" applyFont="1" applyFill="1" applyBorder="1" applyAlignment="1"/>
    <xf numFmtId="0" fontId="37" fillId="0" borderId="0" xfId="1" applyFont="1" applyFill="1" applyBorder="1"/>
    <xf numFmtId="0" fontId="64" fillId="0" borderId="93" xfId="10" applyFont="1" applyFill="1" applyBorder="1" applyAlignment="1">
      <alignment horizontal="right"/>
    </xf>
    <xf numFmtId="0" fontId="4" fillId="0" borderId="93" xfId="10" applyFont="1" applyFill="1" applyBorder="1" applyAlignment="1">
      <alignment horizontal="right"/>
    </xf>
    <xf numFmtId="0" fontId="56" fillId="0" borderId="93" xfId="10" applyFont="1" applyFill="1" applyBorder="1" applyAlignment="1">
      <alignment horizontal="right"/>
    </xf>
    <xf numFmtId="0" fontId="1" fillId="0" borderId="93" xfId="10" applyFont="1" applyFill="1" applyBorder="1" applyAlignment="1">
      <alignment horizontal="right"/>
    </xf>
    <xf numFmtId="0" fontId="1" fillId="0" borderId="0" xfId="10" applyFont="1" applyFill="1" applyAlignment="1">
      <alignment horizontal="right"/>
    </xf>
    <xf numFmtId="0" fontId="68" fillId="0" borderId="0" xfId="1" applyFont="1" applyFill="1" applyAlignment="1"/>
    <xf numFmtId="0" fontId="65" fillId="0" borderId="0" xfId="1" applyFont="1" applyFill="1" applyBorder="1"/>
    <xf numFmtId="0" fontId="0" fillId="9" borderId="116" xfId="4" applyNumberFormat="1" applyFont="1" applyFill="1" applyBorder="1" applyAlignment="1">
      <alignment horizontal="center"/>
    </xf>
    <xf numFmtId="0" fontId="4" fillId="9" borderId="107" xfId="21" applyFont="1" applyFill="1" applyBorder="1" applyAlignment="1">
      <alignment horizontal="center"/>
    </xf>
    <xf numFmtId="0" fontId="65" fillId="0" borderId="26" xfId="1" applyFont="1" applyFill="1" applyBorder="1"/>
    <xf numFmtId="0" fontId="1" fillId="12" borderId="0" xfId="1" applyFont="1" applyFill="1" applyBorder="1"/>
    <xf numFmtId="0" fontId="1" fillId="3" borderId="0" xfId="1" applyFont="1" applyFill="1" applyBorder="1"/>
    <xf numFmtId="0" fontId="1" fillId="13" borderId="0" xfId="1" applyFont="1" applyFill="1" applyBorder="1"/>
    <xf numFmtId="0" fontId="67" fillId="0" borderId="0" xfId="1" applyFont="1" applyFill="1" applyAlignment="1"/>
    <xf numFmtId="0" fontId="0" fillId="20" borderId="106" xfId="1" applyFont="1" applyFill="1" applyBorder="1"/>
    <xf numFmtId="0" fontId="1" fillId="20" borderId="63" xfId="1" applyFont="1" applyFill="1" applyBorder="1"/>
    <xf numFmtId="0" fontId="0" fillId="20" borderId="103" xfId="1" applyFont="1" applyFill="1" applyBorder="1"/>
    <xf numFmtId="0" fontId="1" fillId="20" borderId="0" xfId="1" applyFont="1" applyFill="1" applyAlignment="1">
      <alignment horizontal="left"/>
    </xf>
    <xf numFmtId="0" fontId="1" fillId="20" borderId="55" xfId="1" applyFont="1" applyFill="1" applyBorder="1"/>
    <xf numFmtId="0" fontId="1" fillId="20" borderId="103" xfId="1" applyFont="1" applyFill="1" applyBorder="1"/>
    <xf numFmtId="0" fontId="0" fillId="20" borderId="0" xfId="1" applyFont="1" applyFill="1"/>
    <xf numFmtId="0" fontId="17" fillId="20" borderId="60" xfId="1" applyFont="1" applyFill="1" applyBorder="1"/>
    <xf numFmtId="0" fontId="35" fillId="0" borderId="0" xfId="1" applyFont="1" applyFill="1" applyBorder="1"/>
    <xf numFmtId="0" fontId="4" fillId="12" borderId="0" xfId="1" applyFont="1" applyFill="1" applyBorder="1"/>
    <xf numFmtId="0" fontId="35" fillId="0" borderId="0" xfId="1" applyFont="1" applyBorder="1"/>
    <xf numFmtId="0" fontId="1" fillId="9" borderId="99" xfId="1" applyFont="1" applyFill="1" applyBorder="1"/>
    <xf numFmtId="0" fontId="0" fillId="9" borderId="26" xfId="1" applyFont="1" applyFill="1" applyBorder="1"/>
    <xf numFmtId="0" fontId="1" fillId="9" borderId="0" xfId="1" applyFont="1" applyFill="1" applyBorder="1"/>
    <xf numFmtId="0" fontId="1" fillId="21" borderId="0" xfId="1" applyFont="1" applyFill="1" applyBorder="1"/>
    <xf numFmtId="0" fontId="2" fillId="16" borderId="26" xfId="0" applyFont="1" applyFill="1" applyBorder="1" applyAlignment="1">
      <alignment horizontal="center" textRotation="90"/>
    </xf>
    <xf numFmtId="0" fontId="64" fillId="0" borderId="26" xfId="0" applyFont="1" applyBorder="1" applyAlignment="1">
      <alignment horizontal="center" vertical="top"/>
    </xf>
    <xf numFmtId="0" fontId="2" fillId="16" borderId="26" xfId="0" applyFont="1" applyFill="1" applyBorder="1" applyAlignment="1">
      <alignment horizontal="center" vertical="top"/>
    </xf>
    <xf numFmtId="0" fontId="2" fillId="16" borderId="26" xfId="0" applyFont="1" applyFill="1" applyBorder="1" applyAlignment="1">
      <alignment horizontal="center" vertical="top" textRotation="90"/>
    </xf>
    <xf numFmtId="0" fontId="1" fillId="9" borderId="28" xfId="1" applyFont="1" applyFill="1" applyBorder="1"/>
    <xf numFmtId="0" fontId="1" fillId="9" borderId="101" xfId="1" applyFont="1" applyFill="1" applyBorder="1"/>
    <xf numFmtId="0" fontId="4" fillId="3" borderId="105" xfId="10" applyFont="1" applyFill="1" applyBorder="1" applyAlignment="1"/>
    <xf numFmtId="0" fontId="0" fillId="0" borderId="93" xfId="10" applyFont="1" applyBorder="1" applyAlignment="1">
      <alignment horizontal="center"/>
    </xf>
    <xf numFmtId="0" fontId="1" fillId="0" borderId="93" xfId="10" applyFont="1" applyBorder="1" applyAlignment="1">
      <alignment horizontal="center"/>
    </xf>
    <xf numFmtId="0" fontId="1" fillId="3" borderId="105" xfId="10" applyFont="1" applyFill="1" applyBorder="1" applyAlignment="1">
      <alignment horizontal="center"/>
    </xf>
    <xf numFmtId="0" fontId="4" fillId="0" borderId="93" xfId="10" applyFont="1" applyBorder="1" applyAlignment="1">
      <alignment horizontal="center"/>
    </xf>
    <xf numFmtId="0" fontId="0" fillId="0" borderId="93" xfId="1" applyFont="1" applyFill="1" applyBorder="1" applyAlignment="1"/>
    <xf numFmtId="0" fontId="0" fillId="0" borderId="93" xfId="10" applyFont="1" applyFill="1" applyBorder="1" applyAlignment="1"/>
    <xf numFmtId="0" fontId="1" fillId="0" borderId="104" xfId="10" applyFont="1" applyFill="1" applyBorder="1" applyAlignment="1">
      <alignment horizontal="center"/>
    </xf>
    <xf numFmtId="0" fontId="1" fillId="0" borderId="105" xfId="10" applyFont="1" applyFill="1" applyBorder="1" applyAlignment="1">
      <alignment horizontal="center"/>
    </xf>
    <xf numFmtId="0" fontId="4" fillId="3" borderId="93" xfId="10" applyFont="1" applyFill="1" applyBorder="1" applyAlignment="1"/>
    <xf numFmtId="0" fontId="36" fillId="0" borderId="118" xfId="9" applyFont="1" applyBorder="1" applyAlignment="1">
      <alignment horizontal="center"/>
    </xf>
    <xf numFmtId="0" fontId="0" fillId="0" borderId="105" xfId="9" applyFont="1" applyBorder="1" applyAlignment="1">
      <alignment horizontal="center"/>
    </xf>
    <xf numFmtId="0" fontId="36" fillId="0" borderId="118" xfId="9" applyFont="1" applyFill="1" applyBorder="1" applyAlignment="1">
      <alignment horizontal="center"/>
    </xf>
    <xf numFmtId="0" fontId="4" fillId="0" borderId="118" xfId="9" applyFont="1" applyFill="1" applyBorder="1" applyAlignment="1"/>
    <xf numFmtId="0" fontId="54" fillId="0" borderId="34" xfId="15" applyFont="1" applyFill="1" applyBorder="1" applyAlignment="1">
      <alignment horizontal="center"/>
    </xf>
    <xf numFmtId="0" fontId="0" fillId="0" borderId="104" xfId="10" applyFont="1" applyBorder="1" applyAlignment="1">
      <alignment horizontal="center"/>
    </xf>
    <xf numFmtId="0" fontId="4" fillId="3" borderId="64" xfId="10" applyFont="1" applyFill="1" applyBorder="1" applyAlignment="1">
      <alignment horizontal="right"/>
    </xf>
    <xf numFmtId="0" fontId="4" fillId="3" borderId="93" xfId="10" applyFont="1" applyFill="1" applyBorder="1" applyAlignment="1">
      <alignment horizontal="center"/>
    </xf>
    <xf numFmtId="0" fontId="4" fillId="0" borderId="93" xfId="10" applyFont="1" applyFill="1" applyBorder="1" applyAlignment="1">
      <alignment horizontal="center"/>
    </xf>
    <xf numFmtId="0" fontId="7" fillId="9" borderId="93" xfId="3" applyFill="1" applyBorder="1" applyAlignment="1">
      <alignment horizontal="center"/>
    </xf>
    <xf numFmtId="0" fontId="1" fillId="0" borderId="13" xfId="3" applyFont="1" applyFill="1" applyBorder="1" applyAlignment="1">
      <alignment vertical="top"/>
    </xf>
    <xf numFmtId="0" fontId="1" fillId="9" borderId="26" xfId="1" applyNumberFormat="1" applyFont="1" applyFill="1" applyBorder="1" applyAlignment="1"/>
    <xf numFmtId="49" fontId="1" fillId="9" borderId="26" xfId="0" applyNumberFormat="1" applyFont="1" applyFill="1" applyBorder="1" applyAlignment="1"/>
    <xf numFmtId="0" fontId="1" fillId="9" borderId="26" xfId="0" applyNumberFormat="1" applyFont="1" applyFill="1" applyBorder="1" applyAlignment="1"/>
    <xf numFmtId="0" fontId="1" fillId="18" borderId="26" xfId="1" applyNumberFormat="1" applyFont="1" applyFill="1" applyBorder="1" applyAlignment="1"/>
    <xf numFmtId="49" fontId="1" fillId="18" borderId="26" xfId="1" applyNumberFormat="1" applyFont="1" applyFill="1" applyBorder="1" applyAlignment="1"/>
    <xf numFmtId="0" fontId="1" fillId="8" borderId="26" xfId="1" applyNumberFormat="1" applyFont="1" applyFill="1" applyBorder="1" applyAlignment="1"/>
    <xf numFmtId="49" fontId="1" fillId="8" borderId="26" xfId="1" applyNumberFormat="1" applyFont="1" applyFill="1" applyBorder="1" applyAlignment="1"/>
    <xf numFmtId="0" fontId="4" fillId="0" borderId="26" xfId="1" applyNumberFormat="1" applyFont="1" applyFill="1" applyBorder="1" applyAlignment="1"/>
    <xf numFmtId="49" fontId="4" fillId="0" borderId="26" xfId="1" applyNumberFormat="1" applyFont="1" applyBorder="1" applyAlignment="1"/>
    <xf numFmtId="49" fontId="4" fillId="0" borderId="26" xfId="1" applyNumberFormat="1" applyFont="1" applyFill="1" applyBorder="1" applyAlignment="1"/>
    <xf numFmtId="0" fontId="4" fillId="0" borderId="26" xfId="1" applyNumberFormat="1" applyFont="1" applyBorder="1" applyAlignment="1"/>
    <xf numFmtId="14" fontId="4" fillId="0" borderId="26" xfId="1" applyNumberFormat="1" applyFont="1" applyBorder="1" applyAlignment="1">
      <alignment horizontal="center"/>
    </xf>
    <xf numFmtId="0" fontId="1" fillId="12" borderId="26" xfId="1" applyNumberFormat="1" applyFont="1" applyFill="1" applyBorder="1" applyAlignment="1"/>
    <xf numFmtId="49" fontId="1" fillId="12" borderId="26" xfId="1" applyNumberFormat="1" applyFont="1" applyFill="1" applyBorder="1" applyAlignment="1"/>
    <xf numFmtId="0" fontId="1" fillId="0" borderId="26" xfId="1" applyNumberFormat="1" applyFont="1" applyFill="1" applyBorder="1" applyAlignment="1"/>
    <xf numFmtId="49" fontId="1" fillId="0" borderId="26" xfId="0" applyNumberFormat="1" applyFont="1" applyFill="1" applyBorder="1" applyAlignment="1"/>
    <xf numFmtId="0" fontId="1" fillId="0" borderId="26" xfId="0" applyNumberFormat="1" applyFont="1" applyFill="1" applyBorder="1" applyAlignment="1"/>
    <xf numFmtId="14" fontId="4" fillId="0" borderId="26" xfId="1" applyNumberFormat="1" applyFont="1" applyFill="1" applyBorder="1" applyAlignment="1"/>
    <xf numFmtId="49" fontId="1" fillId="11" borderId="26" xfId="0" applyNumberFormat="1" applyFont="1" applyFill="1" applyBorder="1" applyAlignment="1"/>
    <xf numFmtId="0" fontId="1" fillId="11" borderId="26" xfId="0" applyNumberFormat="1" applyFont="1" applyFill="1" applyBorder="1" applyAlignment="1"/>
    <xf numFmtId="165" fontId="1" fillId="0" borderId="26" xfId="1" applyNumberFormat="1" applyFont="1" applyFill="1" applyBorder="1" applyAlignment="1">
      <alignment horizontal="center"/>
    </xf>
    <xf numFmtId="0" fontId="31" fillId="0" borderId="26" xfId="3" applyFont="1" applyFill="1" applyBorder="1" applyAlignment="1"/>
    <xf numFmtId="0" fontId="4" fillId="0" borderId="26" xfId="0" applyNumberFormat="1" applyFont="1" applyBorder="1" applyAlignment="1"/>
    <xf numFmtId="165" fontId="4" fillId="0" borderId="26" xfId="1" applyNumberFormat="1" applyFont="1" applyFill="1" applyBorder="1" applyAlignment="1">
      <alignment horizontal="center"/>
    </xf>
    <xf numFmtId="166" fontId="4" fillId="0" borderId="26" xfId="1" applyNumberFormat="1" applyFont="1" applyFill="1" applyBorder="1" applyAlignment="1">
      <alignment horizontal="center"/>
    </xf>
    <xf numFmtId="0" fontId="8" fillId="9" borderId="26" xfId="3" applyNumberFormat="1" applyFont="1" applyFill="1" applyBorder="1" applyAlignment="1"/>
    <xf numFmtId="165" fontId="1" fillId="9" borderId="26" xfId="1" applyNumberFormat="1" applyFont="1" applyFill="1" applyBorder="1" applyAlignment="1">
      <alignment horizontal="center"/>
    </xf>
    <xf numFmtId="0" fontId="8" fillId="8" borderId="26" xfId="3" applyFont="1" applyFill="1" applyBorder="1" applyAlignment="1"/>
    <xf numFmtId="165" fontId="1" fillId="8" borderId="26" xfId="1" applyNumberFormat="1" applyFont="1" applyFill="1" applyBorder="1" applyAlignment="1">
      <alignment horizontal="center"/>
    </xf>
    <xf numFmtId="166" fontId="1" fillId="8" borderId="26" xfId="1" applyNumberFormat="1" applyFont="1" applyFill="1" applyBorder="1" applyAlignment="1">
      <alignment horizontal="center"/>
    </xf>
    <xf numFmtId="0" fontId="8" fillId="12" borderId="26" xfId="3" applyFont="1" applyFill="1" applyBorder="1" applyAlignment="1"/>
    <xf numFmtId="0" fontId="1" fillId="12" borderId="26" xfId="0" applyNumberFormat="1" applyFont="1" applyFill="1" applyBorder="1" applyAlignment="1"/>
    <xf numFmtId="165" fontId="1" fillId="12" borderId="26" xfId="1" applyNumberFormat="1" applyFont="1" applyFill="1" applyBorder="1" applyAlignment="1">
      <alignment horizontal="center"/>
    </xf>
    <xf numFmtId="166" fontId="1" fillId="12" borderId="26" xfId="1" applyNumberFormat="1" applyFont="1" applyFill="1" applyBorder="1" applyAlignment="1">
      <alignment horizontal="center"/>
    </xf>
    <xf numFmtId="0" fontId="8" fillId="11" borderId="26" xfId="3" applyFont="1" applyFill="1" applyBorder="1" applyAlignment="1"/>
    <xf numFmtId="165" fontId="1" fillId="11" borderId="26" xfId="0" applyNumberFormat="1" applyFont="1" applyFill="1" applyBorder="1" applyAlignment="1">
      <alignment horizontal="center"/>
    </xf>
    <xf numFmtId="166" fontId="1" fillId="11" borderId="26" xfId="1" applyNumberFormat="1" applyFont="1" applyFill="1" applyBorder="1" applyAlignment="1">
      <alignment horizontal="center"/>
    </xf>
    <xf numFmtId="0" fontId="31" fillId="0" borderId="26" xfId="3" applyNumberFormat="1" applyFont="1" applyFill="1" applyBorder="1" applyAlignment="1"/>
    <xf numFmtId="0" fontId="8" fillId="18" borderId="26" xfId="3" applyFont="1" applyFill="1" applyBorder="1" applyAlignment="1"/>
    <xf numFmtId="0" fontId="1" fillId="18" borderId="26" xfId="0" applyNumberFormat="1" applyFont="1" applyFill="1" applyBorder="1" applyAlignment="1"/>
    <xf numFmtId="165" fontId="1" fillId="18" borderId="26" xfId="1" applyNumberFormat="1" applyFont="1" applyFill="1" applyBorder="1" applyAlignment="1">
      <alignment horizontal="center"/>
    </xf>
    <xf numFmtId="166" fontId="1" fillId="18" borderId="26" xfId="1" applyNumberFormat="1" applyFont="1" applyFill="1" applyBorder="1" applyAlignment="1">
      <alignment horizontal="center"/>
    </xf>
    <xf numFmtId="0" fontId="31" fillId="0" borderId="102" xfId="3" applyFont="1" applyFill="1" applyBorder="1"/>
    <xf numFmtId="0" fontId="4" fillId="0" borderId="102" xfId="0" applyNumberFormat="1" applyFont="1" applyBorder="1" applyAlignment="1"/>
    <xf numFmtId="0" fontId="8" fillId="9" borderId="102" xfId="3" applyNumberFormat="1" applyFont="1" applyFill="1" applyBorder="1" applyAlignment="1"/>
    <xf numFmtId="0" fontId="1" fillId="9" borderId="102" xfId="1" applyNumberFormat="1" applyFont="1" applyFill="1" applyBorder="1" applyAlignment="1"/>
    <xf numFmtId="0" fontId="31" fillId="0" borderId="26" xfId="3" applyFont="1" applyFill="1" applyBorder="1"/>
    <xf numFmtId="0" fontId="31" fillId="0" borderId="110" xfId="3" applyFont="1" applyFill="1" applyBorder="1" applyAlignment="1"/>
    <xf numFmtId="0" fontId="8" fillId="8" borderId="108" xfId="3" applyFont="1" applyFill="1" applyBorder="1" applyAlignment="1"/>
    <xf numFmtId="0" fontId="1" fillId="8" borderId="109" xfId="1" applyNumberFormat="1" applyFont="1" applyFill="1" applyBorder="1" applyAlignment="1"/>
    <xf numFmtId="0" fontId="31" fillId="0" borderId="63" xfId="3" applyFont="1" applyFill="1" applyBorder="1"/>
    <xf numFmtId="165" fontId="1" fillId="0" borderId="26" xfId="1" applyNumberFormat="1" applyFont="1" applyBorder="1" applyAlignment="1">
      <alignment horizontal="center"/>
    </xf>
    <xf numFmtId="0" fontId="8" fillId="0" borderId="102" xfId="3" applyNumberFormat="1" applyFont="1" applyFill="1" applyBorder="1" applyAlignment="1"/>
    <xf numFmtId="0" fontId="8" fillId="3" borderId="7" xfId="3" applyFont="1" applyFill="1" applyBorder="1" applyAlignment="1"/>
    <xf numFmtId="0" fontId="8" fillId="3" borderId="13" xfId="3" applyFont="1" applyFill="1" applyBorder="1" applyAlignment="1"/>
    <xf numFmtId="0" fontId="8" fillId="8" borderId="6" xfId="3" applyFont="1" applyFill="1" applyBorder="1" applyAlignment="1"/>
    <xf numFmtId="0" fontId="1" fillId="8" borderId="7" xfId="0" applyFont="1" applyFill="1" applyBorder="1" applyAlignment="1"/>
    <xf numFmtId="0" fontId="8" fillId="8" borderId="7" xfId="3" applyFont="1" applyFill="1" applyBorder="1" applyAlignment="1"/>
    <xf numFmtId="0" fontId="8" fillId="9" borderId="6" xfId="3" applyFont="1" applyFill="1" applyBorder="1" applyAlignment="1"/>
    <xf numFmtId="0" fontId="1" fillId="9" borderId="0" xfId="0" applyFont="1" applyFill="1" applyBorder="1" applyAlignment="1"/>
    <xf numFmtId="0" fontId="8" fillId="9" borderId="7" xfId="4" applyFont="1" applyFill="1" applyBorder="1" applyAlignment="1"/>
    <xf numFmtId="0" fontId="8" fillId="9" borderId="7" xfId="3" applyFont="1" applyFill="1" applyBorder="1" applyAlignment="1"/>
    <xf numFmtId="0" fontId="1" fillId="9" borderId="7" xfId="0" applyFont="1" applyFill="1" applyBorder="1" applyAlignment="1"/>
    <xf numFmtId="0" fontId="7" fillId="0" borderId="0" xfId="3" applyFill="1" applyBorder="1" applyAlignment="1"/>
    <xf numFmtId="0" fontId="31" fillId="7" borderId="6" xfId="3" applyFont="1" applyFill="1" applyBorder="1" applyAlignment="1"/>
    <xf numFmtId="0" fontId="4" fillId="7" borderId="0" xfId="0" applyFont="1" applyFill="1" applyBorder="1" applyAlignment="1"/>
    <xf numFmtId="0" fontId="31" fillId="7" borderId="0" xfId="3" applyFont="1" applyFill="1" applyAlignment="1"/>
    <xf numFmtId="0" fontId="31" fillId="7" borderId="9" xfId="3" applyFont="1" applyFill="1" applyBorder="1" applyAlignment="1"/>
    <xf numFmtId="0" fontId="8" fillId="0" borderId="6" xfId="3" applyFont="1" applyFill="1" applyBorder="1" applyAlignment="1"/>
    <xf numFmtId="0" fontId="1" fillId="0" borderId="7" xfId="3" applyFont="1" applyFill="1" applyBorder="1" applyAlignment="1"/>
    <xf numFmtId="0" fontId="8" fillId="0" borderId="7" xfId="3" applyFont="1" applyBorder="1" applyAlignment="1"/>
    <xf numFmtId="0" fontId="8" fillId="0" borderId="11" xfId="3" applyFont="1" applyFill="1" applyBorder="1" applyAlignment="1"/>
    <xf numFmtId="0" fontId="31" fillId="0" borderId="6" xfId="3" applyFont="1" applyFill="1" applyBorder="1" applyAlignment="1"/>
    <xf numFmtId="0" fontId="4" fillId="0" borderId="0" xfId="0" applyFont="1" applyFill="1" applyBorder="1" applyAlignment="1"/>
    <xf numFmtId="0" fontId="8" fillId="0" borderId="0" xfId="3" applyFont="1" applyAlignment="1"/>
    <xf numFmtId="0" fontId="1" fillId="11" borderId="7" xfId="1" applyFont="1" applyFill="1" applyBorder="1" applyAlignment="1">
      <alignment vertical="top"/>
    </xf>
    <xf numFmtId="0" fontId="8" fillId="11" borderId="13" xfId="3" applyFont="1" applyFill="1" applyBorder="1" applyAlignment="1">
      <alignment vertical="top"/>
    </xf>
    <xf numFmtId="0" fontId="1" fillId="0" borderId="6" xfId="3" applyFont="1" applyFill="1" applyBorder="1" applyAlignment="1"/>
    <xf numFmtId="0" fontId="70" fillId="0" borderId="7" xfId="1" applyFont="1" applyFill="1" applyBorder="1" applyAlignment="1"/>
    <xf numFmtId="0" fontId="4" fillId="0" borderId="17" xfId="0" applyFont="1" applyFill="1" applyBorder="1" applyAlignment="1"/>
    <xf numFmtId="0" fontId="8" fillId="0" borderId="0" xfId="3" applyFont="1" applyAlignment="1">
      <alignment horizontal="right"/>
    </xf>
    <xf numFmtId="0" fontId="31" fillId="7" borderId="7" xfId="3" applyFont="1" applyFill="1" applyBorder="1" applyAlignment="1"/>
    <xf numFmtId="0" fontId="31" fillId="7" borderId="4" xfId="3" applyFont="1" applyFill="1" applyBorder="1" applyAlignment="1"/>
    <xf numFmtId="0" fontId="8" fillId="0" borderId="0" xfId="3" applyFont="1" applyFill="1" applyAlignment="1">
      <alignment vertical="top"/>
    </xf>
    <xf numFmtId="0" fontId="8" fillId="14" borderId="13" xfId="3" applyFont="1" applyFill="1" applyBorder="1" applyAlignment="1"/>
    <xf numFmtId="0" fontId="8" fillId="0" borderId="87" xfId="3" applyFont="1" applyBorder="1" applyAlignment="1">
      <alignment vertical="top"/>
    </xf>
    <xf numFmtId="0" fontId="31" fillId="0" borderId="66" xfId="3" applyFont="1" applyFill="1" applyBorder="1" applyAlignment="1"/>
    <xf numFmtId="0" fontId="4" fillId="7" borderId="7" xfId="0" applyFont="1" applyFill="1" applyBorder="1" applyAlignment="1"/>
    <xf numFmtId="0" fontId="31" fillId="7" borderId="7" xfId="3" applyFont="1" applyFill="1" applyBorder="1"/>
    <xf numFmtId="0" fontId="22" fillId="0" borderId="11" xfId="3" applyFont="1" applyBorder="1" applyAlignment="1"/>
    <xf numFmtId="0" fontId="8" fillId="0" borderId="9" xfId="3" applyFont="1" applyBorder="1" applyAlignment="1"/>
    <xf numFmtId="0" fontId="31" fillId="0" borderId="11" xfId="3" applyFont="1" applyFill="1" applyBorder="1" applyAlignment="1"/>
    <xf numFmtId="0" fontId="22" fillId="0" borderId="9" xfId="3" applyFont="1" applyFill="1" applyBorder="1" applyAlignment="1"/>
    <xf numFmtId="0" fontId="26" fillId="0" borderId="9" xfId="1" applyFont="1" applyFill="1" applyBorder="1" applyAlignment="1"/>
    <xf numFmtId="0" fontId="22" fillId="0" borderId="0" xfId="3" applyFont="1" applyFill="1" applyBorder="1" applyAlignment="1"/>
    <xf numFmtId="0" fontId="71" fillId="0" borderId="0" xfId="1" applyFont="1" applyFill="1" applyBorder="1" applyAlignment="1"/>
    <xf numFmtId="0" fontId="71" fillId="0" borderId="11" xfId="1" applyFont="1" applyFill="1" applyBorder="1" applyAlignment="1"/>
    <xf numFmtId="0" fontId="31" fillId="0" borderId="4" xfId="3" applyNumberFormat="1" applyFont="1" applyFill="1" applyBorder="1" applyAlignment="1"/>
    <xf numFmtId="0" fontId="31" fillId="14" borderId="9" xfId="3" applyFont="1" applyFill="1" applyBorder="1" applyAlignment="1"/>
    <xf numFmtId="0" fontId="4" fillId="7" borderId="0" xfId="0" applyFont="1" applyFill="1" applyAlignment="1"/>
    <xf numFmtId="0" fontId="31" fillId="7" borderId="9" xfId="3" applyFont="1" applyFill="1" applyBorder="1"/>
    <xf numFmtId="0" fontId="4" fillId="7" borderId="7" xfId="1" applyFont="1" applyFill="1" applyBorder="1" applyAlignment="1"/>
    <xf numFmtId="0" fontId="8" fillId="9" borderId="0" xfId="3" applyFont="1" applyFill="1" applyBorder="1" applyAlignment="1"/>
    <xf numFmtId="0" fontId="8" fillId="9" borderId="16" xfId="3" applyFont="1" applyFill="1" applyBorder="1" applyAlignment="1"/>
    <xf numFmtId="0" fontId="4" fillId="9" borderId="0" xfId="1" applyFont="1" applyFill="1" applyAlignment="1">
      <alignment vertical="top"/>
    </xf>
    <xf numFmtId="0" fontId="8" fillId="9" borderId="9" xfId="4" applyFont="1" applyFill="1" applyBorder="1" applyAlignment="1"/>
    <xf numFmtId="0" fontId="8" fillId="9" borderId="11" xfId="4" applyFont="1" applyFill="1" applyBorder="1" applyAlignment="1"/>
    <xf numFmtId="0" fontId="1" fillId="8" borderId="0" xfId="0" applyFont="1" applyFill="1" applyBorder="1" applyAlignment="1"/>
    <xf numFmtId="0" fontId="8" fillId="8" borderId="9" xfId="3" applyFont="1" applyFill="1" applyBorder="1" applyAlignment="1"/>
    <xf numFmtId="0" fontId="8" fillId="18" borderId="7" xfId="3" applyFont="1" applyFill="1" applyBorder="1" applyAlignment="1"/>
    <xf numFmtId="0" fontId="8" fillId="9" borderId="4" xfId="3" applyFont="1" applyFill="1" applyBorder="1" applyAlignment="1"/>
    <xf numFmtId="0" fontId="22" fillId="0" borderId="9" xfId="4" applyFont="1" applyBorder="1"/>
    <xf numFmtId="0" fontId="31" fillId="7" borderId="52" xfId="3" applyFont="1" applyFill="1" applyBorder="1" applyAlignment="1"/>
    <xf numFmtId="0" fontId="4" fillId="7" borderId="17" xfId="0" applyFont="1" applyFill="1" applyBorder="1" applyAlignment="1"/>
    <xf numFmtId="0" fontId="8" fillId="8" borderId="0" xfId="3" applyFont="1" applyFill="1" applyBorder="1" applyAlignment="1"/>
    <xf numFmtId="0" fontId="0" fillId="12" borderId="26" xfId="0" applyFont="1" applyFill="1" applyBorder="1"/>
    <xf numFmtId="0" fontId="4" fillId="3" borderId="26" xfId="0" applyNumberFormat="1" applyFont="1" applyFill="1" applyBorder="1" applyAlignment="1">
      <alignment horizontal="center"/>
    </xf>
    <xf numFmtId="0" fontId="0" fillId="3" borderId="26" xfId="0" applyFont="1" applyFill="1" applyBorder="1"/>
    <xf numFmtId="0" fontId="4" fillId="13" borderId="26" xfId="0" applyNumberFormat="1" applyFont="1" applyFill="1" applyBorder="1" applyAlignment="1">
      <alignment horizontal="center"/>
    </xf>
    <xf numFmtId="0" fontId="0" fillId="13" borderId="26" xfId="0" applyFont="1" applyFill="1" applyBorder="1"/>
    <xf numFmtId="0" fontId="4" fillId="12" borderId="26" xfId="0" applyFont="1" applyFill="1" applyBorder="1"/>
    <xf numFmtId="0" fontId="0" fillId="0" borderId="28" xfId="0" applyFont="1" applyFill="1" applyBorder="1"/>
    <xf numFmtId="0" fontId="0" fillId="0" borderId="28" xfId="5" applyFont="1" applyFill="1" applyBorder="1" applyAlignment="1"/>
    <xf numFmtId="0" fontId="0" fillId="13" borderId="34" xfId="10" applyFont="1" applyFill="1" applyBorder="1" applyAlignment="1"/>
    <xf numFmtId="0" fontId="23" fillId="0" borderId="11" xfId="1" applyFont="1" applyFill="1" applyBorder="1" applyAlignment="1"/>
    <xf numFmtId="0" fontId="23" fillId="0" borderId="0" xfId="1" applyFont="1" applyFill="1" applyBorder="1" applyAlignment="1">
      <alignment horizontal="center"/>
    </xf>
    <xf numFmtId="0" fontId="1" fillId="0" borderId="119" xfId="1" applyFont="1" applyFill="1" applyBorder="1" applyAlignment="1"/>
    <xf numFmtId="0" fontId="23" fillId="0" borderId="10" xfId="1" applyFont="1" applyFill="1" applyBorder="1" applyAlignment="1"/>
    <xf numFmtId="0" fontId="23" fillId="0" borderId="7" xfId="1" applyFont="1" applyFill="1" applyBorder="1" applyAlignment="1">
      <alignment horizontal="center"/>
    </xf>
    <xf numFmtId="0" fontId="1" fillId="0" borderId="21" xfId="1" applyFont="1" applyBorder="1" applyAlignment="1">
      <alignment vertical="top"/>
    </xf>
    <xf numFmtId="0" fontId="1" fillId="0" borderId="120" xfId="1" applyFont="1" applyFill="1" applyBorder="1" applyAlignment="1"/>
    <xf numFmtId="0" fontId="23" fillId="0" borderId="121" xfId="1" applyFont="1" applyFill="1" applyBorder="1" applyAlignment="1"/>
    <xf numFmtId="0" fontId="23" fillId="0" borderId="123" xfId="1" applyFont="1" applyFill="1" applyBorder="1" applyAlignment="1"/>
    <xf numFmtId="0" fontId="23" fillId="0" borderId="122" xfId="1" applyFont="1" applyFill="1" applyBorder="1" applyAlignment="1">
      <alignment horizontal="center"/>
    </xf>
    <xf numFmtId="0" fontId="7" fillId="0" borderId="6" xfId="3" applyFill="1" applyBorder="1" applyAlignment="1">
      <alignment horizontal="center"/>
    </xf>
    <xf numFmtId="0" fontId="1" fillId="0" borderId="39" xfId="1" applyFont="1" applyBorder="1" applyAlignment="1">
      <alignment vertical="top"/>
    </xf>
    <xf numFmtId="0" fontId="1" fillId="0" borderId="124" xfId="1" applyFont="1" applyFill="1" applyBorder="1" applyAlignment="1"/>
    <xf numFmtId="0" fontId="1" fillId="0" borderId="125" xfId="1" applyFont="1" applyFill="1" applyBorder="1" applyAlignment="1"/>
    <xf numFmtId="0" fontId="1" fillId="0" borderId="126" xfId="1" applyFont="1" applyFill="1" applyBorder="1" applyAlignment="1"/>
    <xf numFmtId="0" fontId="8" fillId="3" borderId="124" xfId="3" applyFont="1" applyFill="1" applyBorder="1" applyAlignment="1"/>
    <xf numFmtId="0" fontId="1" fillId="3" borderId="125" xfId="1" applyFont="1" applyFill="1" applyBorder="1" applyAlignment="1"/>
    <xf numFmtId="0" fontId="1" fillId="0" borderId="127" xfId="1" applyFont="1" applyFill="1" applyBorder="1" applyAlignment="1"/>
    <xf numFmtId="0" fontId="4" fillId="6" borderId="128" xfId="1" applyFont="1" applyFill="1" applyBorder="1" applyAlignment="1"/>
    <xf numFmtId="0" fontId="1" fillId="0" borderId="129" xfId="1" applyFont="1" applyFill="1" applyBorder="1" applyAlignment="1"/>
    <xf numFmtId="0" fontId="7" fillId="0" borderId="32" xfId="3" applyFill="1" applyBorder="1" applyAlignment="1"/>
    <xf numFmtId="0" fontId="7" fillId="0" borderId="33" xfId="3" applyFill="1" applyBorder="1" applyAlignment="1">
      <alignment horizontal="right"/>
    </xf>
    <xf numFmtId="0" fontId="1" fillId="0" borderId="42" xfId="1" applyFont="1" applyBorder="1" applyAlignment="1">
      <alignment vertical="top"/>
    </xf>
    <xf numFmtId="0" fontId="1" fillId="0" borderId="43" xfId="1" applyFont="1" applyBorder="1" applyAlignment="1">
      <alignment vertical="top"/>
    </xf>
    <xf numFmtId="172" fontId="0" fillId="0" borderId="0" xfId="18" applyNumberFormat="1" applyFont="1" applyAlignment="1">
      <alignment horizontal="right"/>
    </xf>
    <xf numFmtId="0" fontId="8" fillId="30" borderId="9" xfId="3" applyFont="1" applyFill="1" applyBorder="1" applyAlignment="1"/>
    <xf numFmtId="0" fontId="1" fillId="30" borderId="10" xfId="1" applyFont="1" applyFill="1" applyBorder="1" applyAlignment="1"/>
    <xf numFmtId="0" fontId="8" fillId="30" borderId="129" xfId="3" applyFont="1" applyFill="1" applyBorder="1" applyAlignment="1"/>
    <xf numFmtId="0" fontId="1" fillId="0" borderId="28" xfId="1" applyNumberFormat="1" applyFont="1" applyBorder="1" applyAlignment="1">
      <alignment horizontal="center"/>
    </xf>
    <xf numFmtId="49" fontId="1" fillId="0" borderId="29" xfId="1" applyNumberFormat="1" applyFont="1" applyFill="1" applyBorder="1" applyAlignment="1">
      <alignment horizontal="center"/>
    </xf>
    <xf numFmtId="0" fontId="1" fillId="0" borderId="30" xfId="1" applyNumberFormat="1" applyFont="1" applyBorder="1" applyAlignment="1">
      <alignment horizontal="center"/>
    </xf>
    <xf numFmtId="0" fontId="1" fillId="0" borderId="28" xfId="1" applyNumberFormat="1" applyFont="1" applyFill="1" applyBorder="1" applyAlignment="1">
      <alignment horizontal="center"/>
    </xf>
    <xf numFmtId="0" fontId="1" fillId="0" borderId="30" xfId="1" applyNumberFormat="1" applyFont="1" applyFill="1" applyBorder="1" applyAlignment="1">
      <alignment horizontal="center"/>
    </xf>
    <xf numFmtId="0" fontId="1" fillId="0" borderId="93" xfId="27" applyFont="1" applyFill="1" applyBorder="1" applyAlignment="1">
      <alignment horizontal="center"/>
    </xf>
    <xf numFmtId="0" fontId="1" fillId="13" borderId="93" xfId="27" applyFont="1" applyFill="1" applyBorder="1" applyAlignment="1">
      <alignment horizontal="center"/>
    </xf>
    <xf numFmtId="0" fontId="1" fillId="3" borderId="93" xfId="27" applyFont="1" applyFill="1" applyBorder="1" applyAlignment="1">
      <alignment horizontal="center"/>
    </xf>
    <xf numFmtId="0" fontId="0" fillId="7" borderId="26" xfId="10" applyFont="1" applyFill="1" applyBorder="1" applyAlignment="1">
      <alignment textRotation="90"/>
    </xf>
    <xf numFmtId="0" fontId="1" fillId="7" borderId="26" xfId="10" applyFont="1" applyFill="1" applyBorder="1" applyAlignment="1">
      <alignment textRotation="90"/>
    </xf>
    <xf numFmtId="0" fontId="36" fillId="6" borderId="26" xfId="15" applyFont="1" applyFill="1" applyBorder="1" applyAlignment="1">
      <alignment horizontal="center"/>
    </xf>
    <xf numFmtId="0" fontId="56" fillId="6" borderId="26" xfId="10" applyFont="1" applyFill="1" applyBorder="1" applyAlignment="1"/>
    <xf numFmtId="0" fontId="4" fillId="3" borderId="28" xfId="5" applyFont="1" applyFill="1" applyBorder="1" applyAlignment="1">
      <alignment horizontal="center"/>
    </xf>
    <xf numFmtId="0" fontId="1" fillId="3" borderId="114" xfId="5" applyFont="1" applyFill="1" applyBorder="1" applyAlignment="1"/>
    <xf numFmtId="0" fontId="4" fillId="3" borderId="109" xfId="5" applyFont="1" applyFill="1" applyBorder="1" applyAlignment="1">
      <alignment horizontal="right"/>
    </xf>
    <xf numFmtId="0" fontId="56" fillId="6" borderId="95" xfId="17" applyNumberFormat="1" applyFont="1" applyFill="1" applyBorder="1" applyAlignment="1">
      <alignment horizontal="center"/>
    </xf>
    <xf numFmtId="0" fontId="38" fillId="0" borderId="26" xfId="5" applyFont="1" applyBorder="1" applyAlignment="1"/>
    <xf numFmtId="0" fontId="39" fillId="0" borderId="26" xfId="5" applyFont="1" applyFill="1" applyBorder="1" applyAlignment="1"/>
    <xf numFmtId="0" fontId="39" fillId="0" borderId="26" xfId="5" applyFont="1" applyBorder="1" applyAlignment="1"/>
    <xf numFmtId="0" fontId="39" fillId="0" borderId="26" xfId="5" applyNumberFormat="1" applyFont="1" applyFill="1" applyBorder="1" applyAlignment="1"/>
    <xf numFmtId="0" fontId="4" fillId="3" borderId="114" xfId="9" applyFont="1" applyFill="1" applyBorder="1" applyAlignment="1">
      <alignment horizontal="center"/>
    </xf>
    <xf numFmtId="0" fontId="1" fillId="3" borderId="114" xfId="9" applyFont="1" applyFill="1" applyBorder="1" applyAlignment="1">
      <alignment horizontal="center"/>
    </xf>
    <xf numFmtId="0" fontId="4" fillId="3" borderId="114" xfId="9" applyFont="1" applyFill="1" applyBorder="1" applyAlignment="1"/>
    <xf numFmtId="0" fontId="4" fillId="3" borderId="109" xfId="9" applyFont="1" applyFill="1" applyBorder="1" applyAlignment="1">
      <alignment horizontal="right"/>
    </xf>
    <xf numFmtId="0" fontId="56" fillId="6" borderId="26" xfId="9" applyFont="1" applyFill="1" applyBorder="1" applyAlignment="1">
      <alignment horizontal="center"/>
    </xf>
    <xf numFmtId="166" fontId="56" fillId="6" borderId="26" xfId="9" applyNumberFormat="1" applyFont="1" applyFill="1" applyBorder="1" applyAlignment="1">
      <alignment horizontal="center"/>
    </xf>
    <xf numFmtId="0" fontId="56" fillId="6" borderId="26" xfId="15" applyFont="1" applyFill="1" applyBorder="1" applyAlignment="1">
      <alignment horizontal="center"/>
    </xf>
    <xf numFmtId="0" fontId="56" fillId="6" borderId="26" xfId="9" applyFont="1" applyFill="1" applyBorder="1" applyAlignment="1"/>
    <xf numFmtId="0" fontId="37" fillId="0" borderId="26" xfId="9" applyFont="1" applyBorder="1" applyAlignment="1"/>
    <xf numFmtId="0" fontId="38" fillId="0" borderId="26" xfId="9" applyFont="1" applyBorder="1" applyAlignment="1"/>
    <xf numFmtId="0" fontId="39" fillId="0" borderId="26" xfId="9" applyFont="1" applyBorder="1" applyAlignment="1"/>
    <xf numFmtId="0" fontId="4" fillId="0" borderId="26" xfId="9" applyFont="1" applyBorder="1" applyAlignment="1"/>
    <xf numFmtId="0" fontId="1" fillId="3" borderId="104" xfId="10" applyFont="1" applyFill="1" applyBorder="1" applyAlignment="1">
      <alignment horizontal="center"/>
    </xf>
    <xf numFmtId="0" fontId="4" fillId="3" borderId="117" xfId="10" applyFont="1" applyFill="1" applyBorder="1" applyAlignment="1">
      <alignment horizontal="right"/>
    </xf>
    <xf numFmtId="0" fontId="4" fillId="3" borderId="28" xfId="9" applyFont="1" applyFill="1" applyBorder="1" applyAlignment="1">
      <alignment horizontal="center"/>
    </xf>
    <xf numFmtId="0" fontId="1" fillId="3" borderId="114" xfId="9" applyFont="1" applyFill="1" applyBorder="1" applyAlignment="1"/>
    <xf numFmtId="171" fontId="39" fillId="0" borderId="26" xfId="5" applyNumberFormat="1" applyFont="1" applyFill="1" applyBorder="1" applyAlignment="1"/>
    <xf numFmtId="0" fontId="72" fillId="0" borderId="34" xfId="10" applyFont="1" applyFill="1" applyBorder="1" applyAlignment="1">
      <alignment horizontal="center"/>
    </xf>
    <xf numFmtId="0" fontId="73" fillId="9" borderId="34" xfId="4" applyNumberFormat="1" applyFont="1" applyFill="1" applyBorder="1" applyAlignment="1" applyProtection="1">
      <alignment horizontal="center" vertical="center" wrapText="1"/>
    </xf>
    <xf numFmtId="0" fontId="0" fillId="3" borderId="93" xfId="1" applyFont="1" applyFill="1" applyBorder="1" applyAlignment="1"/>
    <xf numFmtId="0" fontId="0" fillId="31" borderId="93" xfId="10" applyFont="1" applyFill="1" applyBorder="1" applyAlignment="1"/>
    <xf numFmtId="0" fontId="4" fillId="3" borderId="0" xfId="10" applyFont="1" applyFill="1" applyBorder="1" applyAlignment="1">
      <alignment horizontal="center"/>
    </xf>
    <xf numFmtId="0" fontId="4" fillId="3" borderId="0" xfId="10" applyFont="1" applyFill="1" applyBorder="1" applyAlignment="1"/>
    <xf numFmtId="0" fontId="1" fillId="3" borderId="0" xfId="10" applyFont="1" applyFill="1" applyBorder="1" applyAlignment="1">
      <alignment horizontal="right"/>
    </xf>
    <xf numFmtId="166" fontId="1" fillId="3" borderId="0" xfId="10" applyNumberFormat="1" applyFont="1" applyFill="1" applyBorder="1" applyAlignment="1">
      <alignment horizontal="center"/>
    </xf>
    <xf numFmtId="0" fontId="3" fillId="0" borderId="34" xfId="10" applyFont="1" applyFill="1" applyBorder="1" applyAlignment="1">
      <alignment horizontal="center"/>
    </xf>
    <xf numFmtId="0" fontId="3" fillId="3" borderId="34" xfId="10" applyFont="1" applyFill="1" applyBorder="1" applyAlignment="1">
      <alignment horizontal="center"/>
    </xf>
    <xf numFmtId="0" fontId="3" fillId="12" borderId="34" xfId="10" applyFont="1" applyFill="1" applyBorder="1" applyAlignment="1">
      <alignment horizontal="center"/>
    </xf>
    <xf numFmtId="0" fontId="3" fillId="13" borderId="34" xfId="10" applyFont="1" applyFill="1" applyBorder="1" applyAlignment="1">
      <alignment horizontal="center"/>
    </xf>
    <xf numFmtId="0" fontId="22" fillId="0" borderId="11" xfId="3" applyFont="1" applyFill="1" applyBorder="1" applyAlignment="1"/>
    <xf numFmtId="0" fontId="8" fillId="18" borderId="4" xfId="3" applyFont="1" applyFill="1" applyBorder="1" applyAlignment="1"/>
    <xf numFmtId="0" fontId="1" fillId="18" borderId="0" xfId="1" applyFont="1" applyFill="1" applyBorder="1" applyAlignment="1"/>
    <xf numFmtId="0" fontId="0" fillId="9" borderId="26" xfId="1" applyNumberFormat="1" applyFont="1" applyFill="1" applyBorder="1" applyAlignment="1"/>
    <xf numFmtId="0" fontId="7" fillId="9" borderId="6" xfId="3" applyFill="1" applyBorder="1" applyAlignment="1"/>
    <xf numFmtId="0" fontId="23" fillId="0" borderId="24" xfId="1" applyFont="1" applyFill="1" applyBorder="1" applyAlignment="1">
      <alignment horizontal="right"/>
    </xf>
    <xf numFmtId="0" fontId="23" fillId="0" borderId="130" xfId="14" applyFont="1" applyFill="1" applyBorder="1" applyAlignment="1"/>
    <xf numFmtId="0" fontId="1" fillId="0" borderId="131" xfId="1" applyFont="1" applyBorder="1" applyAlignment="1">
      <alignment vertical="top"/>
    </xf>
    <xf numFmtId="0" fontId="23" fillId="0" borderId="131" xfId="14" applyFont="1" applyFill="1" applyBorder="1" applyAlignment="1"/>
    <xf numFmtId="0" fontId="4" fillId="0" borderId="131" xfId="1" applyFont="1" applyFill="1" applyBorder="1" applyAlignment="1"/>
    <xf numFmtId="0" fontId="7" fillId="0" borderId="132" xfId="3" applyFill="1" applyBorder="1" applyAlignment="1"/>
    <xf numFmtId="0" fontId="23" fillId="0" borderId="131" xfId="1" applyFont="1" applyFill="1" applyBorder="1" applyAlignment="1">
      <alignment horizontal="right"/>
    </xf>
    <xf numFmtId="0" fontId="23" fillId="0" borderId="131" xfId="1" applyFont="1" applyFill="1" applyBorder="1" applyAlignment="1"/>
    <xf numFmtId="0" fontId="1" fillId="0" borderId="131" xfId="1" applyFont="1" applyFill="1" applyBorder="1" applyAlignment="1"/>
    <xf numFmtId="0" fontId="23" fillId="0" borderId="131" xfId="1" applyFont="1" applyFill="1" applyBorder="1" applyAlignment="1">
      <alignment horizontal="center"/>
    </xf>
    <xf numFmtId="0" fontId="23" fillId="0" borderId="131" xfId="14" applyFont="1" applyFill="1" applyBorder="1" applyAlignment="1">
      <alignment horizontal="center"/>
    </xf>
    <xf numFmtId="0" fontId="1" fillId="0" borderId="132" xfId="1" applyFont="1" applyFill="1" applyBorder="1" applyAlignment="1"/>
    <xf numFmtId="0" fontId="1" fillId="0" borderId="133" xfId="1" applyFont="1" applyFill="1" applyBorder="1" applyAlignment="1"/>
    <xf numFmtId="0" fontId="4" fillId="0" borderId="134" xfId="1" applyFont="1" applyFill="1" applyBorder="1" applyAlignment="1"/>
    <xf numFmtId="0" fontId="1" fillId="0" borderId="135" xfId="1" applyFont="1" applyFill="1" applyBorder="1" applyAlignment="1"/>
    <xf numFmtId="0" fontId="4" fillId="0" borderId="136" xfId="1" applyFont="1" applyFill="1" applyBorder="1" applyAlignment="1"/>
    <xf numFmtId="0" fontId="8" fillId="8" borderId="133" xfId="3" applyFont="1" applyFill="1" applyBorder="1" applyAlignment="1"/>
    <xf numFmtId="0" fontId="1" fillId="8" borderId="137" xfId="1" applyFont="1" applyFill="1" applyBorder="1" applyAlignment="1"/>
    <xf numFmtId="0" fontId="31" fillId="7" borderId="135" xfId="3" applyFont="1" applyFill="1" applyBorder="1"/>
    <xf numFmtId="0" fontId="4" fillId="7" borderId="136" xfId="1" applyFont="1" applyFill="1" applyBorder="1" applyAlignment="1"/>
    <xf numFmtId="0" fontId="31" fillId="0" borderId="7" xfId="3" applyFont="1" applyBorder="1" applyAlignment="1"/>
    <xf numFmtId="0" fontId="1" fillId="0" borderId="138" xfId="1" applyFont="1" applyFill="1" applyBorder="1" applyAlignment="1"/>
    <xf numFmtId="0" fontId="4" fillId="0" borderId="139" xfId="1" applyFont="1" applyFill="1" applyBorder="1" applyAlignment="1"/>
    <xf numFmtId="0" fontId="23" fillId="0" borderId="140" xfId="1" applyFont="1" applyFill="1" applyBorder="1" applyAlignment="1"/>
    <xf numFmtId="0" fontId="31" fillId="7" borderId="138" xfId="3" applyFont="1" applyFill="1" applyBorder="1" applyAlignment="1"/>
    <xf numFmtId="0" fontId="4" fillId="7" borderId="139" xfId="1" applyFont="1" applyFill="1" applyBorder="1" applyAlignment="1"/>
    <xf numFmtId="0" fontId="23" fillId="0" borderId="141" xfId="1" applyFont="1" applyFill="1" applyBorder="1" applyAlignment="1">
      <alignment horizontal="right"/>
    </xf>
    <xf numFmtId="0" fontId="23" fillId="0" borderId="141" xfId="1" applyFont="1" applyFill="1" applyBorder="1" applyAlignment="1"/>
    <xf numFmtId="0" fontId="7" fillId="0" borderId="141" xfId="3" applyFill="1" applyBorder="1" applyAlignment="1"/>
    <xf numFmtId="0" fontId="4" fillId="0" borderId="142" xfId="1" applyFont="1" applyFill="1" applyBorder="1" applyAlignment="1"/>
    <xf numFmtId="0" fontId="31" fillId="14" borderId="133" xfId="3" applyFont="1" applyFill="1" applyBorder="1" applyAlignment="1"/>
    <xf numFmtId="0" fontId="1" fillId="0" borderId="136" xfId="1" applyFont="1" applyFill="1" applyBorder="1" applyAlignment="1"/>
    <xf numFmtId="0" fontId="52" fillId="14" borderId="133" xfId="3" applyFont="1" applyFill="1" applyBorder="1" applyAlignment="1"/>
    <xf numFmtId="0" fontId="24" fillId="0" borderId="143" xfId="3" applyFont="1" applyFill="1" applyBorder="1" applyAlignment="1"/>
    <xf numFmtId="0" fontId="1" fillId="0" borderId="144" xfId="1" applyFont="1" applyFill="1" applyBorder="1" applyAlignment="1"/>
    <xf numFmtId="0" fontId="24" fillId="0" borderId="143" xfId="3" applyFont="1" applyBorder="1" applyAlignment="1">
      <alignment vertical="top"/>
    </xf>
    <xf numFmtId="0" fontId="4" fillId="0" borderId="144" xfId="1" applyFont="1" applyBorder="1" applyAlignment="1">
      <alignment vertical="top"/>
    </xf>
    <xf numFmtId="0" fontId="31" fillId="7" borderId="133" xfId="3" applyFont="1" applyFill="1" applyBorder="1" applyAlignment="1"/>
    <xf numFmtId="0" fontId="23" fillId="0" borderId="143" xfId="3" applyFont="1" applyFill="1" applyBorder="1" applyAlignment="1"/>
    <xf numFmtId="0" fontId="4" fillId="0" borderId="144" xfId="1" applyFont="1" applyFill="1" applyBorder="1" applyAlignment="1"/>
    <xf numFmtId="0" fontId="31" fillId="0" borderId="7" xfId="3" applyFont="1" applyFill="1" applyBorder="1" applyAlignment="1"/>
    <xf numFmtId="0" fontId="31" fillId="0" borderId="133" xfId="3" applyFont="1" applyFill="1" applyBorder="1" applyAlignment="1"/>
    <xf numFmtId="0" fontId="8" fillId="0" borderId="143" xfId="3" applyFont="1" applyFill="1" applyBorder="1" applyAlignment="1"/>
    <xf numFmtId="0" fontId="8" fillId="0" borderId="8" xfId="3" applyFont="1" applyFill="1" applyBorder="1" applyAlignment="1">
      <alignment horizontal="right"/>
    </xf>
    <xf numFmtId="0" fontId="31" fillId="3" borderId="7" xfId="3" applyFont="1" applyFill="1" applyBorder="1"/>
    <xf numFmtId="0" fontId="31" fillId="3" borderId="133" xfId="3" applyFont="1" applyFill="1" applyBorder="1" applyAlignment="1"/>
    <xf numFmtId="0" fontId="8" fillId="11" borderId="143" xfId="3" applyFont="1" applyFill="1" applyBorder="1" applyAlignment="1">
      <alignment vertical="top"/>
    </xf>
    <xf numFmtId="0" fontId="1" fillId="11" borderId="144" xfId="1" applyFont="1" applyFill="1" applyBorder="1" applyAlignment="1"/>
    <xf numFmtId="0" fontId="52" fillId="0" borderId="7" xfId="4" applyFont="1" applyBorder="1"/>
    <xf numFmtId="0" fontId="24" fillId="0" borderId="7" xfId="3" applyFont="1" applyFill="1" applyBorder="1" applyAlignment="1"/>
    <xf numFmtId="0" fontId="61" fillId="22" borderId="146" xfId="1" applyFont="1" applyFill="1" applyBorder="1" applyAlignment="1">
      <alignment vertical="top"/>
    </xf>
    <xf numFmtId="0" fontId="58" fillId="0" borderId="145" xfId="3" applyFont="1" applyFill="1" applyBorder="1" applyAlignment="1">
      <alignment horizontal="right"/>
    </xf>
    <xf numFmtId="0" fontId="22" fillId="0" borderId="7" xfId="4" applyFont="1" applyBorder="1"/>
    <xf numFmtId="0" fontId="8" fillId="18" borderId="147" xfId="3" applyFont="1" applyFill="1" applyBorder="1" applyAlignment="1">
      <alignment vertical="top"/>
    </xf>
    <xf numFmtId="0" fontId="4" fillId="18" borderId="139" xfId="1" applyFont="1" applyFill="1" applyBorder="1" applyAlignment="1"/>
    <xf numFmtId="0" fontId="23" fillId="0" borderId="148" xfId="1" applyFont="1" applyFill="1" applyBorder="1" applyAlignment="1"/>
    <xf numFmtId="0" fontId="1" fillId="0" borderId="149" xfId="1" applyFont="1" applyFill="1" applyBorder="1" applyAlignment="1"/>
    <xf numFmtId="0" fontId="8" fillId="0" borderId="133" xfId="3" applyFont="1" applyFill="1" applyBorder="1" applyAlignment="1"/>
    <xf numFmtId="0" fontId="31" fillId="3" borderId="7" xfId="3" applyFont="1" applyFill="1" applyBorder="1" applyAlignment="1"/>
    <xf numFmtId="0" fontId="51" fillId="0" borderId="8" xfId="1" applyFont="1" applyFill="1" applyBorder="1" applyAlignment="1"/>
    <xf numFmtId="0" fontId="4" fillId="0" borderId="136" xfId="0" applyFont="1" applyFill="1" applyBorder="1" applyAlignment="1"/>
    <xf numFmtId="0" fontId="23" fillId="0" borderId="150" xfId="1" applyFont="1" applyFill="1" applyBorder="1" applyAlignment="1"/>
    <xf numFmtId="0" fontId="4" fillId="0" borderId="146" xfId="1" applyFont="1" applyFill="1" applyBorder="1" applyAlignment="1"/>
    <xf numFmtId="0" fontId="23" fillId="0" borderId="146" xfId="1" applyFont="1" applyFill="1" applyBorder="1" applyAlignment="1"/>
    <xf numFmtId="0" fontId="7" fillId="18" borderId="26" xfId="3" applyNumberFormat="1" applyFill="1" applyBorder="1" applyAlignment="1"/>
    <xf numFmtId="0" fontId="0" fillId="0" borderId="11" xfId="1" applyFont="1" applyFill="1" applyBorder="1" applyAlignment="1"/>
    <xf numFmtId="0" fontId="22" fillId="0" borderId="143" xfId="3" applyFont="1" applyFill="1" applyBorder="1" applyAlignment="1"/>
    <xf numFmtId="0" fontId="1" fillId="9" borderId="26" xfId="1" applyNumberFormat="1" applyFont="1" applyFill="1" applyBorder="1" applyAlignment="1">
      <alignment vertical="center"/>
    </xf>
    <xf numFmtId="49" fontId="1" fillId="9" borderId="26" xfId="1" applyNumberFormat="1" applyFont="1" applyFill="1" applyBorder="1" applyAlignment="1">
      <alignment vertical="center"/>
    </xf>
    <xf numFmtId="0" fontId="8" fillId="9" borderId="26" xfId="3" applyNumberFormat="1" applyFont="1" applyFill="1" applyBorder="1" applyAlignment="1">
      <alignment vertical="center"/>
    </xf>
    <xf numFmtId="0" fontId="1" fillId="0" borderId="54" xfId="0" applyNumberFormat="1" applyFont="1" applyFill="1" applyBorder="1" applyAlignment="1">
      <alignment vertical="center"/>
    </xf>
    <xf numFmtId="0" fontId="1" fillId="0" borderId="63" xfId="0" applyNumberFormat="1" applyFont="1" applyFill="1" applyBorder="1" applyAlignment="1">
      <alignment vertical="center"/>
    </xf>
    <xf numFmtId="0" fontId="1" fillId="0" borderId="27" xfId="5" applyFont="1" applyFill="1" applyBorder="1" applyAlignment="1">
      <alignment textRotation="90"/>
    </xf>
    <xf numFmtId="0" fontId="1" fillId="0" borderId="0" xfId="5" applyFont="1" applyFill="1" applyAlignment="1">
      <alignment horizontal="center" textRotation="90"/>
    </xf>
    <xf numFmtId="0" fontId="1" fillId="0" borderId="0" xfId="5" applyFont="1" applyFill="1" applyAlignment="1">
      <alignment textRotation="90"/>
    </xf>
    <xf numFmtId="0" fontId="1" fillId="0" borderId="27" xfId="9" applyFont="1" applyFill="1" applyBorder="1" applyAlignment="1">
      <alignment textRotation="90"/>
    </xf>
    <xf numFmtId="0" fontId="1" fillId="0" borderId="0" xfId="9" applyFont="1" applyFill="1" applyAlignment="1">
      <alignment horizontal="center" textRotation="90"/>
    </xf>
    <xf numFmtId="0" fontId="1" fillId="0" borderId="0" xfId="9" applyFont="1" applyFill="1" applyAlignment="1">
      <alignment textRotation="90"/>
    </xf>
    <xf numFmtId="0" fontId="4" fillId="8" borderId="96" xfId="1" applyFont="1" applyFill="1" applyBorder="1" applyAlignment="1">
      <alignment horizontal="center"/>
    </xf>
    <xf numFmtId="0" fontId="4" fillId="8" borderId="97" xfId="1" applyFont="1" applyFill="1" applyBorder="1" applyAlignment="1">
      <alignment horizontal="center"/>
    </xf>
    <xf numFmtId="0" fontId="4" fillId="20" borderId="96" xfId="1" applyFont="1" applyFill="1" applyBorder="1" applyAlignment="1">
      <alignment horizontal="center"/>
    </xf>
    <xf numFmtId="0" fontId="4" fillId="20" borderId="97" xfId="1" applyFont="1" applyFill="1" applyBorder="1" applyAlignment="1">
      <alignment horizontal="center"/>
    </xf>
    <xf numFmtId="0" fontId="4" fillId="8" borderId="96" xfId="0" applyFont="1" applyFill="1" applyBorder="1" applyAlignment="1">
      <alignment horizontal="center"/>
    </xf>
    <xf numFmtId="0" fontId="4" fillId="8" borderId="98" xfId="0" applyFont="1" applyFill="1" applyBorder="1" applyAlignment="1">
      <alignment horizontal="center"/>
    </xf>
    <xf numFmtId="0" fontId="4" fillId="8" borderId="97" xfId="0" applyFont="1" applyFill="1" applyBorder="1" applyAlignment="1">
      <alignment horizontal="center"/>
    </xf>
    <xf numFmtId="0" fontId="1" fillId="0" borderId="0" xfId="10" applyFont="1" applyFill="1" applyBorder="1" applyAlignment="1">
      <alignment textRotation="90"/>
    </xf>
    <xf numFmtId="0" fontId="1" fillId="0" borderId="0" xfId="10" applyFont="1" applyFill="1" applyAlignment="1">
      <alignment textRotation="90"/>
    </xf>
    <xf numFmtId="0" fontId="43" fillId="0" borderId="92" xfId="1" quotePrefix="1" applyFont="1" applyBorder="1" applyAlignment="1">
      <alignment horizontal="right"/>
    </xf>
    <xf numFmtId="0" fontId="4" fillId="0" borderId="91" xfId="1" applyFont="1" applyBorder="1"/>
    <xf numFmtId="0" fontId="4" fillId="0" borderId="90" xfId="1" applyFont="1" applyBorder="1"/>
    <xf numFmtId="0" fontId="43" fillId="0" borderId="92" xfId="1" applyFont="1" applyBorder="1" applyAlignment="1">
      <alignment horizontal="right"/>
    </xf>
    <xf numFmtId="0" fontId="43" fillId="0" borderId="91" xfId="1" quotePrefix="1" applyFont="1" applyBorder="1" applyAlignment="1">
      <alignment horizontal="right"/>
    </xf>
    <xf numFmtId="0" fontId="43" fillId="0" borderId="90" xfId="1" quotePrefix="1" applyFont="1" applyBorder="1" applyAlignment="1">
      <alignment horizontal="right"/>
    </xf>
    <xf numFmtId="0" fontId="43" fillId="0" borderId="100" xfId="1" quotePrefix="1" applyFont="1" applyBorder="1" applyAlignment="1">
      <alignment horizontal="right"/>
    </xf>
    <xf numFmtId="0" fontId="43" fillId="0" borderId="101" xfId="1" quotePrefix="1" applyFont="1" applyBorder="1" applyAlignment="1">
      <alignment horizontal="right"/>
    </xf>
    <xf numFmtId="0" fontId="0" fillId="0" borderId="54" xfId="0" applyFont="1" applyFill="1" applyBorder="1" applyAlignment="1">
      <alignment vertical="center"/>
    </xf>
    <xf numFmtId="0" fontId="0" fillId="0" borderId="63" xfId="0" applyFont="1" applyFill="1" applyBorder="1" applyAlignment="1">
      <alignment vertical="center"/>
    </xf>
    <xf numFmtId="0" fontId="35" fillId="0" borderId="54" xfId="0" applyFont="1" applyFill="1" applyBorder="1" applyAlignment="1">
      <alignment vertical="center"/>
    </xf>
    <xf numFmtId="0" fontId="35" fillId="0" borderId="63" xfId="0" applyFont="1" applyFill="1" applyBorder="1" applyAlignment="1">
      <alignment vertical="center"/>
    </xf>
    <xf numFmtId="0" fontId="0" fillId="13" borderId="54" xfId="0" applyFont="1" applyFill="1" applyBorder="1" applyAlignment="1">
      <alignment vertical="center"/>
    </xf>
    <xf numFmtId="0" fontId="0" fillId="13" borderId="63" xfId="0" applyFont="1" applyFill="1" applyBorder="1" applyAlignment="1">
      <alignment vertical="center"/>
    </xf>
    <xf numFmtId="0" fontId="35" fillId="0" borderId="54" xfId="10" applyFont="1" applyFill="1" applyBorder="1" applyAlignment="1">
      <alignment vertical="center"/>
    </xf>
    <xf numFmtId="0" fontId="35" fillId="0" borderId="63" xfId="10" applyFont="1" applyFill="1" applyBorder="1" applyAlignment="1">
      <alignment vertical="center"/>
    </xf>
    <xf numFmtId="0" fontId="0" fillId="0" borderId="54" xfId="10" applyFont="1" applyFill="1" applyBorder="1" applyAlignment="1">
      <alignment vertical="center"/>
    </xf>
    <xf numFmtId="0" fontId="0" fillId="0" borderId="63" xfId="10" applyFont="1" applyFill="1" applyBorder="1" applyAlignment="1">
      <alignment vertical="center"/>
    </xf>
    <xf numFmtId="0" fontId="64" fillId="0" borderId="110" xfId="0" applyFont="1" applyBorder="1" applyAlignment="1">
      <alignment vertical="center"/>
    </xf>
    <xf numFmtId="0" fontId="64" fillId="0" borderId="63" xfId="0" applyFont="1" applyBorder="1" applyAlignment="1">
      <alignment vertical="center"/>
    </xf>
    <xf numFmtId="0" fontId="0" fillId="3" borderId="54" xfId="10" applyFont="1" applyFill="1" applyBorder="1" applyAlignment="1">
      <alignment vertical="center"/>
    </xf>
    <xf numFmtId="0" fontId="0" fillId="3" borderId="63" xfId="10" applyFont="1" applyFill="1" applyBorder="1" applyAlignment="1">
      <alignment vertical="center"/>
    </xf>
    <xf numFmtId="0" fontId="0" fillId="12" borderId="54" xfId="10" applyFont="1" applyFill="1" applyBorder="1" applyAlignment="1">
      <alignment vertical="center"/>
    </xf>
    <xf numFmtId="0" fontId="0" fillId="12" borderId="63" xfId="10" applyFont="1" applyFill="1" applyBorder="1" applyAlignment="1">
      <alignment vertical="center"/>
    </xf>
    <xf numFmtId="0" fontId="2" fillId="16" borderId="110" xfId="0" applyFont="1" applyFill="1" applyBorder="1" applyAlignment="1">
      <alignment vertical="center"/>
    </xf>
    <xf numFmtId="0" fontId="2" fillId="16" borderId="63" xfId="0" applyFont="1" applyFill="1" applyBorder="1" applyAlignment="1">
      <alignment vertical="center"/>
    </xf>
    <xf numFmtId="0" fontId="2" fillId="28" borderId="110" xfId="0" applyFont="1" applyFill="1" applyBorder="1" applyAlignment="1">
      <alignment vertical="center"/>
    </xf>
    <xf numFmtId="0" fontId="2" fillId="28" borderId="63" xfId="0" applyFont="1" applyFill="1" applyBorder="1" applyAlignment="1">
      <alignment vertical="center"/>
    </xf>
    <xf numFmtId="0" fontId="0" fillId="0" borderId="0" xfId="0" applyFont="1" applyAlignment="1">
      <alignment horizontal="center" textRotation="90"/>
    </xf>
  </cellXfs>
  <cellStyles count="28">
    <cellStyle name="Hyperlink" xfId="3" builtinId="8"/>
    <cellStyle name="Hyperlink 2" xfId="4"/>
    <cellStyle name="Hyperlink 2 2" xfId="6"/>
    <cellStyle name="Hyperlink 3" xfId="7"/>
    <cellStyle name="Hyperlink 3 2" xfId="8"/>
    <cellStyle name="Normal" xfId="0" builtinId="0"/>
    <cellStyle name="Normal 2" xfId="1"/>
    <cellStyle name="Normal 2 2" xfId="2"/>
    <cellStyle name="Normal 2 2 2" xfId="9"/>
    <cellStyle name="Normal 2 2 2 2" xfId="10"/>
    <cellStyle name="Normal 2 2 3" xfId="11"/>
    <cellStyle name="Normal 2 2 4" xfId="12"/>
    <cellStyle name="Normal 2 3" xfId="5"/>
    <cellStyle name="Normal 2 4" xfId="13"/>
    <cellStyle name="Normal 2 5" xfId="14"/>
    <cellStyle name="Normal 3" xfId="15"/>
    <cellStyle name="Normal 3 2" xfId="16"/>
    <cellStyle name="Normal 3 3" xfId="17"/>
    <cellStyle name="Normal 4" xfId="18"/>
    <cellStyle name="Normal 5" xfId="19"/>
    <cellStyle name="Normal 6" xfId="20"/>
    <cellStyle name="Normal 6 2" xfId="21"/>
    <cellStyle name="Normal 6 2 2" xfId="27"/>
    <cellStyle name="Normal 6 3" xfId="22"/>
    <cellStyle name="Normal 7" xfId="23"/>
    <cellStyle name="Normal 8" xfId="24"/>
    <cellStyle name="Normal 9" xfId="25"/>
    <cellStyle name="WinCalendar_BlankCells_35" xfId="26"/>
  </cellStyles>
  <dxfs count="904">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9" tint="0.39994506668294322"/>
      </font>
      <fill>
        <patternFill patternType="none">
          <bgColor auto="1"/>
        </patternFill>
      </fill>
    </dxf>
    <dxf>
      <font>
        <b/>
        <i val="0"/>
      </font>
    </dxf>
    <dxf>
      <font>
        <color rgb="FF9C0006"/>
      </font>
      <fill>
        <patternFill>
          <bgColor rgb="FFFFC7CE"/>
        </patternFill>
      </fill>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ont>
        <b/>
        <i val="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ont>
        <b/>
        <i val="0"/>
      </font>
    </dxf>
    <dxf>
      <font>
        <b/>
        <i val="0"/>
      </font>
    </dxf>
    <dxf>
      <font>
        <color theme="5" tint="0.39994506668294322"/>
      </font>
    </dxf>
    <dxf>
      <font>
        <color theme="9" tint="0.39994506668294322"/>
      </font>
    </dxf>
    <dxf>
      <font>
        <b/>
        <i val="0"/>
      </font>
    </dxf>
    <dxf>
      <font>
        <b/>
        <i val="0"/>
      </font>
    </dxf>
    <dxf>
      <font>
        <color theme="9" tint="0.39994506668294322"/>
      </font>
    </dxf>
    <dxf>
      <font>
        <color theme="9" tint="0.39994506668294322"/>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b/>
        <i val="0"/>
      </font>
    </dxf>
    <dxf>
      <font>
        <b/>
        <i val="0"/>
      </font>
    </dxf>
    <dxf>
      <font>
        <b/>
        <i val="0"/>
      </font>
    </dxf>
    <dxf>
      <font>
        <color rgb="FF9C0006"/>
      </font>
      <fill>
        <patternFill>
          <bgColor rgb="FFFFC7CE"/>
        </patternFill>
      </fill>
    </dxf>
    <dxf>
      <font>
        <color rgb="FF9C0006"/>
      </font>
      <fill>
        <patternFill>
          <bgColor rgb="FFFFC7CE"/>
        </patternFill>
      </fill>
    </dxf>
    <dxf>
      <font>
        <b/>
        <i val="0"/>
      </font>
    </dxf>
    <dxf>
      <font>
        <b/>
        <i val="0"/>
      </font>
    </dxf>
    <dxf>
      <font>
        <color theme="9" tint="0.39994506668294322"/>
      </font>
    </dxf>
    <dxf>
      <font>
        <color rgb="FF9C0006"/>
      </font>
      <fill>
        <patternFill>
          <bgColor rgb="FFFFC7CE"/>
        </patternFill>
      </fill>
    </dxf>
    <dxf>
      <font>
        <b/>
        <i val="0"/>
      </font>
    </dxf>
    <dxf>
      <font>
        <b/>
        <i val="0"/>
      </font>
    </dxf>
    <dxf>
      <font>
        <b/>
        <i val="0"/>
      </font>
    </dxf>
    <dxf>
      <font>
        <color theme="9" tint="0.39994506668294322"/>
      </font>
    </dxf>
    <dxf>
      <font>
        <color rgb="FF9C0006"/>
      </font>
      <fill>
        <patternFill>
          <bgColor rgb="FFFFC7CE"/>
        </patternFill>
      </fill>
    </dxf>
    <dxf>
      <font>
        <color rgb="FF9C0006"/>
      </font>
      <fill>
        <patternFill>
          <bgColor rgb="FFFFC7CE"/>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color rgb="FF9C0006"/>
      </font>
      <fill>
        <patternFill>
          <bgColor rgb="FFFFC7CE"/>
        </patternFill>
      </fill>
    </dxf>
    <dxf>
      <font>
        <color theme="9"/>
      </font>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b/>
        <i val="0"/>
      </font>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theme="9" tint="0.39994506668294322"/>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font>
    </dxf>
    <dxf>
      <font>
        <color rgb="FF9C0006"/>
      </font>
      <fill>
        <patternFill>
          <bgColor rgb="FFFFC7CE"/>
        </patternFill>
      </fill>
    </dxf>
    <dxf>
      <font>
        <color rgb="FF9C0006"/>
      </font>
      <fill>
        <patternFill>
          <bgColor rgb="FFFFC7CE"/>
        </patternFill>
      </fill>
    </dxf>
    <dxf>
      <font>
        <color theme="9"/>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b/>
        <i val="0"/>
      </font>
    </dxf>
    <dxf>
      <font>
        <color rgb="FFFF0000"/>
      </font>
    </dxf>
    <dxf>
      <font>
        <color rgb="FFFF0000"/>
      </font>
    </dxf>
    <dxf>
      <font>
        <color rgb="FF9C0006"/>
      </font>
      <fill>
        <patternFill>
          <bgColor rgb="FFFFC7CE"/>
        </patternFill>
      </fill>
    </dxf>
    <dxf>
      <font>
        <b/>
        <i val="0"/>
      </font>
    </dxf>
    <dxf>
      <font>
        <b/>
        <i val="0"/>
      </font>
    </dxf>
    <dxf>
      <font>
        <b/>
        <i val="0"/>
      </font>
    </dxf>
    <dxf>
      <font>
        <b/>
        <i val="0"/>
      </font>
    </dxf>
    <dxf>
      <font>
        <color theme="9" tint="0.39994506668294322"/>
      </font>
    </dxf>
    <dxf>
      <font>
        <b/>
        <i val="0"/>
      </font>
    </dxf>
    <dxf>
      <font>
        <b/>
        <i val="0"/>
      </font>
    </dxf>
    <dxf>
      <font>
        <b/>
        <i val="0"/>
      </font>
    </dxf>
    <dxf>
      <font>
        <color theme="9" tint="0.39994506668294322"/>
      </font>
    </dxf>
    <dxf>
      <font>
        <color rgb="FF9C0006"/>
      </font>
      <fill>
        <patternFill>
          <bgColor rgb="FFFFC7CE"/>
        </patternFill>
      </fill>
    </dxf>
    <dxf>
      <font>
        <color rgb="FF9C0006"/>
      </font>
      <fill>
        <patternFill>
          <bgColor rgb="FFFFC7CE"/>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theme="9" tint="0.39994506668294322"/>
      </font>
    </dxf>
    <dxf>
      <font>
        <color rgb="FF9C0006"/>
      </font>
      <fill>
        <patternFill>
          <bgColor rgb="FFFFC7CE"/>
        </patternFill>
      </fill>
    </dxf>
    <dxf>
      <font>
        <color theme="9" tint="0.39994506668294322"/>
      </font>
    </dxf>
    <dxf>
      <font>
        <color theme="9" tint="0.39994506668294322"/>
      </font>
    </dxf>
    <dxf>
      <font>
        <b/>
        <i val="0"/>
      </font>
    </dxf>
    <dxf>
      <font>
        <b/>
        <i val="0"/>
      </font>
    </dxf>
    <dxf>
      <font>
        <b/>
        <i val="0"/>
      </font>
    </dxf>
    <dxf>
      <font>
        <b/>
        <i val="0"/>
      </font>
    </dxf>
    <dxf>
      <fill>
        <patternFill>
          <bgColor rgb="FF92D050"/>
        </patternFill>
      </fill>
    </dxf>
    <dxf>
      <fill>
        <patternFill>
          <bgColor rgb="FF92D050"/>
        </patternFill>
      </fill>
    </dxf>
    <dxf>
      <fill>
        <patternFill>
          <bgColor rgb="FF92D050"/>
        </patternFill>
      </fill>
    </dxf>
    <dxf>
      <font>
        <b/>
        <i val="0"/>
      </font>
      <fill>
        <patternFill>
          <bgColor rgb="FFFFFF99"/>
        </patternFill>
      </fill>
    </dxf>
    <dxf>
      <fill>
        <patternFill>
          <bgColor theme="0" tint="-0.14996795556505021"/>
        </patternFill>
      </fill>
    </dxf>
    <dxf>
      <fill>
        <patternFill>
          <bgColor rgb="FFFFCC99"/>
        </patternFill>
      </fill>
    </dxf>
    <dxf>
      <font>
        <b/>
        <i val="0"/>
        <color rgb="FFFF0000"/>
      </font>
    </dxf>
    <dxf>
      <font>
        <b/>
        <i val="0"/>
        <color rgb="FFFF0000"/>
      </font>
    </dxf>
  </dxfs>
  <tableStyles count="0" defaultTableStyle="TableStyleMedium2" defaultPivotStyle="PivotStyleLight16"/>
  <colors>
    <mruColors>
      <color rgb="FFCCFFCC"/>
      <color rgb="FFFFFF99"/>
      <color rgb="FFFFCC99"/>
      <color rgb="FFCCFFFF"/>
      <color rgb="FFFFFFCC"/>
      <color rgb="FFFFCCCC"/>
      <color rgb="FFCC0000"/>
      <color rgb="FF99FF99"/>
      <color rgb="FF66FF66"/>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10</xdr:col>
      <xdr:colOff>446689</xdr:colOff>
      <xdr:row>59</xdr:row>
      <xdr:rowOff>152798</xdr:rowOff>
    </xdr:from>
    <xdr:to>
      <xdr:col>10</xdr:col>
      <xdr:colOff>1149569</xdr:colOff>
      <xdr:row>61</xdr:row>
      <xdr:rowOff>32524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1086" y="7983005"/>
          <a:ext cx="702880" cy="208174"/>
        </a:xfrm>
        <a:prstGeom prst="rect">
          <a:avLst/>
        </a:prstGeom>
      </xdr:spPr>
    </xdr:pic>
    <xdr:clientData/>
  </xdr:twoCellAnchor>
  <xdr:twoCellAnchor editAs="oneCell">
    <xdr:from>
      <xdr:col>11</xdr:col>
      <xdr:colOff>0</xdr:colOff>
      <xdr:row>54</xdr:row>
      <xdr:rowOff>19051</xdr:rowOff>
    </xdr:from>
    <xdr:to>
      <xdr:col>11</xdr:col>
      <xdr:colOff>181879</xdr:colOff>
      <xdr:row>55</xdr:row>
      <xdr:rowOff>88901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600" y="7054851"/>
          <a:ext cx="181879" cy="234950"/>
        </a:xfrm>
        <a:prstGeom prst="rect">
          <a:avLst/>
        </a:prstGeom>
      </xdr:spPr>
    </xdr:pic>
    <xdr:clientData/>
  </xdr:twoCellAnchor>
  <xdr:twoCellAnchor editAs="oneCell">
    <xdr:from>
      <xdr:col>11</xdr:col>
      <xdr:colOff>0</xdr:colOff>
      <xdr:row>56</xdr:row>
      <xdr:rowOff>19050</xdr:rowOff>
    </xdr:from>
    <xdr:to>
      <xdr:col>11</xdr:col>
      <xdr:colOff>181879</xdr:colOff>
      <xdr:row>57</xdr:row>
      <xdr:rowOff>88900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1550" y="7296150"/>
          <a:ext cx="181879" cy="231775"/>
        </a:xfrm>
        <a:prstGeom prst="rect">
          <a:avLst/>
        </a:prstGeom>
      </xdr:spPr>
    </xdr:pic>
    <xdr:clientData/>
  </xdr:twoCellAnchor>
  <xdr:twoCellAnchor editAs="oneCell">
    <xdr:from>
      <xdr:col>13</xdr:col>
      <xdr:colOff>0</xdr:colOff>
      <xdr:row>20</xdr:row>
      <xdr:rowOff>19050</xdr:rowOff>
    </xdr:from>
    <xdr:to>
      <xdr:col>13</xdr:col>
      <xdr:colOff>181879</xdr:colOff>
      <xdr:row>21</xdr:row>
      <xdr:rowOff>88900</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00775" y="3152775"/>
          <a:ext cx="181879" cy="231775"/>
        </a:xfrm>
        <a:prstGeom prst="rect">
          <a:avLst/>
        </a:prstGeom>
      </xdr:spPr>
    </xdr:pic>
    <xdr:clientData/>
  </xdr:twoCellAnchor>
  <xdr:twoCellAnchor editAs="oneCell">
    <xdr:from>
      <xdr:col>11</xdr:col>
      <xdr:colOff>5953</xdr:colOff>
      <xdr:row>63</xdr:row>
      <xdr:rowOff>19049</xdr:rowOff>
    </xdr:from>
    <xdr:to>
      <xdr:col>11</xdr:col>
      <xdr:colOff>184664</xdr:colOff>
      <xdr:row>65</xdr:row>
      <xdr:rowOff>148682</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3807" y="9130525"/>
          <a:ext cx="178711" cy="292255"/>
        </a:xfrm>
        <a:prstGeom prst="rect">
          <a:avLst/>
        </a:prstGeom>
      </xdr:spPr>
    </xdr:pic>
    <xdr:clientData/>
  </xdr:twoCellAnchor>
  <xdr:twoCellAnchor editAs="oneCell">
    <xdr:from>
      <xdr:col>8</xdr:col>
      <xdr:colOff>19050</xdr:colOff>
      <xdr:row>125</xdr:row>
      <xdr:rowOff>0</xdr:rowOff>
    </xdr:from>
    <xdr:to>
      <xdr:col>10</xdr:col>
      <xdr:colOff>57150</xdr:colOff>
      <xdr:row>126</xdr:row>
      <xdr:rowOff>7239</xdr:rowOff>
    </xdr:to>
    <xdr:pic>
      <xdr:nvPicPr>
        <xdr:cNvPr id="10" name="Picture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38500" y="17373600"/>
          <a:ext cx="352425" cy="169164"/>
        </a:xfrm>
        <a:prstGeom prst="rect">
          <a:avLst/>
        </a:prstGeom>
      </xdr:spPr>
    </xdr:pic>
    <xdr:clientData/>
  </xdr:twoCellAnchor>
  <xdr:oneCellAnchor>
    <xdr:from>
      <xdr:col>11</xdr:col>
      <xdr:colOff>0</xdr:colOff>
      <xdr:row>20</xdr:row>
      <xdr:rowOff>19050</xdr:rowOff>
    </xdr:from>
    <xdr:ext cx="184663" cy="301292"/>
    <xdr:pic>
      <xdr:nvPicPr>
        <xdr:cNvPr id="15" name="Picture 1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52975" y="3152775"/>
          <a:ext cx="184663" cy="301292"/>
        </a:xfrm>
        <a:prstGeom prst="rect">
          <a:avLst/>
        </a:prstGeom>
      </xdr:spPr>
    </xdr:pic>
    <xdr:clientData/>
  </xdr:oneCellAnchor>
  <xdr:twoCellAnchor editAs="oneCell">
    <xdr:from>
      <xdr:col>6</xdr:col>
      <xdr:colOff>28575</xdr:colOff>
      <xdr:row>71</xdr:row>
      <xdr:rowOff>0</xdr:rowOff>
    </xdr:from>
    <xdr:to>
      <xdr:col>6</xdr:col>
      <xdr:colOff>381000</xdr:colOff>
      <xdr:row>71</xdr:row>
      <xdr:rowOff>169164</xdr:rowOff>
    </xdr:to>
    <xdr:pic>
      <xdr:nvPicPr>
        <xdr:cNvPr id="18" name="Picture 1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05025" y="10096500"/>
          <a:ext cx="352425" cy="169164"/>
        </a:xfrm>
        <a:prstGeom prst="rect">
          <a:avLst/>
        </a:prstGeom>
      </xdr:spPr>
    </xdr:pic>
    <xdr:clientData/>
  </xdr:twoCellAnchor>
  <xdr:twoCellAnchor editAs="oneCell">
    <xdr:from>
      <xdr:col>6</xdr:col>
      <xdr:colOff>19050</xdr:colOff>
      <xdr:row>101</xdr:row>
      <xdr:rowOff>0</xdr:rowOff>
    </xdr:from>
    <xdr:to>
      <xdr:col>6</xdr:col>
      <xdr:colOff>371475</xdr:colOff>
      <xdr:row>102</xdr:row>
      <xdr:rowOff>0</xdr:rowOff>
    </xdr:to>
    <xdr:pic>
      <xdr:nvPicPr>
        <xdr:cNvPr id="20" name="Picture 1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85975" y="13877925"/>
          <a:ext cx="352425" cy="169164"/>
        </a:xfrm>
        <a:prstGeom prst="rect">
          <a:avLst/>
        </a:prstGeom>
      </xdr:spPr>
    </xdr:pic>
    <xdr:clientData/>
  </xdr:twoCellAnchor>
  <xdr:oneCellAnchor>
    <xdr:from>
      <xdr:col>10</xdr:col>
      <xdr:colOff>952500</xdr:colOff>
      <xdr:row>73</xdr:row>
      <xdr:rowOff>47625</xdr:rowOff>
    </xdr:from>
    <xdr:ext cx="255968" cy="171451"/>
    <xdr:pic>
      <xdr:nvPicPr>
        <xdr:cNvPr id="27" name="Picture 2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95800" y="8486775"/>
          <a:ext cx="255968" cy="171451"/>
        </a:xfrm>
        <a:prstGeom prst="rect">
          <a:avLst/>
        </a:prstGeom>
      </xdr:spPr>
    </xdr:pic>
    <xdr:clientData/>
  </xdr:oneCellAnchor>
  <xdr:oneCellAnchor>
    <xdr:from>
      <xdr:col>10</xdr:col>
      <xdr:colOff>952500</xdr:colOff>
      <xdr:row>79</xdr:row>
      <xdr:rowOff>47625</xdr:rowOff>
    </xdr:from>
    <xdr:ext cx="255968" cy="171451"/>
    <xdr:pic>
      <xdr:nvPicPr>
        <xdr:cNvPr id="28" name="Picture 2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95800" y="5353050"/>
          <a:ext cx="255968" cy="171451"/>
        </a:xfrm>
        <a:prstGeom prst="rect">
          <a:avLst/>
        </a:prstGeom>
      </xdr:spPr>
    </xdr:pic>
    <xdr:clientData/>
  </xdr:oneCellAnchor>
  <xdr:oneCellAnchor>
    <xdr:from>
      <xdr:col>10</xdr:col>
      <xdr:colOff>952500</xdr:colOff>
      <xdr:row>88</xdr:row>
      <xdr:rowOff>47625</xdr:rowOff>
    </xdr:from>
    <xdr:ext cx="255968" cy="171451"/>
    <xdr:pic>
      <xdr:nvPicPr>
        <xdr:cNvPr id="30" name="Picture 2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95800" y="10801350"/>
          <a:ext cx="255968" cy="171451"/>
        </a:xfrm>
        <a:prstGeom prst="rect">
          <a:avLst/>
        </a:prstGeom>
      </xdr:spPr>
    </xdr:pic>
    <xdr:clientData/>
  </xdr:oneCellAnchor>
  <xdr:twoCellAnchor editAs="oneCell">
    <xdr:from>
      <xdr:col>10</xdr:col>
      <xdr:colOff>1057274</xdr:colOff>
      <xdr:row>76</xdr:row>
      <xdr:rowOff>38101</xdr:rowOff>
    </xdr:from>
    <xdr:to>
      <xdr:col>10</xdr:col>
      <xdr:colOff>1222533</xdr:colOff>
      <xdr:row>77</xdr:row>
      <xdr:rowOff>137075</xdr:rowOff>
    </xdr:to>
    <xdr:pic>
      <xdr:nvPicPr>
        <xdr:cNvPr id="9" name="Picture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00574" y="10925176"/>
          <a:ext cx="165259" cy="270424"/>
        </a:xfrm>
        <a:prstGeom prst="rect">
          <a:avLst/>
        </a:prstGeom>
      </xdr:spPr>
    </xdr:pic>
    <xdr:clientData/>
  </xdr:twoCellAnchor>
  <xdr:oneCellAnchor>
    <xdr:from>
      <xdr:col>10</xdr:col>
      <xdr:colOff>952500</xdr:colOff>
      <xdr:row>26</xdr:row>
      <xdr:rowOff>47625</xdr:rowOff>
    </xdr:from>
    <xdr:ext cx="255968" cy="171451"/>
    <xdr:pic>
      <xdr:nvPicPr>
        <xdr:cNvPr id="29" name="Picture 2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95800" y="5172075"/>
          <a:ext cx="255968" cy="171451"/>
        </a:xfrm>
        <a:prstGeom prst="rect">
          <a:avLst/>
        </a:prstGeom>
      </xdr:spPr>
    </xdr:pic>
    <xdr:clientData/>
  </xdr:oneCellAnchor>
  <xdr:twoCellAnchor editAs="oneCell">
    <xdr:from>
      <xdr:col>12</xdr:col>
      <xdr:colOff>1133193</xdr:colOff>
      <xdr:row>7</xdr:row>
      <xdr:rowOff>19050</xdr:rowOff>
    </xdr:from>
    <xdr:to>
      <xdr:col>13</xdr:col>
      <xdr:colOff>133967</xdr:colOff>
      <xdr:row>8</xdr:row>
      <xdr:rowOff>154780</xdr:rowOff>
    </xdr:to>
    <xdr:pic>
      <xdr:nvPicPr>
        <xdr:cNvPr id="11" name="Picture 1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86193" y="1181100"/>
          <a:ext cx="296174" cy="297655"/>
        </a:xfrm>
        <a:prstGeom prst="rect">
          <a:avLst/>
        </a:prstGeom>
      </xdr:spPr>
    </xdr:pic>
    <xdr:clientData/>
  </xdr:twoCellAnchor>
  <xdr:oneCellAnchor>
    <xdr:from>
      <xdr:col>10</xdr:col>
      <xdr:colOff>952500</xdr:colOff>
      <xdr:row>31</xdr:row>
      <xdr:rowOff>47625</xdr:rowOff>
    </xdr:from>
    <xdr:ext cx="255968" cy="171451"/>
    <xdr:pic>
      <xdr:nvPicPr>
        <xdr:cNvPr id="41" name="Picture 4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57700" y="5172075"/>
          <a:ext cx="255968" cy="171451"/>
        </a:xfrm>
        <a:prstGeom prst="rect">
          <a:avLst/>
        </a:prstGeom>
      </xdr:spPr>
    </xdr:pic>
    <xdr:clientData/>
  </xdr:oneCellAnchor>
  <xdr:oneCellAnchor>
    <xdr:from>
      <xdr:col>12</xdr:col>
      <xdr:colOff>952500</xdr:colOff>
      <xdr:row>31</xdr:row>
      <xdr:rowOff>47625</xdr:rowOff>
    </xdr:from>
    <xdr:ext cx="255968" cy="171451"/>
    <xdr:pic>
      <xdr:nvPicPr>
        <xdr:cNvPr id="42" name="Picture 4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05500" y="5172075"/>
          <a:ext cx="255968" cy="171451"/>
        </a:xfrm>
        <a:prstGeom prst="rect">
          <a:avLst/>
        </a:prstGeom>
      </xdr:spPr>
    </xdr:pic>
    <xdr:clientData/>
  </xdr:oneCellAnchor>
  <xdr:oneCellAnchor>
    <xdr:from>
      <xdr:col>10</xdr:col>
      <xdr:colOff>952500</xdr:colOff>
      <xdr:row>88</xdr:row>
      <xdr:rowOff>47625</xdr:rowOff>
    </xdr:from>
    <xdr:ext cx="255968" cy="171451"/>
    <xdr:pic>
      <xdr:nvPicPr>
        <xdr:cNvPr id="23" name="Picture 2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95800" y="12773025"/>
          <a:ext cx="255968" cy="171451"/>
        </a:xfrm>
        <a:prstGeom prst="rect">
          <a:avLst/>
        </a:prstGeom>
      </xdr:spPr>
    </xdr:pic>
    <xdr:clientData/>
  </xdr:oneCellAnchor>
  <xdr:twoCellAnchor editAs="oneCell">
    <xdr:from>
      <xdr:col>8</xdr:col>
      <xdr:colOff>9525</xdr:colOff>
      <xdr:row>111</xdr:row>
      <xdr:rowOff>0</xdr:rowOff>
    </xdr:from>
    <xdr:to>
      <xdr:col>10</xdr:col>
      <xdr:colOff>47625</xdr:colOff>
      <xdr:row>112</xdr:row>
      <xdr:rowOff>7239</xdr:rowOff>
    </xdr:to>
    <xdr:pic>
      <xdr:nvPicPr>
        <xdr:cNvPr id="22" name="Picture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38500" y="16849725"/>
          <a:ext cx="352425" cy="169164"/>
        </a:xfrm>
        <a:prstGeom prst="rect">
          <a:avLst/>
        </a:prstGeom>
      </xdr:spPr>
    </xdr:pic>
    <xdr:clientData/>
  </xdr:twoCellAnchor>
  <xdr:oneCellAnchor>
    <xdr:from>
      <xdr:col>10</xdr:col>
      <xdr:colOff>361949</xdr:colOff>
      <xdr:row>118</xdr:row>
      <xdr:rowOff>72866</xdr:rowOff>
    </xdr:from>
    <xdr:ext cx="826557" cy="371951"/>
    <xdr:pic>
      <xdr:nvPicPr>
        <xdr:cNvPr id="25" name="Picture 2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905249" y="17913191"/>
          <a:ext cx="826557" cy="371951"/>
        </a:xfrm>
        <a:prstGeom prst="rect">
          <a:avLst/>
        </a:prstGeom>
      </xdr:spPr>
    </xdr:pic>
    <xdr:clientData/>
  </xdr:oneCellAnchor>
  <xdr:oneCellAnchor>
    <xdr:from>
      <xdr:col>10</xdr:col>
      <xdr:colOff>238125</xdr:colOff>
      <xdr:row>121</xdr:row>
      <xdr:rowOff>104775</xdr:rowOff>
    </xdr:from>
    <xdr:ext cx="826557" cy="371951"/>
    <xdr:pic>
      <xdr:nvPicPr>
        <xdr:cNvPr id="26" name="Picture 2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781425" y="18440400"/>
          <a:ext cx="826557" cy="3719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161925</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3619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171450</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371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5</xdr:row>
      <xdr:rowOff>85725</xdr:rowOff>
    </xdr:from>
    <xdr:to>
      <xdr:col>5</xdr:col>
      <xdr:colOff>104775</xdr:colOff>
      <xdr:row>5</xdr:row>
      <xdr:rowOff>733425</xdr:rowOff>
    </xdr:to>
    <xdr:grpSp>
      <xdr:nvGrpSpPr>
        <xdr:cNvPr id="2" name="Group 39"/>
        <xdr:cNvGrpSpPr>
          <a:grpSpLocks noChangeAspect="1"/>
        </xdr:cNvGrpSpPr>
      </xdr:nvGrpSpPr>
      <xdr:grpSpPr bwMode="auto">
        <a:xfrm>
          <a:off x="1533525" y="904875"/>
          <a:ext cx="590550" cy="647700"/>
          <a:chOff x="1571625" y="533400"/>
          <a:chExt cx="847725" cy="923925"/>
        </a:xfrm>
      </xdr:grpSpPr>
      <xdr:sp macro="" textlink="">
        <xdr:nvSpPr>
          <xdr:cNvPr id="3" name="Oval 40"/>
          <xdr:cNvSpPr>
            <a:spLocks noChangeArrowheads="1"/>
          </xdr:cNvSpPr>
        </xdr:nvSpPr>
        <xdr:spPr bwMode="auto">
          <a:xfrm>
            <a:off x="1571625" y="533400"/>
            <a:ext cx="847725" cy="923925"/>
          </a:xfrm>
          <a:prstGeom prst="ellipse">
            <a:avLst/>
          </a:prstGeom>
          <a:solidFill>
            <a:srgbClr val="C0C0C0"/>
          </a:solidFill>
          <a:ln w="19050">
            <a:solidFill>
              <a:srgbClr val="000000"/>
            </a:solidFill>
            <a:round/>
            <a:headEnd/>
            <a:tailEnd/>
          </a:ln>
        </xdr:spPr>
      </xdr:sp>
      <xdr:sp macro="" textlink="">
        <xdr:nvSpPr>
          <xdr:cNvPr id="4" name="Oval 1"/>
          <xdr:cNvSpPr>
            <a:spLocks noChangeArrowheads="1"/>
          </xdr:cNvSpPr>
        </xdr:nvSpPr>
        <xdr:spPr bwMode="auto">
          <a:xfrm>
            <a:off x="1933575" y="923925"/>
            <a:ext cx="133350" cy="142875"/>
          </a:xfrm>
          <a:prstGeom prst="ellipse">
            <a:avLst/>
          </a:prstGeom>
          <a:solidFill>
            <a:srgbClr val="FFFFFF"/>
          </a:solidFill>
          <a:ln w="9525">
            <a:solidFill>
              <a:srgbClr val="000000"/>
            </a:solidFill>
            <a:round/>
            <a:headEnd/>
            <a:tailEnd/>
          </a:ln>
        </xdr:spPr>
      </xdr:sp>
    </xdr:grpSp>
    <xdr:clientData/>
  </xdr:twoCellAnchor>
  <xdr:twoCellAnchor>
    <xdr:from>
      <xdr:col>10</xdr:col>
      <xdr:colOff>85725</xdr:colOff>
      <xdr:row>5</xdr:row>
      <xdr:rowOff>85725</xdr:rowOff>
    </xdr:from>
    <xdr:to>
      <xdr:col>13</xdr:col>
      <xdr:colOff>104775</xdr:colOff>
      <xdr:row>5</xdr:row>
      <xdr:rowOff>733425</xdr:rowOff>
    </xdr:to>
    <xdr:grpSp>
      <xdr:nvGrpSpPr>
        <xdr:cNvPr id="5" name="Group 42"/>
        <xdr:cNvGrpSpPr>
          <a:grpSpLocks noChangeAspect="1"/>
        </xdr:cNvGrpSpPr>
      </xdr:nvGrpSpPr>
      <xdr:grpSpPr bwMode="auto">
        <a:xfrm>
          <a:off x="3057525" y="904875"/>
          <a:ext cx="590550" cy="647700"/>
          <a:chOff x="4391025" y="533400"/>
          <a:chExt cx="847725" cy="923925"/>
        </a:xfrm>
      </xdr:grpSpPr>
      <xdr:sp macro="" textlink="">
        <xdr:nvSpPr>
          <xdr:cNvPr id="6" name="Oval 62"/>
          <xdr:cNvSpPr>
            <a:spLocks noChangeArrowheads="1"/>
          </xdr:cNvSpPr>
        </xdr:nvSpPr>
        <xdr:spPr bwMode="auto">
          <a:xfrm>
            <a:off x="4391025" y="533400"/>
            <a:ext cx="847725" cy="923925"/>
          </a:xfrm>
          <a:prstGeom prst="ellipse">
            <a:avLst/>
          </a:prstGeom>
          <a:solidFill>
            <a:srgbClr val="C0C0C0"/>
          </a:solidFill>
          <a:ln w="19050">
            <a:solidFill>
              <a:srgbClr val="000000"/>
            </a:solidFill>
            <a:round/>
            <a:headEnd/>
            <a:tailEnd/>
          </a:ln>
        </xdr:spPr>
      </xdr:sp>
      <xdr:sp macro="" textlink="">
        <xdr:nvSpPr>
          <xdr:cNvPr id="7" name="Oval 67"/>
          <xdr:cNvSpPr>
            <a:spLocks noChangeArrowheads="1"/>
          </xdr:cNvSpPr>
        </xdr:nvSpPr>
        <xdr:spPr bwMode="auto">
          <a:xfrm>
            <a:off x="4752975" y="923925"/>
            <a:ext cx="133350" cy="142875"/>
          </a:xfrm>
          <a:prstGeom prst="ellipse">
            <a:avLst/>
          </a:prstGeom>
          <a:solidFill>
            <a:srgbClr val="FFFFFF"/>
          </a:solidFill>
          <a:ln w="9525">
            <a:solidFill>
              <a:srgbClr val="000000"/>
            </a:solidFill>
            <a:round/>
            <a:headEnd/>
            <a:tailEnd/>
          </a:ln>
        </xdr:spPr>
      </xdr:sp>
      <xdr:sp macro="" textlink="">
        <xdr:nvSpPr>
          <xdr:cNvPr id="8" name="Oval 68"/>
          <xdr:cNvSpPr>
            <a:spLocks noChangeArrowheads="1"/>
          </xdr:cNvSpPr>
        </xdr:nvSpPr>
        <xdr:spPr bwMode="auto">
          <a:xfrm>
            <a:off x="4572000" y="923925"/>
            <a:ext cx="133350" cy="142875"/>
          </a:xfrm>
          <a:prstGeom prst="ellipse">
            <a:avLst/>
          </a:prstGeom>
          <a:solidFill>
            <a:srgbClr val="0000FF"/>
          </a:solidFill>
          <a:ln w="9525">
            <a:solidFill>
              <a:srgbClr val="000000"/>
            </a:solidFill>
            <a:round/>
            <a:headEnd/>
            <a:tailEnd/>
          </a:ln>
        </xdr:spPr>
      </xdr:sp>
      <xdr:sp macro="" textlink="">
        <xdr:nvSpPr>
          <xdr:cNvPr id="9" name="Oval 69"/>
          <xdr:cNvSpPr>
            <a:spLocks noChangeArrowheads="1"/>
          </xdr:cNvSpPr>
        </xdr:nvSpPr>
        <xdr:spPr bwMode="auto">
          <a:xfrm>
            <a:off x="4943475" y="923925"/>
            <a:ext cx="133350" cy="142875"/>
          </a:xfrm>
          <a:prstGeom prst="ellipse">
            <a:avLst/>
          </a:prstGeom>
          <a:solidFill>
            <a:srgbClr val="0000FF"/>
          </a:solidFill>
          <a:ln w="9525">
            <a:solidFill>
              <a:srgbClr val="000000"/>
            </a:solidFill>
            <a:round/>
            <a:headEnd/>
            <a:tailEnd/>
          </a:ln>
        </xdr:spPr>
      </xdr:sp>
    </xdr:grpSp>
    <xdr:clientData/>
  </xdr:twoCellAnchor>
  <xdr:twoCellAnchor>
    <xdr:from>
      <xdr:col>14</xdr:col>
      <xdr:colOff>85725</xdr:colOff>
      <xdr:row>5</xdr:row>
      <xdr:rowOff>85725</xdr:rowOff>
    </xdr:from>
    <xdr:to>
      <xdr:col>17</xdr:col>
      <xdr:colOff>104775</xdr:colOff>
      <xdr:row>5</xdr:row>
      <xdr:rowOff>733425</xdr:rowOff>
    </xdr:to>
    <xdr:grpSp>
      <xdr:nvGrpSpPr>
        <xdr:cNvPr id="10" name="Group 47"/>
        <xdr:cNvGrpSpPr>
          <a:grpSpLocks noChangeAspect="1"/>
        </xdr:cNvGrpSpPr>
      </xdr:nvGrpSpPr>
      <xdr:grpSpPr bwMode="auto">
        <a:xfrm>
          <a:off x="3819525" y="904875"/>
          <a:ext cx="590550" cy="647700"/>
          <a:chOff x="5810250" y="523875"/>
          <a:chExt cx="847725" cy="923925"/>
        </a:xfrm>
      </xdr:grpSpPr>
      <xdr:sp macro="" textlink="">
        <xdr:nvSpPr>
          <xdr:cNvPr id="11" name="Oval 63"/>
          <xdr:cNvSpPr>
            <a:spLocks noChangeArrowheads="1"/>
          </xdr:cNvSpPr>
        </xdr:nvSpPr>
        <xdr:spPr bwMode="auto">
          <a:xfrm>
            <a:off x="5810250" y="523875"/>
            <a:ext cx="847725" cy="923925"/>
          </a:xfrm>
          <a:prstGeom prst="ellipse">
            <a:avLst/>
          </a:prstGeom>
          <a:solidFill>
            <a:srgbClr val="C0C0C0"/>
          </a:solidFill>
          <a:ln w="19050">
            <a:solidFill>
              <a:srgbClr val="000000"/>
            </a:solidFill>
            <a:round/>
            <a:headEnd/>
            <a:tailEnd/>
          </a:ln>
        </xdr:spPr>
      </xdr:sp>
      <xdr:sp macro="" textlink="">
        <xdr:nvSpPr>
          <xdr:cNvPr id="12" name="Oval 66"/>
          <xdr:cNvSpPr>
            <a:spLocks noChangeArrowheads="1"/>
          </xdr:cNvSpPr>
        </xdr:nvSpPr>
        <xdr:spPr bwMode="auto">
          <a:xfrm>
            <a:off x="6162675" y="914400"/>
            <a:ext cx="133350" cy="142875"/>
          </a:xfrm>
          <a:prstGeom prst="ellipse">
            <a:avLst/>
          </a:prstGeom>
          <a:solidFill>
            <a:srgbClr val="FFFFFF"/>
          </a:solidFill>
          <a:ln w="9525">
            <a:solidFill>
              <a:srgbClr val="000000"/>
            </a:solidFill>
            <a:round/>
            <a:headEnd/>
            <a:tailEnd/>
          </a:ln>
        </xdr:spPr>
      </xdr:sp>
      <xdr:sp macro="" textlink="">
        <xdr:nvSpPr>
          <xdr:cNvPr id="13" name="Oval 70"/>
          <xdr:cNvSpPr>
            <a:spLocks noChangeArrowheads="1"/>
          </xdr:cNvSpPr>
        </xdr:nvSpPr>
        <xdr:spPr bwMode="auto">
          <a:xfrm>
            <a:off x="6162675" y="1123950"/>
            <a:ext cx="133350" cy="142875"/>
          </a:xfrm>
          <a:prstGeom prst="ellipse">
            <a:avLst/>
          </a:prstGeom>
          <a:solidFill>
            <a:srgbClr val="0000FF"/>
          </a:solidFill>
          <a:ln w="9525">
            <a:solidFill>
              <a:srgbClr val="000000"/>
            </a:solidFill>
            <a:round/>
            <a:headEnd/>
            <a:tailEnd/>
          </a:ln>
        </xdr:spPr>
      </xdr:sp>
    </xdr:grpSp>
    <xdr:clientData/>
  </xdr:twoCellAnchor>
  <xdr:twoCellAnchor>
    <xdr:from>
      <xdr:col>18</xdr:col>
      <xdr:colOff>85725</xdr:colOff>
      <xdr:row>5</xdr:row>
      <xdr:rowOff>85725</xdr:rowOff>
    </xdr:from>
    <xdr:to>
      <xdr:col>21</xdr:col>
      <xdr:colOff>114300</xdr:colOff>
      <xdr:row>5</xdr:row>
      <xdr:rowOff>733425</xdr:rowOff>
    </xdr:to>
    <xdr:grpSp>
      <xdr:nvGrpSpPr>
        <xdr:cNvPr id="14" name="Group 51"/>
        <xdr:cNvGrpSpPr>
          <a:grpSpLocks noChangeAspect="1"/>
        </xdr:cNvGrpSpPr>
      </xdr:nvGrpSpPr>
      <xdr:grpSpPr bwMode="auto">
        <a:xfrm>
          <a:off x="4581525" y="904875"/>
          <a:ext cx="600075" cy="647700"/>
          <a:chOff x="7219950" y="533400"/>
          <a:chExt cx="847725" cy="923925"/>
        </a:xfrm>
      </xdr:grpSpPr>
      <xdr:sp macro="" textlink="">
        <xdr:nvSpPr>
          <xdr:cNvPr id="15" name="Oval 64"/>
          <xdr:cNvSpPr>
            <a:spLocks noChangeArrowheads="1"/>
          </xdr:cNvSpPr>
        </xdr:nvSpPr>
        <xdr:spPr bwMode="auto">
          <a:xfrm>
            <a:off x="7219950" y="533400"/>
            <a:ext cx="847725" cy="923925"/>
          </a:xfrm>
          <a:prstGeom prst="ellipse">
            <a:avLst/>
          </a:prstGeom>
          <a:solidFill>
            <a:srgbClr val="C0C0C0"/>
          </a:solidFill>
          <a:ln w="19050">
            <a:solidFill>
              <a:srgbClr val="000000"/>
            </a:solidFill>
            <a:round/>
            <a:headEnd/>
            <a:tailEnd/>
          </a:ln>
        </xdr:spPr>
      </xdr:sp>
      <xdr:sp macro="" textlink="">
        <xdr:nvSpPr>
          <xdr:cNvPr id="16" name="Oval 71"/>
          <xdr:cNvSpPr>
            <a:spLocks noChangeArrowheads="1"/>
          </xdr:cNvSpPr>
        </xdr:nvSpPr>
        <xdr:spPr bwMode="auto">
          <a:xfrm>
            <a:off x="7610475" y="1219200"/>
            <a:ext cx="57150" cy="66675"/>
          </a:xfrm>
          <a:prstGeom prst="ellipse">
            <a:avLst/>
          </a:prstGeom>
          <a:solidFill>
            <a:srgbClr val="FFFFFF"/>
          </a:solidFill>
          <a:ln w="9525">
            <a:solidFill>
              <a:srgbClr val="000000"/>
            </a:solidFill>
            <a:round/>
            <a:headEnd/>
            <a:tailEnd/>
          </a:ln>
        </xdr:spPr>
      </xdr:sp>
    </xdr:grpSp>
    <xdr:clientData/>
  </xdr:twoCellAnchor>
  <xdr:twoCellAnchor>
    <xdr:from>
      <xdr:col>6</xdr:col>
      <xdr:colOff>85725</xdr:colOff>
      <xdr:row>5</xdr:row>
      <xdr:rowOff>85725</xdr:rowOff>
    </xdr:from>
    <xdr:to>
      <xdr:col>9</xdr:col>
      <xdr:colOff>114300</xdr:colOff>
      <xdr:row>5</xdr:row>
      <xdr:rowOff>733425</xdr:rowOff>
    </xdr:to>
    <xdr:grpSp>
      <xdr:nvGrpSpPr>
        <xdr:cNvPr id="17" name="Group 58"/>
        <xdr:cNvGrpSpPr>
          <a:grpSpLocks noChangeAspect="1"/>
        </xdr:cNvGrpSpPr>
      </xdr:nvGrpSpPr>
      <xdr:grpSpPr bwMode="auto">
        <a:xfrm>
          <a:off x="2295525" y="904875"/>
          <a:ext cx="600075" cy="647700"/>
          <a:chOff x="2990850" y="533400"/>
          <a:chExt cx="847725" cy="923925"/>
        </a:xfrm>
      </xdr:grpSpPr>
      <xdr:sp macro="" textlink="">
        <xdr:nvSpPr>
          <xdr:cNvPr id="18" name="Oval 61"/>
          <xdr:cNvSpPr>
            <a:spLocks noChangeArrowheads="1"/>
          </xdr:cNvSpPr>
        </xdr:nvSpPr>
        <xdr:spPr bwMode="auto">
          <a:xfrm>
            <a:off x="2990850" y="533400"/>
            <a:ext cx="847725" cy="923925"/>
          </a:xfrm>
          <a:prstGeom prst="ellipse">
            <a:avLst/>
          </a:prstGeom>
          <a:solidFill>
            <a:srgbClr val="C0C0C0"/>
          </a:solidFill>
          <a:ln w="19050">
            <a:solidFill>
              <a:srgbClr val="000000"/>
            </a:solidFill>
            <a:round/>
            <a:headEnd/>
            <a:tailEnd/>
          </a:ln>
        </xdr:spPr>
      </xdr:sp>
      <xdr:sp macro="" textlink="">
        <xdr:nvSpPr>
          <xdr:cNvPr id="19" name="Oval 65"/>
          <xdr:cNvSpPr>
            <a:spLocks noChangeArrowheads="1"/>
          </xdr:cNvSpPr>
        </xdr:nvSpPr>
        <xdr:spPr bwMode="auto">
          <a:xfrm>
            <a:off x="3343274" y="923925"/>
            <a:ext cx="133351" cy="142875"/>
          </a:xfrm>
          <a:prstGeom prst="ellipse">
            <a:avLst/>
          </a:prstGeom>
          <a:solidFill>
            <a:srgbClr val="FFFFFF"/>
          </a:solidFill>
          <a:ln w="9525">
            <a:solidFill>
              <a:srgbClr val="000000"/>
            </a:solidFill>
            <a:round/>
            <a:headEnd/>
            <a:tailEnd/>
          </a:ln>
        </xdr:spPr>
      </xdr:sp>
      <xdr:sp macro="" textlink="">
        <xdr:nvSpPr>
          <xdr:cNvPr id="20" name="Oval 72"/>
          <xdr:cNvSpPr>
            <a:spLocks noChangeArrowheads="1"/>
          </xdr:cNvSpPr>
        </xdr:nvSpPr>
        <xdr:spPr bwMode="auto">
          <a:xfrm>
            <a:off x="3381375" y="1162050"/>
            <a:ext cx="57150" cy="66675"/>
          </a:xfrm>
          <a:prstGeom prst="ellipse">
            <a:avLst/>
          </a:prstGeom>
          <a:solidFill>
            <a:srgbClr val="0000FF"/>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152400</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352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19051</xdr:colOff>
      <xdr:row>0</xdr:row>
      <xdr:rowOff>19050</xdr:rowOff>
    </xdr:from>
    <xdr:to>
      <xdr:col>4</xdr:col>
      <xdr:colOff>192210</xdr:colOff>
      <xdr:row>2</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1" y="19050"/>
          <a:ext cx="401759" cy="44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31.bin"/><Relationship Id="rId4" Type="http://schemas.openxmlformats.org/officeDocument/2006/relationships/comments" Target="../comments7.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6"/>
  <sheetViews>
    <sheetView showGridLines="0" showRowColHeaders="0" zoomScaleNormal="100" workbookViewId="0">
      <pane ySplit="3" topLeftCell="A4" activePane="bottomLeft" state="frozen"/>
      <selection activeCell="M42" sqref="M42"/>
      <selection pane="bottomLeft" activeCell="I1" sqref="I1"/>
    </sheetView>
  </sheetViews>
  <sheetFormatPr defaultRowHeight="12.75" x14ac:dyDescent="0.2"/>
  <cols>
    <col min="1" max="1" width="12.5703125" style="79" customWidth="1"/>
    <col min="2" max="2" width="5.5703125" style="79" bestFit="1" customWidth="1"/>
    <col min="3" max="3" width="25.5703125" style="79" customWidth="1"/>
    <col min="4" max="4" width="7.42578125" style="79" customWidth="1"/>
    <col min="5" max="5" width="5.42578125" style="79" bestFit="1" customWidth="1"/>
    <col min="6" max="6" width="17.140625" style="79" customWidth="1"/>
    <col min="7" max="7" width="14.85546875" style="79" customWidth="1"/>
    <col min="8" max="8" width="4.5703125" style="79" customWidth="1"/>
    <col min="9" max="9" width="5" style="79" bestFit="1" customWidth="1"/>
    <col min="10" max="16384" width="9.140625" style="79"/>
  </cols>
  <sheetData>
    <row r="1" spans="1:12" x14ac:dyDescent="0.2">
      <c r="A1" s="78" t="s">
        <v>65</v>
      </c>
      <c r="F1" s="1040" t="s">
        <v>609</v>
      </c>
      <c r="G1" s="88"/>
      <c r="H1" s="396" t="str">
        <f>HYPERLINK("","")</f>
        <v/>
      </c>
      <c r="I1" s="24"/>
    </row>
    <row r="2" spans="1:12" x14ac:dyDescent="0.2">
      <c r="F2" s="41"/>
      <c r="G2" s="24"/>
      <c r="H2" s="24"/>
      <c r="I2" s="426"/>
    </row>
    <row r="3" spans="1:12" x14ac:dyDescent="0.2">
      <c r="A3" s="80" t="s">
        <v>37</v>
      </c>
      <c r="B3" s="80" t="s">
        <v>38</v>
      </c>
      <c r="C3" s="80" t="s">
        <v>39</v>
      </c>
      <c r="D3" s="80" t="s">
        <v>40</v>
      </c>
      <c r="E3" s="80" t="s">
        <v>41</v>
      </c>
      <c r="F3" s="80" t="s">
        <v>42</v>
      </c>
      <c r="G3" s="80" t="s">
        <v>43</v>
      </c>
      <c r="H3" s="80" t="s">
        <v>44</v>
      </c>
      <c r="I3" s="80" t="s">
        <v>45</v>
      </c>
    </row>
    <row r="4" spans="1:12" x14ac:dyDescent="0.2">
      <c r="A4" s="7" t="s">
        <v>8</v>
      </c>
      <c r="B4" s="81"/>
      <c r="H4" s="82"/>
    </row>
    <row r="5" spans="1:12" x14ac:dyDescent="0.2">
      <c r="A5" s="1174" t="s">
        <v>250</v>
      </c>
      <c r="B5" s="1175" t="s">
        <v>46</v>
      </c>
      <c r="C5" s="1176" t="s">
        <v>47</v>
      </c>
      <c r="D5" s="1176" t="s">
        <v>48</v>
      </c>
      <c r="E5" s="83" t="str">
        <f>HYPERLINK("#A!K1","A")</f>
        <v>A</v>
      </c>
      <c r="F5" s="84" t="str">
        <f>HYPERLINK("https://kaart.delfi.ee/?bookmark=521b80d6ceeefbe3e5d227267242b576","K-Järve spordihoone")</f>
        <v>K-Järve spordihoone</v>
      </c>
      <c r="G5" s="1176" t="s">
        <v>49</v>
      </c>
      <c r="H5" s="1180">
        <v>0</v>
      </c>
      <c r="I5" s="85">
        <v>14</v>
      </c>
    </row>
    <row r="6" spans="1:12" x14ac:dyDescent="0.2">
      <c r="A6" s="1167" t="s">
        <v>208</v>
      </c>
      <c r="B6" s="1169" t="s">
        <v>46</v>
      </c>
      <c r="C6" s="1167" t="s">
        <v>225</v>
      </c>
      <c r="D6" s="1167" t="s">
        <v>53</v>
      </c>
      <c r="E6" s="397" t="str">
        <f>HYPERLINK("#1!G1","1")</f>
        <v>1</v>
      </c>
      <c r="F6" s="1181" t="str">
        <f>HYPERLINK("https://kaart.delfi.ee/?bookmark=521b80d6ceeefbe3e5d227267242b576","K-Järve spordihoone")</f>
        <v>K-Järve spordihoone</v>
      </c>
      <c r="G6" s="1182" t="s">
        <v>49</v>
      </c>
      <c r="H6" s="1183">
        <v>2</v>
      </c>
      <c r="I6" s="1184">
        <f>Reit!J60</f>
        <v>30</v>
      </c>
    </row>
    <row r="7" spans="1:12" x14ac:dyDescent="0.2">
      <c r="A7" s="1160" t="s">
        <v>259</v>
      </c>
      <c r="B7" s="1161" t="s">
        <v>50</v>
      </c>
      <c r="C7" s="1162" t="s">
        <v>233</v>
      </c>
      <c r="D7" s="1162" t="s">
        <v>51</v>
      </c>
      <c r="E7" s="86" t="str">
        <f>HYPERLINK("#V1!G1","V1")</f>
        <v>V1</v>
      </c>
      <c r="F7" s="1185" t="str">
        <f>HYPERLINK("http://kaart.delfi.ee//?bookmark=ebd616e171f4882941c876d5ba118858","Voka staadion")</f>
        <v>Voka staadion</v>
      </c>
      <c r="G7" s="1160" t="s">
        <v>52</v>
      </c>
      <c r="H7" s="1186">
        <v>2</v>
      </c>
      <c r="I7" s="87">
        <f>V!J73</f>
        <v>26</v>
      </c>
    </row>
    <row r="8" spans="1:12" s="88" customFormat="1" x14ac:dyDescent="0.2">
      <c r="A8" s="1177" t="s">
        <v>209</v>
      </c>
      <c r="B8" s="1169" t="s">
        <v>46</v>
      </c>
      <c r="C8" s="1167" t="s">
        <v>226</v>
      </c>
      <c r="D8" s="1167" t="s">
        <v>51</v>
      </c>
      <c r="E8" s="397" t="str">
        <f>HYPERLINK("#2!I1","2")</f>
        <v>2</v>
      </c>
      <c r="F8" s="1181" t="str">
        <f>HYPERLINK("https://kaart.delfi.ee/?bookmark=521b80d6ceeefbe3e5d227267242b576","K-Järve spordihoone")</f>
        <v>K-Järve spordihoone</v>
      </c>
      <c r="G8" s="1182" t="s">
        <v>49</v>
      </c>
      <c r="H8" s="1183">
        <v>2</v>
      </c>
      <c r="I8" s="1184">
        <f>Reit!K60</f>
        <v>18</v>
      </c>
    </row>
    <row r="9" spans="1:12" x14ac:dyDescent="0.2">
      <c r="A9" s="1165" t="s">
        <v>66</v>
      </c>
      <c r="B9" s="1166" t="s">
        <v>50</v>
      </c>
      <c r="C9" s="1165" t="s">
        <v>227</v>
      </c>
      <c r="D9" s="1165" t="s">
        <v>51</v>
      </c>
      <c r="E9" s="89" t="str">
        <f>HYPERLINK("#M1!I1","M1")</f>
        <v>M1</v>
      </c>
      <c r="F9" s="1187" t="str">
        <f>HYPERLINK("https://kaart.delfi.ee//?bookmark=8d4f7582049a644e192eaee97c9e372f","Mäetaguse parkla")</f>
        <v>Mäetaguse parkla</v>
      </c>
      <c r="G9" s="1165" t="s">
        <v>54</v>
      </c>
      <c r="H9" s="1188">
        <v>0</v>
      </c>
      <c r="I9" s="1189">
        <f>M!M31</f>
        <v>14</v>
      </c>
      <c r="J9" s="88"/>
    </row>
    <row r="10" spans="1:12" x14ac:dyDescent="0.2">
      <c r="A10" s="1160" t="s">
        <v>260</v>
      </c>
      <c r="B10" s="1161" t="s">
        <v>50</v>
      </c>
      <c r="C10" s="1162" t="s">
        <v>234</v>
      </c>
      <c r="D10" s="1162" t="s">
        <v>51</v>
      </c>
      <c r="E10" s="86" t="str">
        <f>HYPERLINK("#V2!G1","V2")</f>
        <v>V2</v>
      </c>
      <c r="F10" s="1185" t="str">
        <f>HYPERLINK("http://kaart.delfi.ee//?bookmark=ebd616e171f4882941c876d5ba118858","Voka staadion")</f>
        <v>Voka staadion</v>
      </c>
      <c r="G10" s="1160" t="s">
        <v>52</v>
      </c>
      <c r="H10" s="1186">
        <v>2</v>
      </c>
      <c r="I10" s="87">
        <f>V!K73</f>
        <v>30</v>
      </c>
      <c r="J10" s="88"/>
    </row>
    <row r="11" spans="1:12" x14ac:dyDescent="0.2">
      <c r="A11" s="1167" t="s">
        <v>210</v>
      </c>
      <c r="B11" s="1169" t="s">
        <v>50</v>
      </c>
      <c r="C11" s="1167" t="s">
        <v>228</v>
      </c>
      <c r="D11" s="1167" t="s">
        <v>48</v>
      </c>
      <c r="E11" s="397" t="str">
        <f>HYPERLINK("#3!J1","3")</f>
        <v>3</v>
      </c>
      <c r="F11" s="1181" t="str">
        <f>HYPERLINK("https://kaart.delfi.ee/?bookmark=521b80d6ceeefbe3e5d227267242b576","K-Järve spordihoone")</f>
        <v>K-Järve spordihoone</v>
      </c>
      <c r="G11" s="1182" t="s">
        <v>49</v>
      </c>
      <c r="H11" s="1183">
        <v>2</v>
      </c>
      <c r="I11" s="1184">
        <f>Reit!L60</f>
        <v>18</v>
      </c>
      <c r="J11" s="88"/>
    </row>
    <row r="12" spans="1:12" x14ac:dyDescent="0.2">
      <c r="A12" s="7" t="s">
        <v>10</v>
      </c>
      <c r="B12" s="81"/>
      <c r="E12" s="90"/>
      <c r="H12" s="82"/>
      <c r="I12" s="91"/>
      <c r="J12" s="88"/>
      <c r="K12" s="88"/>
      <c r="L12" s="88"/>
    </row>
    <row r="13" spans="1:12" x14ac:dyDescent="0.2">
      <c r="A13" s="1160" t="s">
        <v>132</v>
      </c>
      <c r="B13" s="1161" t="s">
        <v>50</v>
      </c>
      <c r="C13" s="1162" t="s">
        <v>235</v>
      </c>
      <c r="D13" s="1162" t="s">
        <v>51</v>
      </c>
      <c r="E13" s="86" t="str">
        <f>HYPERLINK("#V3!G1","V3")</f>
        <v>V3</v>
      </c>
      <c r="F13" s="1185" t="str">
        <f>HYPERLINK("http://kaart.delfi.ee//?bookmark=ebd616e171f4882941c876d5ba118858","Voka staadion")</f>
        <v>Voka staadion</v>
      </c>
      <c r="G13" s="1160" t="s">
        <v>52</v>
      </c>
      <c r="H13" s="1186">
        <v>2</v>
      </c>
      <c r="I13" s="87">
        <f>V!L73</f>
        <v>30</v>
      </c>
      <c r="J13" s="88"/>
      <c r="K13" s="88"/>
      <c r="L13" s="88"/>
    </row>
    <row r="14" spans="1:12" x14ac:dyDescent="0.2">
      <c r="A14" s="1167" t="s">
        <v>215</v>
      </c>
      <c r="B14" s="1169" t="s">
        <v>50</v>
      </c>
      <c r="C14" s="1167" t="s">
        <v>59</v>
      </c>
      <c r="D14" s="1167" t="s">
        <v>60</v>
      </c>
      <c r="E14" s="397" t="str">
        <f>HYPERLINK("#4!J1","4")</f>
        <v>4</v>
      </c>
      <c r="F14" s="1181" t="str">
        <f>HYPERLINK("https://kaart.delfi.ee/?bookmark=521b80d6ceeefbe3e5d227267242b576","K-Järve spordihoone")</f>
        <v>K-Järve spordihoone</v>
      </c>
      <c r="G14" s="1182" t="s">
        <v>49</v>
      </c>
      <c r="H14" s="1183">
        <v>2</v>
      </c>
      <c r="I14" s="1184">
        <f>Reit!M60</f>
        <v>9</v>
      </c>
      <c r="J14" s="88"/>
      <c r="K14" s="88"/>
      <c r="L14" s="88"/>
    </row>
    <row r="15" spans="1:12" x14ac:dyDescent="0.2">
      <c r="A15" s="1172" t="s">
        <v>247</v>
      </c>
      <c r="B15" s="1173" t="s">
        <v>429</v>
      </c>
      <c r="C15" s="1172" t="s">
        <v>193</v>
      </c>
      <c r="D15" s="1172" t="s">
        <v>48</v>
      </c>
      <c r="E15" s="409" t="str">
        <f>HYPERLINK("http://www.petanque.ee/index.php?id=103761&amp;cid=507","e4")</f>
        <v>e4</v>
      </c>
      <c r="F15" s="1190" t="str">
        <f>HYPERLINK("https://kaart.delfi.ee/?bookmark=4c0b1b0c24ff9f4919899a9546bf50f1","Jõhvi, Neptun")</f>
        <v>Jõhvi, Neptun</v>
      </c>
      <c r="G15" s="1191" t="s">
        <v>49</v>
      </c>
      <c r="H15" s="1192">
        <v>8</v>
      </c>
      <c r="I15" s="1193">
        <v>36</v>
      </c>
      <c r="J15" s="88"/>
      <c r="K15" s="88"/>
      <c r="L15" s="88"/>
    </row>
    <row r="16" spans="1:12" s="88" customFormat="1" x14ac:dyDescent="0.2">
      <c r="A16" s="1436" t="s">
        <v>248</v>
      </c>
      <c r="B16" s="1178" t="s">
        <v>46</v>
      </c>
      <c r="C16" s="1179" t="s">
        <v>253</v>
      </c>
      <c r="D16" s="1179" t="s">
        <v>48</v>
      </c>
      <c r="E16" s="93" t="str">
        <f>HYPERLINK("#Mu!J1","Mu")</f>
        <v>Mu</v>
      </c>
      <c r="F16" s="1194" t="str">
        <f>HYPERLINK("https://kaart.delfi.ee/?bookmark=63ebb20d0f5732aa12acf360e2b986df","Voka staadion")</f>
        <v>Voka staadion</v>
      </c>
      <c r="G16" s="1179" t="s">
        <v>57</v>
      </c>
      <c r="H16" s="1195">
        <v>2</v>
      </c>
      <c r="I16" s="1196">
        <v>22</v>
      </c>
    </row>
    <row r="17" spans="1:12" x14ac:dyDescent="0.2">
      <c r="A17" s="1437"/>
      <c r="B17" s="1173" t="s">
        <v>56</v>
      </c>
      <c r="C17" s="1172" t="s">
        <v>194</v>
      </c>
      <c r="D17" s="1172" t="s">
        <v>60</v>
      </c>
      <c r="E17" s="409" t="str">
        <f>HYPERLINK("http://www.petanque.ee/index.php?id=103761&amp;cid=508","e5")</f>
        <v>e5</v>
      </c>
      <c r="F17" s="1190" t="str">
        <f>HYPERLINK("https://kaart.delfi.ee/?bookmark=521b80d6ceeefbe3e5d227267242b576","K-Järve spordihoone")</f>
        <v>K-Järve spordihoone</v>
      </c>
      <c r="G17" s="1191" t="s">
        <v>49</v>
      </c>
      <c r="H17" s="1192">
        <v>8</v>
      </c>
      <c r="I17" s="1193">
        <v>32</v>
      </c>
      <c r="J17" s="88"/>
      <c r="K17" s="88"/>
      <c r="L17" s="88"/>
    </row>
    <row r="18" spans="1:12" x14ac:dyDescent="0.2">
      <c r="A18" s="1165" t="s">
        <v>67</v>
      </c>
      <c r="B18" s="1166" t="s">
        <v>50</v>
      </c>
      <c r="C18" s="1165" t="s">
        <v>229</v>
      </c>
      <c r="D18" s="1165" t="s">
        <v>53</v>
      </c>
      <c r="E18" s="94" t="str">
        <f>HYPERLINK("#M2!I1","M2")</f>
        <v>M2</v>
      </c>
      <c r="F18" s="1187" t="str">
        <f>HYPERLINK("https://kaart.delfi.ee//?bookmark=8d4f7582049a644e192eaee97c9e372f","Mäetaguse parkla")</f>
        <v>Mäetaguse parkla</v>
      </c>
      <c r="G18" s="1165" t="s">
        <v>54</v>
      </c>
      <c r="H18" s="1188">
        <v>0</v>
      </c>
      <c r="I18" s="1189">
        <f>M!N31</f>
        <v>15</v>
      </c>
      <c r="J18" s="88"/>
      <c r="K18" s="88"/>
      <c r="L18" s="88"/>
    </row>
    <row r="19" spans="1:12" s="88" customFormat="1" x14ac:dyDescent="0.2">
      <c r="A19" s="1167" t="s">
        <v>216</v>
      </c>
      <c r="B19" s="1169" t="s">
        <v>50</v>
      </c>
      <c r="C19" s="1167" t="s">
        <v>55</v>
      </c>
      <c r="D19" s="1167" t="s">
        <v>48</v>
      </c>
      <c r="E19" s="397" t="str">
        <f>HYPERLINK("#5!J1","5")</f>
        <v>5</v>
      </c>
      <c r="F19" s="1197" t="str">
        <f>HYPERLINK("http://kaart.delfi.ee//?bookmark=ebd616e171f4882941c876d5ba118858","Voka staadion")</f>
        <v>Voka staadion</v>
      </c>
      <c r="G19" s="1182" t="s">
        <v>49</v>
      </c>
      <c r="H19" s="1183">
        <v>2</v>
      </c>
      <c r="I19" s="1184">
        <f>Reit!N60</f>
        <v>38</v>
      </c>
    </row>
    <row r="20" spans="1:12" s="88" customFormat="1" x14ac:dyDescent="0.2">
      <c r="A20" s="711" t="s">
        <v>252</v>
      </c>
      <c r="B20" s="710" t="s">
        <v>50</v>
      </c>
      <c r="C20" s="711" t="s">
        <v>149</v>
      </c>
      <c r="D20" s="711" t="s">
        <v>53</v>
      </c>
      <c r="E20" s="712" t="str">
        <f>HYPERLINK("#24h!H1","24h")</f>
        <v>24h</v>
      </c>
      <c r="F20" s="712" t="str">
        <f>HYPERLINK("http://kaart.delfi.ee//?bookmark=ebd616e171f4882941c876d5ba118858","Voka staadion")</f>
        <v>Voka staadion</v>
      </c>
      <c r="G20" s="713" t="s">
        <v>57</v>
      </c>
      <c r="H20" s="714">
        <v>5</v>
      </c>
      <c r="I20" s="715">
        <v>18</v>
      </c>
    </row>
    <row r="21" spans="1:12" s="88" customFormat="1" x14ac:dyDescent="0.2">
      <c r="A21" s="1160" t="s">
        <v>133</v>
      </c>
      <c r="B21" s="1161" t="s">
        <v>50</v>
      </c>
      <c r="C21" s="1162" t="s">
        <v>236</v>
      </c>
      <c r="D21" s="1162" t="s">
        <v>51</v>
      </c>
      <c r="E21" s="86" t="str">
        <f>HYPERLINK("#V4!G1","V4")</f>
        <v>V4</v>
      </c>
      <c r="F21" s="1185" t="str">
        <f>HYPERLINK("http://kaart.delfi.ee//?bookmark=ebd616e171f4882941c876d5ba118858","Voka staadion")</f>
        <v>Voka staadion</v>
      </c>
      <c r="G21" s="1160" t="s">
        <v>52</v>
      </c>
      <c r="H21" s="1186">
        <v>2</v>
      </c>
      <c r="I21" s="87">
        <f>V!M73</f>
        <v>30</v>
      </c>
    </row>
    <row r="22" spans="1:12" x14ac:dyDescent="0.2">
      <c r="A22" s="7" t="s">
        <v>11</v>
      </c>
      <c r="B22" s="81"/>
      <c r="C22" s="95"/>
      <c r="D22" s="95"/>
      <c r="E22" s="96"/>
      <c r="F22" s="95"/>
      <c r="G22" s="95"/>
      <c r="H22" s="97"/>
      <c r="I22" s="91"/>
      <c r="J22" s="88"/>
      <c r="K22" s="88"/>
      <c r="L22" s="88"/>
    </row>
    <row r="23" spans="1:12" s="88" customFormat="1" x14ac:dyDescent="0.2">
      <c r="A23" s="1163" t="s">
        <v>424</v>
      </c>
      <c r="B23" s="1164" t="s">
        <v>56</v>
      </c>
      <c r="C23" s="1163" t="s">
        <v>430</v>
      </c>
      <c r="D23" s="1163" t="s">
        <v>48</v>
      </c>
      <c r="E23" s="1430" t="str">
        <f>HYPERLINK("#pl!G1","pl")</f>
        <v>pl</v>
      </c>
      <c r="F23" s="1198" t="str">
        <f>HYPERLINK("https://kaart.delfi.ee/?bookmark=63ebb20d0f5732aa12acf360e2b986df","Voka staadion")</f>
        <v>Voka staadion</v>
      </c>
      <c r="G23" s="1199" t="s">
        <v>57</v>
      </c>
      <c r="H23" s="1200">
        <v>5</v>
      </c>
      <c r="I23" s="1201">
        <v>32</v>
      </c>
    </row>
    <row r="24" spans="1:12" x14ac:dyDescent="0.2">
      <c r="A24" s="1165" t="s">
        <v>68</v>
      </c>
      <c r="B24" s="1166" t="s">
        <v>50</v>
      </c>
      <c r="C24" s="1165" t="s">
        <v>230</v>
      </c>
      <c r="D24" s="1165" t="s">
        <v>51</v>
      </c>
      <c r="E24" s="94" t="str">
        <f>HYPERLINK("#M3!I1","M3")</f>
        <v>M3</v>
      </c>
      <c r="F24" s="1187" t="str">
        <f>HYPERLINK("https://kaart.delfi.ee//?bookmark=8d4f7582049a644e192eaee97c9e372f","Mäetaguse parkla")</f>
        <v>Mäetaguse parkla</v>
      </c>
      <c r="G24" s="1165" t="s">
        <v>54</v>
      </c>
      <c r="H24" s="1188">
        <v>0</v>
      </c>
      <c r="I24" s="1189">
        <f>M!O31</f>
        <v>12</v>
      </c>
      <c r="J24" s="88"/>
      <c r="K24" s="88"/>
      <c r="L24" s="88"/>
    </row>
    <row r="25" spans="1:12" s="88" customFormat="1" x14ac:dyDescent="0.2">
      <c r="A25" s="1160" t="s">
        <v>134</v>
      </c>
      <c r="B25" s="1161" t="s">
        <v>50</v>
      </c>
      <c r="C25" s="1162" t="s">
        <v>237</v>
      </c>
      <c r="D25" s="1162" t="s">
        <v>51</v>
      </c>
      <c r="E25" s="86" t="str">
        <f>HYPERLINK("#V5!G1","V5")</f>
        <v>V5</v>
      </c>
      <c r="F25" s="1185" t="str">
        <f>HYPERLINK("http://kaart.delfi.ee//?bookmark=ebd616e171f4882941c876d5ba118858","Voka staadion")</f>
        <v>Voka staadion</v>
      </c>
      <c r="G25" s="1160" t="s">
        <v>52</v>
      </c>
      <c r="H25" s="1186">
        <v>2</v>
      </c>
      <c r="I25" s="87">
        <f>V!N73</f>
        <v>36</v>
      </c>
    </row>
    <row r="26" spans="1:12" s="88" customFormat="1" x14ac:dyDescent="0.2">
      <c r="A26" s="1167" t="s">
        <v>217</v>
      </c>
      <c r="B26" s="1168" t="s">
        <v>46</v>
      </c>
      <c r="C26" s="1167" t="s">
        <v>204</v>
      </c>
      <c r="D26" s="1167" t="s">
        <v>53</v>
      </c>
      <c r="E26" s="875" t="str">
        <f>HYPERLINK("#6!J1","6")</f>
        <v>6</v>
      </c>
      <c r="F26" s="1202" t="str">
        <f>HYPERLINK("https://kaart.delfi.ee/?bookmark=4c0b1b0c24ff9f4919899a9546bf50f1","Jõhvi, Neptun")</f>
        <v>Jõhvi, Neptun</v>
      </c>
      <c r="G26" s="1203" t="s">
        <v>58</v>
      </c>
      <c r="H26" s="1183">
        <v>2</v>
      </c>
      <c r="I26" s="1184">
        <f>Reit!O60</f>
        <v>27</v>
      </c>
    </row>
    <row r="27" spans="1:12" x14ac:dyDescent="0.2">
      <c r="A27" s="1167" t="s">
        <v>218</v>
      </c>
      <c r="B27" s="1169" t="s">
        <v>50</v>
      </c>
      <c r="C27" s="1167" t="s">
        <v>572</v>
      </c>
      <c r="D27" s="1167" t="s">
        <v>51</v>
      </c>
      <c r="E27" s="886"/>
      <c r="F27" s="1212" t="str">
        <f>HYPERLINK("http://kaart.delfi.ee//?bookmark=ebd616e171f4882941c876d5ba118858","Voka staadion")</f>
        <v>Voka staadion</v>
      </c>
      <c r="G27" s="1203" t="s">
        <v>49</v>
      </c>
      <c r="H27" s="1183">
        <v>2</v>
      </c>
      <c r="I27" s="1184">
        <f>Reit!P60</f>
        <v>30</v>
      </c>
      <c r="J27" s="88"/>
      <c r="K27" s="88"/>
      <c r="L27" s="88"/>
    </row>
    <row r="28" spans="1:12" s="88" customFormat="1" x14ac:dyDescent="0.2">
      <c r="A28" s="1160" t="s">
        <v>135</v>
      </c>
      <c r="B28" s="1161" t="s">
        <v>50</v>
      </c>
      <c r="C28" s="1162" t="s">
        <v>238</v>
      </c>
      <c r="D28" s="1162" t="s">
        <v>51</v>
      </c>
      <c r="E28" s="876" t="str">
        <f>HYPERLINK("#V6!G1","V6")</f>
        <v>V6</v>
      </c>
      <c r="F28" s="1204" t="str">
        <f>HYPERLINK("http://kaart.delfi.ee//?bookmark=ebd616e171f4882941c876d5ba118858","Voka staadion")</f>
        <v>Voka staadion</v>
      </c>
      <c r="G28" s="1205" t="s">
        <v>52</v>
      </c>
      <c r="H28" s="1186">
        <v>2</v>
      </c>
      <c r="I28" s="87">
        <f>V!O73</f>
        <v>30</v>
      </c>
    </row>
    <row r="29" spans="1:12" x14ac:dyDescent="0.2">
      <c r="A29" s="1170" t="s">
        <v>219</v>
      </c>
      <c r="B29" s="1169" t="s">
        <v>50</v>
      </c>
      <c r="C29" s="1167" t="s">
        <v>573</v>
      </c>
      <c r="D29" s="1167" t="s">
        <v>51</v>
      </c>
      <c r="E29" s="875" t="str">
        <f>HYPERLINK("#7!J1","7")</f>
        <v>7</v>
      </c>
      <c r="F29" s="1212" t="str">
        <f>HYPERLINK("http://kaart.delfi.ee//?bookmark=ebd616e171f4882941c876d5ba118858","Voka staadion")</f>
        <v>Voka staadion</v>
      </c>
      <c r="G29" s="1203" t="s">
        <v>49</v>
      </c>
      <c r="H29" s="1183" t="s">
        <v>13</v>
      </c>
      <c r="I29" s="1184">
        <f>Reit!P62</f>
        <v>0</v>
      </c>
      <c r="J29" s="88"/>
      <c r="K29" s="88"/>
      <c r="L29" s="88"/>
    </row>
    <row r="30" spans="1:12" x14ac:dyDescent="0.2">
      <c r="A30" s="7" t="s">
        <v>14</v>
      </c>
      <c r="B30" s="81"/>
      <c r="E30" s="90"/>
      <c r="H30" s="82"/>
      <c r="I30" s="91"/>
      <c r="J30" s="88"/>
      <c r="K30" s="88"/>
      <c r="L30" s="88"/>
    </row>
    <row r="31" spans="1:12" x14ac:dyDescent="0.2">
      <c r="A31" s="1160" t="s">
        <v>136</v>
      </c>
      <c r="B31" s="1161" t="s">
        <v>50</v>
      </c>
      <c r="C31" s="1162" t="s">
        <v>239</v>
      </c>
      <c r="D31" s="1162" t="s">
        <v>51</v>
      </c>
      <c r="E31" s="86" t="str">
        <f>HYPERLINK("#V7!G1","V7")</f>
        <v>V7</v>
      </c>
      <c r="F31" s="1185" t="str">
        <f>HYPERLINK("http://kaart.delfi.ee//?bookmark=ebd616e171f4882941c876d5ba118858","Voka staadion")</f>
        <v>Voka staadion</v>
      </c>
      <c r="G31" s="1160" t="s">
        <v>52</v>
      </c>
      <c r="H31" s="1186">
        <v>2</v>
      </c>
      <c r="I31" s="87">
        <f>V!P73</f>
        <v>30</v>
      </c>
      <c r="J31" s="88"/>
      <c r="K31" s="88"/>
      <c r="L31" s="88"/>
    </row>
    <row r="32" spans="1:12" s="88" customFormat="1" x14ac:dyDescent="0.2">
      <c r="A32" s="1167" t="s">
        <v>220</v>
      </c>
      <c r="B32" s="1169" t="s">
        <v>50</v>
      </c>
      <c r="C32" s="1167" t="s">
        <v>203</v>
      </c>
      <c r="D32" s="1167" t="s">
        <v>51</v>
      </c>
      <c r="E32" s="397" t="str">
        <f>HYPERLINK("#8!J1","8")</f>
        <v>8</v>
      </c>
      <c r="F32" s="1206" t="str">
        <f>HYPERLINK("https://kaart.delfi.ee/?bookmark=4c0b1b0c24ff9f4919899a9546bf50f1","Jõhvi, Neptun")</f>
        <v>Jõhvi, Neptun</v>
      </c>
      <c r="G32" s="1182" t="s">
        <v>58</v>
      </c>
      <c r="H32" s="1183">
        <v>2</v>
      </c>
      <c r="I32" s="1184">
        <f>Reit!Q60</f>
        <v>26</v>
      </c>
    </row>
    <row r="33" spans="1:12" s="88" customFormat="1" x14ac:dyDescent="0.2">
      <c r="A33" s="1160" t="s">
        <v>137</v>
      </c>
      <c r="B33" s="1161" t="s">
        <v>50</v>
      </c>
      <c r="C33" s="1162" t="s">
        <v>240</v>
      </c>
      <c r="D33" s="1162" t="s">
        <v>51</v>
      </c>
      <c r="E33" s="86" t="str">
        <f>HYPERLINK("#V8!G1","V8")</f>
        <v>V8</v>
      </c>
      <c r="F33" s="1185" t="str">
        <f>HYPERLINK("http://kaart.delfi.ee//?bookmark=ebd616e171f4882941c876d5ba118858","Voka staadion")</f>
        <v>Voka staadion</v>
      </c>
      <c r="G33" s="1160" t="s">
        <v>52</v>
      </c>
      <c r="H33" s="1186">
        <v>2</v>
      </c>
      <c r="I33" s="87">
        <f>V!Q73</f>
        <v>36</v>
      </c>
    </row>
    <row r="34" spans="1:12" x14ac:dyDescent="0.2">
      <c r="A34" s="1171" t="s">
        <v>587</v>
      </c>
      <c r="B34" s="1168" t="s">
        <v>50</v>
      </c>
      <c r="C34" s="1167" t="s">
        <v>206</v>
      </c>
      <c r="D34" s="1170" t="s">
        <v>48</v>
      </c>
      <c r="E34" s="397" t="str">
        <f>HYPERLINK("#9!L1","9")</f>
        <v>9</v>
      </c>
      <c r="F34" s="1181" t="str">
        <f>HYPERLINK("https://kaart.delfi.ee/?bookmark=521b80d6ceeefbe3e5d227267242b576","K-Järve spordihoone")</f>
        <v>K-Järve spordihoone</v>
      </c>
      <c r="G34" s="1182" t="s">
        <v>49</v>
      </c>
      <c r="H34" s="1183">
        <v>2</v>
      </c>
      <c r="I34" s="1184">
        <f>Reit!R60</f>
        <v>18</v>
      </c>
      <c r="J34" s="88"/>
      <c r="K34" s="88"/>
      <c r="L34" s="88"/>
    </row>
    <row r="35" spans="1:12" x14ac:dyDescent="0.2">
      <c r="A35" s="1172" t="s">
        <v>106</v>
      </c>
      <c r="B35" s="1173" t="s">
        <v>429</v>
      </c>
      <c r="C35" s="1172" t="s">
        <v>107</v>
      </c>
      <c r="D35" s="1172" t="s">
        <v>600</v>
      </c>
      <c r="E35" s="409" t="str">
        <f>HYPERLINK("http://www.petanque.ee/index.php?id=103761&amp;cid=517","e9")</f>
        <v>e9</v>
      </c>
      <c r="F35" s="1190" t="str">
        <f>HYPERLINK("https://kaart.delfi.ee/?bookmark=521b80d6ceeefbe3e5d227267242b576","K-Järve spordihoone")</f>
        <v>K-Järve spordihoone</v>
      </c>
      <c r="G35" s="1191" t="s">
        <v>49</v>
      </c>
      <c r="H35" s="1192">
        <v>8</v>
      </c>
      <c r="I35" s="1193">
        <v>33</v>
      </c>
      <c r="J35" s="88"/>
      <c r="K35" s="88"/>
      <c r="L35" s="88"/>
    </row>
    <row r="36" spans="1:12" x14ac:dyDescent="0.2">
      <c r="A36" s="1172" t="s">
        <v>108</v>
      </c>
      <c r="B36" s="1173" t="s">
        <v>56</v>
      </c>
      <c r="C36" s="1172" t="s">
        <v>109</v>
      </c>
      <c r="D36" s="1172" t="s">
        <v>51</v>
      </c>
      <c r="E36" s="409" t="str">
        <f>HYPERLINK("http://www.petanque.ee/index.php?id=103761&amp;cid=518","e10")</f>
        <v>e10</v>
      </c>
      <c r="F36" s="1190" t="str">
        <f>HYPERLINK("https://kaart.delfi.ee/?bookmark=521b80d6ceeefbe3e5d227267242b576","K-Järve spordihoone")</f>
        <v>K-Järve spordihoone</v>
      </c>
      <c r="G36" s="1191" t="s">
        <v>49</v>
      </c>
      <c r="H36" s="1192">
        <v>8</v>
      </c>
      <c r="I36" s="1193">
        <v>43</v>
      </c>
      <c r="J36" s="88"/>
      <c r="K36" s="88"/>
      <c r="L36" s="88"/>
    </row>
    <row r="37" spans="1:12" x14ac:dyDescent="0.2">
      <c r="A37" s="1167" t="s">
        <v>221</v>
      </c>
      <c r="B37" s="1169" t="s">
        <v>50</v>
      </c>
      <c r="C37" s="1167" t="s">
        <v>205</v>
      </c>
      <c r="D37" s="1167" t="s">
        <v>53</v>
      </c>
      <c r="E37" s="92" t="str">
        <f>HYPERLINK("#10!J1","10")</f>
        <v>10</v>
      </c>
      <c r="F37" s="1181" t="str">
        <f>HYPERLINK("https://kaart.delfi.ee/?bookmark=521b80d6ceeefbe3e5d227267242b576","K-Järve spordihoone")</f>
        <v>K-Järve spordihoone</v>
      </c>
      <c r="G37" s="1182" t="s">
        <v>49</v>
      </c>
      <c r="H37" s="1183">
        <v>2</v>
      </c>
      <c r="I37" s="1184">
        <f>Reit!S60</f>
        <v>16</v>
      </c>
      <c r="J37" s="88"/>
      <c r="K37" s="88"/>
      <c r="L37" s="88"/>
    </row>
    <row r="38" spans="1:12" x14ac:dyDescent="0.2">
      <c r="A38" s="7" t="s">
        <v>15</v>
      </c>
      <c r="B38" s="81"/>
      <c r="E38" s="90"/>
      <c r="H38" s="82"/>
      <c r="I38" s="91"/>
      <c r="J38" s="88"/>
      <c r="K38" s="88"/>
      <c r="L38" s="88"/>
    </row>
    <row r="39" spans="1:12" x14ac:dyDescent="0.2">
      <c r="A39" s="1160" t="s">
        <v>138</v>
      </c>
      <c r="B39" s="1161" t="s">
        <v>50</v>
      </c>
      <c r="C39" s="1162" t="s">
        <v>241</v>
      </c>
      <c r="D39" s="1162" t="s">
        <v>51</v>
      </c>
      <c r="E39" s="86" t="str">
        <f>HYPERLINK("#V9!G1","V9")</f>
        <v>V9</v>
      </c>
      <c r="F39" s="1185" t="str">
        <f>HYPERLINK("http://kaart.delfi.ee//?bookmark=ebd616e171f4882941c876d5ba118858","Voka staadion")</f>
        <v>Voka staadion</v>
      </c>
      <c r="G39" s="1160" t="s">
        <v>52</v>
      </c>
      <c r="H39" s="1186">
        <v>2</v>
      </c>
      <c r="I39" s="87">
        <f>V!R73</f>
        <v>30</v>
      </c>
      <c r="J39" s="88"/>
      <c r="K39" s="88"/>
      <c r="L39" s="88"/>
    </row>
    <row r="40" spans="1:12" s="88" customFormat="1" x14ac:dyDescent="0.2">
      <c r="A40" s="1167" t="s">
        <v>222</v>
      </c>
      <c r="B40" s="1169" t="s">
        <v>46</v>
      </c>
      <c r="C40" s="1167" t="s">
        <v>55</v>
      </c>
      <c r="D40" s="1167" t="s">
        <v>53</v>
      </c>
      <c r="E40" s="397" t="str">
        <f>HYPERLINK("#11!J1","11")</f>
        <v>11</v>
      </c>
      <c r="F40" s="1185" t="str">
        <f>HYPERLINK("http://kaart.delfi.ee//?bookmark=ebd616e171f4882941c876d5ba118858","Voka staadion")</f>
        <v>Voka staadion</v>
      </c>
      <c r="G40" s="1167" t="s">
        <v>49</v>
      </c>
      <c r="H40" s="1183">
        <v>2</v>
      </c>
      <c r="I40" s="1184">
        <f>Reit!T60</f>
        <v>29</v>
      </c>
    </row>
    <row r="41" spans="1:12" x14ac:dyDescent="0.2">
      <c r="A41" s="1170" t="s">
        <v>223</v>
      </c>
      <c r="B41" s="1168" t="s">
        <v>46</v>
      </c>
      <c r="C41" s="1167" t="s">
        <v>206</v>
      </c>
      <c r="D41" s="1170" t="s">
        <v>51</v>
      </c>
      <c r="E41" s="397" t="str">
        <f>HYPERLINK("#12!J1","12")</f>
        <v>12</v>
      </c>
      <c r="F41" s="1207" t="str">
        <f>HYPERLINK("https://kaart.delfi.ee/?bookmark=521b80d6ceeefbe3e5d227267242b576","K-Järve spordihoone")</f>
        <v>K-Järve spordihoone</v>
      </c>
      <c r="G41" s="1182" t="s">
        <v>49</v>
      </c>
      <c r="H41" s="1183">
        <v>2</v>
      </c>
      <c r="I41" s="1184">
        <f>Reit!U60</f>
        <v>14</v>
      </c>
      <c r="J41" s="88"/>
      <c r="K41" s="88"/>
      <c r="L41" s="88"/>
    </row>
    <row r="42" spans="1:12" x14ac:dyDescent="0.2">
      <c r="A42" s="1165" t="s">
        <v>601</v>
      </c>
      <c r="B42" s="1166" t="s">
        <v>46</v>
      </c>
      <c r="C42" s="1165" t="s">
        <v>231</v>
      </c>
      <c r="D42" s="1165" t="s">
        <v>53</v>
      </c>
      <c r="E42" s="943" t="str">
        <f>HYPERLINK("#M4!I1","M4")</f>
        <v>M4</v>
      </c>
      <c r="F42" s="1208" t="str">
        <f>HYPERLINK("http://kaart.delfi.ee/?bookmark=96e8ef31375c7e6041cd302dca543f69","Mäetaguse staadion")</f>
        <v>Mäetaguse staadion</v>
      </c>
      <c r="G42" s="1209" t="s">
        <v>54</v>
      </c>
      <c r="H42" s="1188">
        <v>0</v>
      </c>
      <c r="I42" s="1189">
        <f>M!P31</f>
        <v>12</v>
      </c>
      <c r="J42" s="88"/>
      <c r="K42" s="88"/>
      <c r="L42" s="88"/>
    </row>
    <row r="43" spans="1:12" s="88" customFormat="1" x14ac:dyDescent="0.2">
      <c r="A43" s="1167" t="s">
        <v>224</v>
      </c>
      <c r="B43" s="1169" t="s">
        <v>46</v>
      </c>
      <c r="C43" s="1167" t="s">
        <v>203</v>
      </c>
      <c r="D43" s="1167" t="s">
        <v>48</v>
      </c>
      <c r="E43" s="92" t="str">
        <f>HYPERLINK("#13!J1","13")</f>
        <v>13</v>
      </c>
      <c r="F43" s="1210" t="str">
        <f>HYPERLINK("https://kaart.delfi.ee/?bookmark=4c0b1b0c24ff9f4919899a9546bf50f1","Jõhvi, Neptun")</f>
        <v>Jõhvi, Neptun</v>
      </c>
      <c r="G43" s="1182" t="s">
        <v>58</v>
      </c>
      <c r="H43" s="1183">
        <v>2</v>
      </c>
      <c r="I43" s="1184">
        <f>Reit!V60</f>
        <v>17</v>
      </c>
    </row>
    <row r="44" spans="1:12" x14ac:dyDescent="0.2">
      <c r="A44" s="1160" t="s">
        <v>608</v>
      </c>
      <c r="B44" s="1161" t="s">
        <v>46</v>
      </c>
      <c r="C44" s="1162" t="s">
        <v>242</v>
      </c>
      <c r="D44" s="1162" t="s">
        <v>51</v>
      </c>
      <c r="E44" s="86" t="str">
        <f>HYPERLINK("#V10!G1","V10")</f>
        <v>V10</v>
      </c>
      <c r="F44" s="1185" t="str">
        <f>HYPERLINK("http://kaart.delfi.ee//?bookmark=ebd616e171f4882941c876d5ba118858","Voka staadion")</f>
        <v>Voka staadion</v>
      </c>
      <c r="G44" s="1160" t="s">
        <v>52</v>
      </c>
      <c r="H44" s="1186">
        <v>2</v>
      </c>
      <c r="I44" s="87">
        <f>V!S73</f>
        <v>29</v>
      </c>
      <c r="J44" s="88"/>
      <c r="K44" s="88"/>
      <c r="L44" s="88"/>
    </row>
    <row r="45" spans="1:12" x14ac:dyDescent="0.2">
      <c r="A45" s="7" t="s">
        <v>16</v>
      </c>
      <c r="B45" s="81"/>
      <c r="E45" s="90"/>
      <c r="H45" s="82"/>
      <c r="I45" s="91"/>
      <c r="J45" s="88"/>
      <c r="K45" s="88"/>
      <c r="L45" s="88"/>
    </row>
    <row r="46" spans="1:12" x14ac:dyDescent="0.2">
      <c r="A46" s="1165" t="s">
        <v>69</v>
      </c>
      <c r="B46" s="1166" t="s">
        <v>56</v>
      </c>
      <c r="C46" s="1165" t="s">
        <v>232</v>
      </c>
      <c r="D46" s="1165" t="s">
        <v>48</v>
      </c>
      <c r="E46" s="94" t="str">
        <f>HYPERLINK("#M5!I1","M5")</f>
        <v>M5</v>
      </c>
      <c r="F46" s="1208" t="str">
        <f>HYPERLINK("http://kaart.delfi.ee/?bookmark=96e8ef31375c7e6041cd302dca543f69","Mäetaguse staadion")</f>
        <v>Mäetaguse staadion</v>
      </c>
      <c r="G46" s="1165" t="s">
        <v>54</v>
      </c>
      <c r="H46" s="1188">
        <v>0</v>
      </c>
      <c r="I46" s="1189">
        <f>M!Q31</f>
        <v>12</v>
      </c>
      <c r="J46" s="88"/>
      <c r="K46" s="88"/>
      <c r="L46" s="88"/>
    </row>
    <row r="47" spans="1:12" x14ac:dyDescent="0.2">
      <c r="A47" s="1433" t="s">
        <v>139</v>
      </c>
      <c r="B47" s="1434" t="s">
        <v>46</v>
      </c>
      <c r="C47" s="1364" t="s">
        <v>703</v>
      </c>
      <c r="D47" s="1162" t="s">
        <v>48</v>
      </c>
      <c r="E47" s="86" t="str">
        <f>HYPERLINK("#'V-Fin'!K1","V-Fin")</f>
        <v>V-Fin</v>
      </c>
      <c r="F47" s="1435" t="str">
        <f>HYPERLINK("http://kaart.delfi.ee//?bookmark=ebd616e171f4882941c876d5ba118858","Voka staadion")</f>
        <v>Voka staadion</v>
      </c>
      <c r="G47" s="1433" t="s">
        <v>52</v>
      </c>
      <c r="H47" s="1186">
        <v>2</v>
      </c>
      <c r="I47" s="87">
        <v>31</v>
      </c>
      <c r="J47" s="88"/>
      <c r="K47" s="88"/>
      <c r="L47" s="88"/>
    </row>
    <row r="48" spans="1:12" x14ac:dyDescent="0.2">
      <c r="A48" s="1433"/>
      <c r="B48" s="1434"/>
      <c r="C48" s="1160" t="s">
        <v>61</v>
      </c>
      <c r="D48" s="1162" t="s">
        <v>48</v>
      </c>
      <c r="E48" s="86" t="str">
        <f>HYPERLINK("#'V-Pl'!Z1","V-Pl")</f>
        <v>V-Pl</v>
      </c>
      <c r="F48" s="1435"/>
      <c r="G48" s="1433"/>
      <c r="H48" s="1186">
        <v>5</v>
      </c>
      <c r="I48" s="87">
        <v>33</v>
      </c>
      <c r="J48" s="88"/>
      <c r="K48" s="88"/>
      <c r="L48" s="88"/>
    </row>
    <row r="49" spans="1:12" x14ac:dyDescent="0.2">
      <c r="A49" s="107" t="s">
        <v>246</v>
      </c>
      <c r="B49" s="395" t="s">
        <v>46</v>
      </c>
      <c r="C49" s="98" t="s">
        <v>62</v>
      </c>
      <c r="D49" s="98" t="s">
        <v>48</v>
      </c>
      <c r="E49" s="99" t="str">
        <f>HYPERLINK("#L!W1","L")</f>
        <v>L</v>
      </c>
      <c r="F49" s="84" t="str">
        <f>HYPERLINK("https://kaart.delfi.ee/?bookmark=521b80d6ceeefbe3e5d227267242b576","K-Järve spordihoone")</f>
        <v>K-Järve spordihoone</v>
      </c>
      <c r="G49" s="98" t="s">
        <v>49</v>
      </c>
      <c r="H49" s="1211">
        <v>0</v>
      </c>
      <c r="I49" s="100">
        <v>19</v>
      </c>
      <c r="J49" s="88"/>
      <c r="K49" s="88"/>
      <c r="L49" s="88"/>
    </row>
    <row r="50" spans="1:12" x14ac:dyDescent="0.2">
      <c r="A50" s="247"/>
      <c r="B50" s="248"/>
      <c r="C50" s="248"/>
      <c r="D50" s="248"/>
      <c r="E50" s="248"/>
      <c r="F50" s="248"/>
      <c r="G50" s="248"/>
      <c r="H50" s="248"/>
      <c r="I50" s="248"/>
      <c r="K50" s="88"/>
      <c r="L50" s="88"/>
    </row>
    <row r="51" spans="1:12" x14ac:dyDescent="0.2">
      <c r="A51" s="78" t="s">
        <v>63</v>
      </c>
    </row>
    <row r="52" spans="1:12" x14ac:dyDescent="0.2">
      <c r="A52" s="101" t="s">
        <v>152</v>
      </c>
    </row>
    <row r="53" spans="1:12" x14ac:dyDescent="0.2">
      <c r="A53" s="44" t="s">
        <v>35</v>
      </c>
      <c r="B53" s="102"/>
      <c r="C53" s="102"/>
      <c r="D53" s="102"/>
      <c r="E53" s="102"/>
      <c r="F53" s="102"/>
      <c r="G53" s="102"/>
      <c r="H53" s="88"/>
      <c r="I53" s="88"/>
    </row>
    <row r="54" spans="1:12" s="88" customFormat="1" x14ac:dyDescent="0.2">
      <c r="A54" s="45" t="s">
        <v>23</v>
      </c>
      <c r="B54" s="39"/>
      <c r="C54" s="39"/>
    </row>
    <row r="55" spans="1:12" x14ac:dyDescent="0.2">
      <c r="A55" s="103" t="s">
        <v>64</v>
      </c>
      <c r="B55" s="104"/>
      <c r="C55" s="104"/>
      <c r="D55" s="88"/>
      <c r="E55" s="88"/>
      <c r="F55" s="88"/>
      <c r="G55" s="88"/>
      <c r="H55" s="105"/>
      <c r="I55" s="88"/>
    </row>
    <row r="56" spans="1:12" x14ac:dyDescent="0.2">
      <c r="A56" s="106" t="s">
        <v>21</v>
      </c>
    </row>
  </sheetData>
  <autoFilter ref="A3:H49"/>
  <mergeCells count="5">
    <mergeCell ref="A47:A48"/>
    <mergeCell ref="B47:B48"/>
    <mergeCell ref="F47:F48"/>
    <mergeCell ref="G47:G48"/>
    <mergeCell ref="A16:A17"/>
  </mergeCells>
  <conditionalFormatting sqref="I5:I14 I16 I18:I28 I30:I34 I37:I49">
    <cfRule type="top10" dxfId="903" priority="189" stopIfTrue="1" rank="1"/>
  </conditionalFormatting>
  <conditionalFormatting sqref="I29">
    <cfRule type="top10" dxfId="902" priority="3" stopIfTrue="1" rank="1"/>
  </conditionalFormatting>
  <pageMargins left="0.31496062992125984" right="0.31496062992125984" top="0.98425196850393704" bottom="0.39370078740157483" header="0.59055118110236227" footer="0"/>
  <pageSetup paperSize="9" fitToHeight="0" orientation="portrait" horizontalDpi="180" verticalDpi="180" r:id="rId1"/>
  <headerFooter>
    <oddHeader>&amp;R&amp;"Arial,Regular"&amp;9Page &amp;P of &amp;N</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T135"/>
  <sheetViews>
    <sheetView showGridLines="0" showRowColHeaders="0" tabSelected="1" zoomScaleNormal="100" workbookViewId="0">
      <pane ySplit="3" topLeftCell="A4" activePane="bottomLeft" state="frozen"/>
      <selection activeCell="M42" sqref="M42"/>
      <selection pane="bottomLeft" activeCell="N1" sqref="N1"/>
    </sheetView>
  </sheetViews>
  <sheetFormatPr defaultRowHeight="12.75" x14ac:dyDescent="0.2"/>
  <cols>
    <col min="1" max="1" width="1.7109375" style="3" customWidth="1"/>
    <col min="2" max="2" width="3" style="3" bestFit="1" customWidth="1"/>
    <col min="3" max="3" width="12.7109375" style="3" customWidth="1"/>
    <col min="4" max="4" width="3" style="3" customWidth="1"/>
    <col min="5" max="5" width="7.7109375" style="12" customWidth="1"/>
    <col min="6" max="6" width="3" style="12" bestFit="1" customWidth="1"/>
    <col min="7" max="7" width="14.28515625" style="3" customWidth="1"/>
    <col min="8" max="8" width="3" style="3" bestFit="1" customWidth="1"/>
    <col min="9" max="9" width="1.7109375" style="3" customWidth="1"/>
    <col min="10" max="10" width="3" style="3" bestFit="1" customWidth="1"/>
    <col min="11" max="11" width="18.7109375" style="3" customWidth="1"/>
    <col min="12" max="12" width="3" style="3" bestFit="1" customWidth="1"/>
    <col min="13" max="13" width="19.42578125" style="3" customWidth="1"/>
    <col min="14" max="14" width="3" style="12" customWidth="1"/>
    <col min="15" max="16384" width="9.140625" style="3"/>
  </cols>
  <sheetData>
    <row r="1" spans="1:17" x14ac:dyDescent="0.2">
      <c r="A1" s="1" t="s">
        <v>0</v>
      </c>
      <c r="B1" s="1"/>
      <c r="C1" s="2"/>
      <c r="D1" s="2"/>
      <c r="E1" s="1"/>
      <c r="F1" s="1"/>
      <c r="G1" s="2"/>
      <c r="H1" s="2"/>
      <c r="I1" s="2"/>
      <c r="J1" s="2"/>
      <c r="K1" s="1308" t="s">
        <v>694</v>
      </c>
      <c r="M1" s="396" t="str">
        <f>HYPERLINK("","")</f>
        <v/>
      </c>
      <c r="N1" s="24"/>
      <c r="O1" s="41"/>
    </row>
    <row r="2" spans="1:17" ht="13.5" thickBot="1" x14ac:dyDescent="0.25">
      <c r="A2" s="2"/>
      <c r="B2" s="2"/>
      <c r="C2" s="2"/>
      <c r="D2" s="2"/>
      <c r="E2" s="2"/>
      <c r="F2" s="2"/>
      <c r="G2" s="2"/>
      <c r="H2" s="2"/>
      <c r="I2" s="2"/>
      <c r="J2" s="2"/>
      <c r="K2" s="41"/>
      <c r="L2" s="24"/>
      <c r="M2" s="24"/>
      <c r="N2" s="426"/>
    </row>
    <row r="3" spans="1:17" ht="13.5" thickBot="1" x14ac:dyDescent="0.25">
      <c r="A3" s="4" t="s">
        <v>1</v>
      </c>
      <c r="B3" s="5"/>
      <c r="C3" s="6" t="s">
        <v>2</v>
      </c>
      <c r="D3" s="5"/>
      <c r="E3" s="4" t="s">
        <v>3</v>
      </c>
      <c r="F3" s="5"/>
      <c r="G3" s="4" t="s">
        <v>4</v>
      </c>
      <c r="H3" s="5"/>
      <c r="I3" s="4" t="s">
        <v>5</v>
      </c>
      <c r="J3" s="5"/>
      <c r="K3" s="4" t="s">
        <v>6</v>
      </c>
      <c r="L3" s="5"/>
      <c r="M3" s="4" t="s">
        <v>7</v>
      </c>
      <c r="N3" s="5"/>
      <c r="P3" s="272"/>
    </row>
    <row r="4" spans="1:17" s="12" customFormat="1" ht="13.5" thickBot="1" x14ac:dyDescent="0.25">
      <c r="A4" s="7" t="s">
        <v>8</v>
      </c>
      <c r="B4" s="8"/>
      <c r="C4" s="9"/>
      <c r="D4" s="10"/>
      <c r="E4" s="10"/>
      <c r="F4" s="10"/>
      <c r="G4" s="10"/>
      <c r="H4" s="10"/>
      <c r="I4" s="11"/>
      <c r="J4" s="11"/>
      <c r="K4" s="10"/>
      <c r="L4" s="11"/>
      <c r="M4" s="10"/>
      <c r="N4" s="10"/>
      <c r="O4" s="3"/>
      <c r="P4" s="3"/>
      <c r="Q4" s="3"/>
    </row>
    <row r="5" spans="1:17" s="12" customFormat="1" x14ac:dyDescent="0.2">
      <c r="A5" s="401"/>
      <c r="B5" s="399">
        <v>1</v>
      </c>
      <c r="C5" s="15"/>
      <c r="D5" s="16">
        <v>2</v>
      </c>
      <c r="E5" s="403"/>
      <c r="F5" s="16">
        <v>3</v>
      </c>
      <c r="G5" s="403"/>
      <c r="H5" s="16">
        <v>4</v>
      </c>
      <c r="I5" s="15"/>
      <c r="J5" s="16">
        <v>5</v>
      </c>
      <c r="K5" s="56"/>
      <c r="L5" s="16">
        <v>6</v>
      </c>
      <c r="M5" s="1224" t="str">
        <f>HYPERLINK("#1!G1","K-Järve 16. KV ")</f>
        <v xml:space="preserve">K-Järve 16. KV </v>
      </c>
      <c r="N5" s="16">
        <v>7</v>
      </c>
      <c r="O5" s="3"/>
      <c r="P5" s="3"/>
      <c r="Q5" s="3"/>
    </row>
    <row r="6" spans="1:17" s="26" customFormat="1" x14ac:dyDescent="0.2">
      <c r="A6" s="1213" t="str">
        <f>HYPERLINK("#A!K1","Avavõistlus, ÜKSIK")</f>
        <v>Avavõistlus, ÜKSIK</v>
      </c>
      <c r="B6" s="398"/>
      <c r="C6" s="394"/>
      <c r="D6" s="22"/>
      <c r="E6" s="404"/>
      <c r="F6" s="375"/>
      <c r="G6" s="404"/>
      <c r="H6" s="375"/>
      <c r="I6" s="10"/>
      <c r="J6" s="22"/>
      <c r="K6" s="53"/>
      <c r="L6" s="22"/>
      <c r="M6" s="1225" t="s">
        <v>97</v>
      </c>
      <c r="N6" s="378"/>
      <c r="O6" s="41"/>
      <c r="P6" s="41"/>
      <c r="Q6" s="41"/>
    </row>
    <row r="7" spans="1:17" s="12" customFormat="1" x14ac:dyDescent="0.2">
      <c r="A7" s="1214" t="str">
        <f>HYPERLINK("https://kaart.delfi.ee/?bookmark=521b80d6ceeefbe3e5d227267242b576","K-Järve")</f>
        <v>K-Järve</v>
      </c>
      <c r="B7" s="400"/>
      <c r="C7" s="374"/>
      <c r="D7" s="375"/>
      <c r="E7" s="405"/>
      <c r="F7" s="375"/>
      <c r="G7" s="405"/>
      <c r="H7" s="375"/>
      <c r="I7" s="1387"/>
      <c r="J7" s="1388"/>
      <c r="K7" s="1389"/>
      <c r="L7" s="1388"/>
      <c r="M7" s="1390" t="str">
        <f>HYPERLINK("https://kaart.delfi.ee/?bookmark=521b80d6ceeefbe3e5d227267242b576","K-Järve")</f>
        <v>K-Järve</v>
      </c>
      <c r="N7" s="1391"/>
      <c r="O7" s="3"/>
      <c r="P7" s="370"/>
      <c r="Q7" s="3"/>
    </row>
    <row r="8" spans="1:17" s="12" customFormat="1" ht="12.75" customHeight="1" x14ac:dyDescent="0.2">
      <c r="A8" s="305" t="str">
        <f>HYPERLINK("https://sites.google.com/site/tartupetank/tartu-vaim","13. Tartu Vaim")</f>
        <v>13. Tartu Vaim</v>
      </c>
      <c r="B8" s="402"/>
      <c r="C8" s="291"/>
      <c r="D8" s="22"/>
      <c r="E8" s="377"/>
      <c r="F8" s="375"/>
      <c r="G8" s="377"/>
      <c r="H8" s="372"/>
      <c r="I8" s="1392"/>
      <c r="J8" s="1392" t="s">
        <v>96</v>
      </c>
      <c r="K8" s="1393" t="s">
        <v>26</v>
      </c>
      <c r="L8" s="1394" t="str">
        <f>HYPERLINK("https://www.facebook.com/events/1909475672621679/","inf")</f>
        <v>inf</v>
      </c>
      <c r="M8" s="1393" t="s">
        <v>26</v>
      </c>
      <c r="N8" s="1395"/>
      <c r="O8" s="3"/>
      <c r="P8" s="3"/>
      <c r="Q8" s="3"/>
    </row>
    <row r="9" spans="1:17" ht="13.5" customHeight="1" thickBot="1" x14ac:dyDescent="0.25">
      <c r="A9" s="475" t="str">
        <f>HYPERLINK("https://kaart.delfi.ee/?bookmark=d9da63566809feae32e6ca75683e42cd","Tartu")</f>
        <v>Tartu</v>
      </c>
      <c r="B9" s="373"/>
      <c r="C9" s="579" t="str">
        <f>HYPERLINK("https://webzone.ee/petank/tulemused/2017/tartu-vaim-2017-swiss.jpg","tul")</f>
        <v>tul</v>
      </c>
      <c r="D9" s="284"/>
      <c r="E9" s="283"/>
      <c r="F9" s="284"/>
      <c r="G9" s="283"/>
      <c r="H9" s="284"/>
      <c r="I9" s="49"/>
      <c r="J9" s="21"/>
      <c r="K9" s="164" t="str">
        <f>HYPERLINK("https://www.google.com/maps/dir/48.6191929,22.3089402/@48.6141375,22.2713947,13z/data=!4m2!4m1!3e2?hl=et-ET","Užgorod (Ukraina)")</f>
        <v>Užgorod (Ukraina)</v>
      </c>
      <c r="L9" s="164"/>
      <c r="M9" s="609" t="str">
        <f>HYPERLINK("http://petanque.org.ua/sakura-2017/","tul")</f>
        <v>tul</v>
      </c>
      <c r="N9" s="163"/>
    </row>
    <row r="10" spans="1:17" s="12" customFormat="1" x14ac:dyDescent="0.2">
      <c r="A10" s="277"/>
      <c r="B10" s="16">
        <v>8</v>
      </c>
      <c r="C10" s="15"/>
      <c r="D10" s="16">
        <v>9</v>
      </c>
      <c r="E10" s="1218" t="str">
        <f>HYPERLINK("#V1!G1","Voka 4. ")</f>
        <v xml:space="preserve">Voka 4. </v>
      </c>
      <c r="F10" s="16">
        <v>10</v>
      </c>
      <c r="G10" s="15"/>
      <c r="H10" s="16">
        <v>11</v>
      </c>
      <c r="I10" s="15"/>
      <c r="J10" s="16">
        <v>12</v>
      </c>
      <c r="K10" s="15"/>
      <c r="L10" s="16">
        <v>13</v>
      </c>
      <c r="M10" s="1226" t="str">
        <f>HYPERLINK("#2!J1","K-Järve 16. KV ")</f>
        <v xml:space="preserve">K-Järve 16. KV </v>
      </c>
      <c r="N10" s="16">
        <v>14</v>
      </c>
      <c r="O10" s="3"/>
      <c r="P10" s="3"/>
      <c r="Q10" s="3"/>
    </row>
    <row r="11" spans="1:17" s="12" customFormat="1" x14ac:dyDescent="0.2">
      <c r="A11" s="377"/>
      <c r="B11" s="22"/>
      <c r="C11" s="405"/>
      <c r="D11" s="22"/>
      <c r="E11" s="1219" t="s">
        <v>123</v>
      </c>
      <c r="F11" s="300"/>
      <c r="G11" s="10"/>
      <c r="H11" s="18"/>
      <c r="I11" s="10"/>
      <c r="J11" s="18"/>
      <c r="K11" s="10"/>
      <c r="L11" s="18"/>
      <c r="M11" s="1225" t="s">
        <v>207</v>
      </c>
      <c r="N11" s="386"/>
      <c r="O11" s="3"/>
      <c r="P11" s="3"/>
      <c r="Q11" s="3"/>
    </row>
    <row r="12" spans="1:17" ht="13.5" thickBot="1" x14ac:dyDescent="0.25">
      <c r="A12" s="283"/>
      <c r="B12" s="22"/>
      <c r="C12" s="10"/>
      <c r="D12" s="22"/>
      <c r="E12" s="1220" t="str">
        <f>HYPERLINK("http://kaart.delfi.ee//?bookmark=ebd616e171f4882941c876d5ba118858","Voka")</f>
        <v>Voka</v>
      </c>
      <c r="F12" s="297"/>
      <c r="G12" s="21"/>
      <c r="H12" s="20"/>
      <c r="I12" s="21"/>
      <c r="J12" s="20"/>
      <c r="K12" s="21"/>
      <c r="L12" s="20"/>
      <c r="M12" s="1227" t="str">
        <f>HYPERLINK("https://kaart.delfi.ee/?bookmark=521b80d6ceeefbe3e5d227267242b576","K-Järve")</f>
        <v>K-Järve</v>
      </c>
      <c r="N12" s="381"/>
    </row>
    <row r="13" spans="1:17" s="12" customFormat="1" x14ac:dyDescent="0.2">
      <c r="A13" s="13"/>
      <c r="B13" s="16">
        <v>15</v>
      </c>
      <c r="C13" s="1215" t="str">
        <f>HYPERLINK("#M1!J1","Mäetaguse 8. ")</f>
        <v xml:space="preserve">Mäetaguse 8. </v>
      </c>
      <c r="D13" s="16">
        <v>16</v>
      </c>
      <c r="E13" s="376"/>
      <c r="F13" s="16">
        <v>17</v>
      </c>
      <c r="G13" s="15"/>
      <c r="H13" s="16">
        <v>18</v>
      </c>
      <c r="I13" s="15"/>
      <c r="J13" s="16">
        <v>19</v>
      </c>
      <c r="K13" s="1232" t="str">
        <f>HYPERLINK("http://www.petanque.ee/index.php?id=103761&amp;cid=503","EPKL reiting, ")</f>
        <v xml:space="preserve">EPKL reiting, </v>
      </c>
      <c r="L13" s="16">
        <v>20</v>
      </c>
      <c r="M13" s="351" t="str">
        <f>HYPERLINK("http://www.petanque.ee/index.php?id=103761&amp;cid=504","EM, MM katsevõist-")</f>
        <v>EM, MM katsevõist-</v>
      </c>
      <c r="N13" s="16">
        <v>21</v>
      </c>
      <c r="O13" s="3"/>
      <c r="P13" s="350"/>
      <c r="Q13" s="3"/>
    </row>
    <row r="14" spans="1:17" s="12" customFormat="1" hidden="1" x14ac:dyDescent="0.2">
      <c r="A14" s="17"/>
      <c r="B14" s="18"/>
      <c r="C14" s="371"/>
      <c r="E14" s="374"/>
      <c r="G14" s="10"/>
      <c r="H14" s="18"/>
      <c r="I14" s="10"/>
      <c r="J14" s="18"/>
      <c r="K14" s="1233" t="s">
        <v>9</v>
      </c>
      <c r="L14" s="18"/>
      <c r="M14" s="10"/>
      <c r="N14" s="18"/>
      <c r="O14" s="3"/>
      <c r="P14" s="3"/>
      <c r="Q14" s="3"/>
    </row>
    <row r="15" spans="1:17" s="12" customFormat="1" x14ac:dyDescent="0.2">
      <c r="A15" s="17"/>
      <c r="B15" s="18"/>
      <c r="C15" s="1216" t="s">
        <v>30</v>
      </c>
      <c r="D15" s="72"/>
      <c r="E15" s="374"/>
      <c r="F15" s="282"/>
      <c r="G15" s="10"/>
      <c r="H15" s="18"/>
      <c r="I15" s="10"/>
      <c r="J15" s="18"/>
      <c r="K15" s="371" t="s">
        <v>9</v>
      </c>
      <c r="L15" s="282"/>
      <c r="M15" s="54" t="s">
        <v>245</v>
      </c>
      <c r="N15" s="282"/>
      <c r="O15" s="3"/>
      <c r="P15" s="3"/>
      <c r="Q15" s="3"/>
    </row>
    <row r="16" spans="1:17" s="371" customFormat="1" x14ac:dyDescent="0.2">
      <c r="A16" s="377"/>
      <c r="B16" s="282"/>
      <c r="C16" s="1217" t="str">
        <f>HYPERLINK("https://kaart.delfi.ee//?bookmark=8d4f7582049a644e192eaee97c9e372f","Mäetaguse parkla")</f>
        <v>Mäetaguse parkla</v>
      </c>
      <c r="D16" s="72"/>
      <c r="E16" s="374"/>
      <c r="F16" s="282"/>
      <c r="G16" s="374"/>
      <c r="H16" s="282"/>
      <c r="I16" s="374"/>
      <c r="J16" s="282"/>
      <c r="K16" s="1396" t="str">
        <f>HYPERLINK("https://kaart.delfi.ee//?bookmark=36ee67ba7cba151859305c222805d114","Saku")</f>
        <v>Saku</v>
      </c>
      <c r="L16" s="1397"/>
      <c r="M16" s="1398" t="str">
        <f>HYPERLINK("https://kaart.delfi.ee//?bookmark=36ee67ba7cba151859305c222805d114","Saku")</f>
        <v>Saku</v>
      </c>
      <c r="N16" s="1397"/>
      <c r="O16" s="370"/>
      <c r="P16" s="370"/>
      <c r="Q16" s="370"/>
    </row>
    <row r="17" spans="1:20" s="12" customFormat="1" ht="12.75" customHeight="1" thickBot="1" x14ac:dyDescent="0.25">
      <c r="A17" s="17"/>
      <c r="B17" s="18"/>
      <c r="C17" s="75"/>
      <c r="D17" s="74"/>
      <c r="E17" s="374"/>
      <c r="F17" s="375"/>
      <c r="G17" s="10"/>
      <c r="H17" s="18"/>
      <c r="I17" s="10"/>
      <c r="J17" s="18"/>
      <c r="K17" s="1399" t="str">
        <f>HYPERLINK("https://boule.lv/kalendars/01072017-baltic_cup_2017_est_posms/nolikums?y=2012&amp;m=2","Baltic Cup 1.etapp, TRIO")</f>
        <v>Baltic Cup 1.etapp, TRIO</v>
      </c>
      <c r="L17" s="1400"/>
      <c r="M17" s="1401" t="str">
        <f>HYPERLINK("http://petanque.lv/events/170/baltic-cup-2017-sauli/","Šiauliai (Leedu)")</f>
        <v>Šiauliai (Leedu)</v>
      </c>
      <c r="N17" s="1402"/>
      <c r="O17" s="3"/>
      <c r="P17" s="350"/>
      <c r="Q17" s="3"/>
    </row>
    <row r="18" spans="1:20" s="12" customFormat="1" ht="13.5" hidden="1" customHeight="1" x14ac:dyDescent="0.2">
      <c r="A18" s="17"/>
      <c r="B18" s="18"/>
      <c r="C18" s="71"/>
      <c r="D18" s="72"/>
      <c r="E18" s="374"/>
      <c r="F18" s="282"/>
      <c r="G18" s="10"/>
      <c r="H18" s="18"/>
      <c r="I18" s="10"/>
      <c r="J18" s="18"/>
      <c r="K18" s="50" t="s">
        <v>9</v>
      </c>
      <c r="L18" s="18"/>
      <c r="M18" s="388"/>
      <c r="N18" s="18"/>
      <c r="O18" s="3"/>
      <c r="P18" s="3"/>
      <c r="Q18" s="3"/>
    </row>
    <row r="19" spans="1:20" s="12" customFormat="1" ht="13.5" hidden="1" customHeight="1" thickBot="1" x14ac:dyDescent="0.25">
      <c r="A19" s="19"/>
      <c r="B19" s="20"/>
      <c r="C19" s="165"/>
      <c r="D19" s="73"/>
      <c r="E19" s="373"/>
      <c r="F19" s="284"/>
      <c r="G19" s="21"/>
      <c r="H19" s="20"/>
      <c r="I19" s="21"/>
      <c r="J19" s="20"/>
      <c r="L19" s="20"/>
      <c r="M19" s="716"/>
      <c r="N19" s="20"/>
      <c r="O19" s="3"/>
      <c r="P19" s="3"/>
      <c r="Q19" s="3"/>
    </row>
    <row r="20" spans="1:20" s="12" customFormat="1" x14ac:dyDescent="0.2">
      <c r="A20" s="13"/>
      <c r="B20" s="16">
        <v>22</v>
      </c>
      <c r="C20" s="15"/>
      <c r="D20" s="16">
        <v>23</v>
      </c>
      <c r="E20" s="1218" t="str">
        <f>HYPERLINK("#V2!G1","Voka 4. ")</f>
        <v xml:space="preserve">Voka 4. </v>
      </c>
      <c r="F20" s="16">
        <v>24</v>
      </c>
      <c r="G20" s="1242" t="str">
        <f>HYPERLINK("#3!J1","K-Järve 16. KV ")</f>
        <v xml:space="preserve">K-Järve 16. KV </v>
      </c>
      <c r="H20" s="16">
        <v>25</v>
      </c>
      <c r="I20" s="15"/>
      <c r="J20" s="16">
        <v>26</v>
      </c>
      <c r="K20" s="1237" t="s">
        <v>384</v>
      </c>
      <c r="L20" s="16">
        <v>27</v>
      </c>
      <c r="M20" s="1228" t="str">
        <f>HYPERLINK("http://www.valgapetank.ee/moodul.php?moodul=CMS&amp;Komponent=NewsFront&amp;f=viewNews&amp;id=221","EMSL Jõud MV, ")</f>
        <v xml:space="preserve">EMSL Jõud MV, </v>
      </c>
      <c r="N20" s="16">
        <v>28</v>
      </c>
      <c r="O20" s="3"/>
      <c r="P20" s="350"/>
      <c r="Q20" s="3"/>
    </row>
    <row r="21" spans="1:20" s="371" customFormat="1" x14ac:dyDescent="0.2">
      <c r="A21" s="377"/>
      <c r="B21" s="375"/>
      <c r="C21" s="1223" t="str">
        <f>HYPERLINK("http://www.valgapetank.ee/moodul.php?moodul=CMS&amp;Komponent=NewsFront&amp;f=viewNews&amp;id=220","ESVL MV registr")</f>
        <v>ESVL MV registr</v>
      </c>
      <c r="D21" s="375"/>
      <c r="E21" s="1219" t="s">
        <v>124</v>
      </c>
      <c r="F21" s="382"/>
      <c r="G21" s="1225" t="s">
        <v>261</v>
      </c>
      <c r="H21" s="378"/>
      <c r="I21" s="374"/>
      <c r="J21" s="375"/>
      <c r="K21" s="374" t="s">
        <v>211</v>
      </c>
      <c r="L21" s="375"/>
      <c r="M21" s="1229" t="s">
        <v>213</v>
      </c>
      <c r="N21" s="375"/>
      <c r="O21" s="370"/>
      <c r="P21" s="370"/>
      <c r="Q21" s="370"/>
    </row>
    <row r="22" spans="1:20" s="371" customFormat="1" x14ac:dyDescent="0.2">
      <c r="A22" s="377"/>
      <c r="B22" s="375"/>
      <c r="C22" s="1223" t="str">
        <f>HYPERLINK("http://www.joud.ee/est/g161/","Jõud MV registr")</f>
        <v>Jõud MV registr</v>
      </c>
      <c r="D22" s="375"/>
      <c r="E22" s="1220" t="str">
        <f>HYPERLINK("http://kaart.delfi.ee//?bookmark=ebd616e171f4882941c876d5ba118858","Voka")</f>
        <v>Voka</v>
      </c>
      <c r="F22" s="382"/>
      <c r="G22" s="1403" t="str">
        <f>HYPERLINK("https://kaart.delfi.ee/?bookmark=521b80d6ceeefbe3e5d227267242b576","K-Järve")</f>
        <v>K-Järve</v>
      </c>
      <c r="H22" s="1385"/>
      <c r="I22" s="374"/>
      <c r="J22" s="375"/>
      <c r="K22" s="1238" t="s">
        <v>212</v>
      </c>
      <c r="L22" s="375"/>
      <c r="N22" s="375"/>
      <c r="O22" s="370"/>
      <c r="P22" s="370"/>
      <c r="Q22" s="370"/>
    </row>
    <row r="23" spans="1:20" s="371" customFormat="1" x14ac:dyDescent="0.2">
      <c r="A23" s="377"/>
      <c r="B23" s="375"/>
      <c r="D23" s="375"/>
      <c r="E23" s="238"/>
      <c r="F23" s="382"/>
      <c r="G23" s="1404" t="s">
        <v>249</v>
      </c>
      <c r="H23" s="1405"/>
      <c r="I23" s="374"/>
      <c r="J23" s="375"/>
      <c r="K23" s="1230" t="str">
        <f>HYPERLINK("https://kaart.delfi.ee//?bookmark=2a5ec780031a77057ec1ba6937023e5b","Valga, Pärna pst 17a")</f>
        <v>Valga, Pärna pst 17a</v>
      </c>
      <c r="L23" s="574" t="str">
        <f>HYPERLINK("http://www.valgapetank.ee/moodul.php?moodul=CMS&amp;Komponent=NewsFront&amp;f=viewNews&amp;id=220","juh")</f>
        <v>juh</v>
      </c>
      <c r="M23" s="1230" t="str">
        <f>HYPERLINK("https://kaart.delfi.ee/?bookmark=037591353bf9698628b723dab6c5e799","Valga")</f>
        <v>Valga</v>
      </c>
      <c r="N23" s="574" t="str">
        <f>HYPERLINK("http://www.joud.ee/est/g78s4083","juh")</f>
        <v>juh</v>
      </c>
      <c r="O23" s="370"/>
      <c r="P23" s="370"/>
      <c r="Q23" s="370"/>
    </row>
    <row r="24" spans="1:20" s="12" customFormat="1" hidden="1" x14ac:dyDescent="0.2">
      <c r="A24" s="17"/>
      <c r="B24" s="18"/>
      <c r="C24" s="10"/>
      <c r="D24" s="18"/>
      <c r="E24" s="238"/>
      <c r="F24" s="300"/>
      <c r="G24" s="50" t="s">
        <v>29</v>
      </c>
      <c r="H24" s="637"/>
      <c r="I24" s="10"/>
      <c r="J24" s="18"/>
      <c r="K24" s="941"/>
      <c r="L24" s="18"/>
      <c r="M24" s="377"/>
      <c r="N24" s="282"/>
      <c r="O24" s="3"/>
      <c r="P24" s="3"/>
      <c r="Q24" s="3"/>
    </row>
    <row r="25" spans="1:20" ht="13.5" thickBot="1" x14ac:dyDescent="0.25">
      <c r="A25" s="19"/>
      <c r="B25" s="20"/>
      <c r="C25" s="21"/>
      <c r="D25" s="20"/>
      <c r="E25" s="239"/>
      <c r="F25" s="297"/>
      <c r="G25" s="49" t="s">
        <v>28</v>
      </c>
      <c r="H25" s="638" t="str">
        <f>HYPERLINK("http://pet.pp.fi/temp/kilpailukutsut/2017/baltique_duppeli_20170525.pdf","inf")</f>
        <v>inf</v>
      </c>
      <c r="I25" s="373"/>
      <c r="J25" s="20"/>
      <c r="K25" s="304" t="str">
        <f>HYPERLINK("https://webzone.ee/petankt/tabelid/esl-2017.xlsx","tulem")</f>
        <v>tulem</v>
      </c>
      <c r="L25" s="46" t="str">
        <f>HYPERLINK("http://esvl.ee/uus/wp-content/uploads/2017/06/Petanque-meistriv%C3%B5istlused-seeniorsportlastele-2017-2.xlsx","tul")</f>
        <v>tul</v>
      </c>
      <c r="M25" s="304" t="str">
        <f>HYPERLINK("https://webzone.ee/petankt/tabelid/emsl-joud-2017.xlsx","tulem")</f>
        <v>tulem</v>
      </c>
      <c r="N25" s="46" t="str">
        <f>HYPERLINK("http://www.joud.ee/est/g79s4103","tul")</f>
        <v>tul</v>
      </c>
    </row>
    <row r="26" spans="1:20" ht="13.5" thickBot="1" x14ac:dyDescent="0.25">
      <c r="A26" s="7" t="s">
        <v>10</v>
      </c>
      <c r="B26" s="23"/>
      <c r="C26" s="9"/>
      <c r="D26" s="11"/>
      <c r="E26" s="374"/>
      <c r="F26" s="11"/>
      <c r="G26" s="10"/>
      <c r="H26" s="11"/>
      <c r="I26" s="11"/>
      <c r="J26" s="11"/>
      <c r="K26" s="374"/>
      <c r="L26" s="11"/>
      <c r="M26" s="374"/>
      <c r="N26" s="11"/>
    </row>
    <row r="27" spans="1:20" s="12" customFormat="1" x14ac:dyDescent="0.2">
      <c r="A27" s="13"/>
      <c r="B27" s="16">
        <v>29</v>
      </c>
      <c r="C27" s="15"/>
      <c r="D27" s="16">
        <v>30</v>
      </c>
      <c r="E27" s="376"/>
      <c r="F27" s="241">
        <v>31</v>
      </c>
      <c r="G27" s="15"/>
      <c r="H27" s="16">
        <v>1</v>
      </c>
      <c r="I27" s="15"/>
      <c r="J27" s="16">
        <v>2</v>
      </c>
      <c r="K27" s="1232" t="str">
        <f>HYPERLINK("http://www.petanque.ee/index.php?id=103761&amp;cid=505","20. Eesti MV, ")</f>
        <v xml:space="preserve">20. Eesti MV, </v>
      </c>
      <c r="L27" s="16">
        <v>3</v>
      </c>
      <c r="M27" s="1232" t="str">
        <f>HYPERLINK("http://www.petanque.ee/index.php?id=103761&amp;cid=506","EPKL reiting,")</f>
        <v>EPKL reiting,</v>
      </c>
      <c r="N27" s="14">
        <v>4</v>
      </c>
      <c r="O27" s="3"/>
      <c r="P27" s="350"/>
      <c r="Q27" s="3"/>
    </row>
    <row r="28" spans="1:20" s="12" customFormat="1" x14ac:dyDescent="0.2">
      <c r="A28" s="17"/>
      <c r="B28" s="18"/>
      <c r="C28" s="374"/>
      <c r="D28" s="18"/>
      <c r="E28" s="374"/>
      <c r="F28" s="242"/>
      <c r="G28" s="10"/>
      <c r="H28" s="18"/>
      <c r="I28" s="10"/>
      <c r="J28" s="375"/>
      <c r="K28" s="1233" t="s">
        <v>99</v>
      </c>
      <c r="L28" s="18"/>
      <c r="M28" s="1233" t="s">
        <v>9</v>
      </c>
      <c r="N28" s="18"/>
      <c r="O28" s="3"/>
      <c r="P28" s="3"/>
      <c r="Q28" s="3"/>
    </row>
    <row r="29" spans="1:20" s="371" customFormat="1" x14ac:dyDescent="0.2">
      <c r="A29" s="377"/>
      <c r="B29" s="282"/>
      <c r="C29" s="374"/>
      <c r="D29" s="282"/>
      <c r="E29" s="374"/>
      <c r="F29" s="242"/>
      <c r="G29" s="374"/>
      <c r="H29" s="282"/>
      <c r="I29" s="377"/>
      <c r="J29" s="375"/>
      <c r="K29" s="1406" t="str">
        <f>HYPERLINK("https://kaart.delfi.ee//?bookmark=f8094d103086679871eb6f8621cfcd24","Uuskalda (Läänemaa)")</f>
        <v>Uuskalda (Läänemaa)</v>
      </c>
      <c r="L29" s="282"/>
      <c r="M29" s="1407" t="str">
        <f>HYPERLINK("https://kaart.delfi.ee//?bookmark=f8094d103086679871eb6f8621cfcd24","Uuskalda (Läänemaa)")</f>
        <v>Uuskalda (Läänemaa)</v>
      </c>
      <c r="N29" s="1397"/>
      <c r="O29" s="370"/>
      <c r="P29" s="370"/>
      <c r="Q29" s="370"/>
    </row>
    <row r="30" spans="1:20" s="371" customFormat="1" x14ac:dyDescent="0.2">
      <c r="A30" s="377"/>
      <c r="B30" s="282"/>
      <c r="C30" s="374"/>
      <c r="D30" s="282"/>
      <c r="E30" s="374"/>
      <c r="F30" s="242"/>
      <c r="G30" s="374"/>
      <c r="H30" s="282"/>
      <c r="I30" s="377"/>
      <c r="J30" s="1409" t="str">
        <f>HYPERLINK("http://petanque.planet.ee/kalender/kalender.php?view=yritus&amp;id=1323","Hansacandle, DUO")</f>
        <v>Hansacandle, DUO</v>
      </c>
      <c r="K30" s="1406"/>
      <c r="L30" s="282"/>
      <c r="M30" s="1408" t="str">
        <f>HYPERLINK("http://petanque.planet.ee/kalender/kalender.php?view=yritus&amp;id=1324","Hansaturniir, TRIO")</f>
        <v>Hansaturniir, TRIO</v>
      </c>
      <c r="N30" s="1400"/>
      <c r="O30" s="370"/>
      <c r="P30" s="370"/>
      <c r="Q30" s="370"/>
    </row>
    <row r="31" spans="1:20" ht="13.5" thickBot="1" x14ac:dyDescent="0.25">
      <c r="A31" s="243"/>
      <c r="B31" s="244"/>
      <c r="C31" s="245"/>
      <c r="D31" s="244"/>
      <c r="E31" s="245"/>
      <c r="F31" s="246"/>
      <c r="G31" s="708" t="str">
        <f>HYPERLINK("https://www.facebook.com/toomas.hoole/posts/1661346753893426","tul")</f>
        <v>tul</v>
      </c>
      <c r="H31" s="20"/>
      <c r="I31" s="706"/>
      <c r="J31" s="1240" t="str">
        <f>HYPERLINK("https://kaart.delfi.ee/?bookmark=a13a9530590da153a95a150c883f6040","Viljandi")</f>
        <v>Viljandi</v>
      </c>
      <c r="K31" s="390"/>
      <c r="L31" s="707"/>
      <c r="M31" s="1234" t="str">
        <f>HYPERLINK("https://kaart.delfi.ee/?bookmark=a13a9530590da153a95a150c883f6040","Viljandi")</f>
        <v>Viljandi</v>
      </c>
      <c r="N31" s="707"/>
      <c r="O31" s="272"/>
      <c r="P31" s="272"/>
      <c r="Q31" s="272"/>
      <c r="R31" s="272"/>
      <c r="S31" s="272"/>
      <c r="T31" s="272"/>
    </row>
    <row r="32" spans="1:20" s="12" customFormat="1" ht="13.5" thickTop="1" x14ac:dyDescent="0.2">
      <c r="A32" s="17"/>
      <c r="B32" s="240">
        <v>5</v>
      </c>
      <c r="C32" s="10"/>
      <c r="D32" s="240">
        <v>6</v>
      </c>
      <c r="E32" s="1221" t="str">
        <f>HYPERLINK("#V3!G1","Voka 4. ")</f>
        <v xml:space="preserve">Voka 4. </v>
      </c>
      <c r="F32" s="240">
        <v>7</v>
      </c>
      <c r="G32" s="1224" t="str">
        <f>HYPERLINK("#4!J1","Ivari karikas, ")</f>
        <v xml:space="preserve">Ivari karikas, </v>
      </c>
      <c r="H32" s="16">
        <v>8</v>
      </c>
      <c r="I32" s="15"/>
      <c r="J32" s="16">
        <v>9</v>
      </c>
      <c r="K32" s="1232" t="str">
        <f>HYPERLINK("http://www.petanque.ee/index.php?id=103761&amp;cid=507","27. Eesti MV, ")</f>
        <v xml:space="preserve">27. Eesti MV, </v>
      </c>
      <c r="L32" s="280">
        <v>10</v>
      </c>
      <c r="M32" s="1232" t="str">
        <f>HYPERLINK("http://www.petanque.ee/index.php?id=103761&amp;cid=508","17. Eesti MV, ")</f>
        <v xml:space="preserve">17. Eesti MV, </v>
      </c>
      <c r="N32" s="280">
        <v>11</v>
      </c>
      <c r="O32" s="272"/>
      <c r="Q32" s="272"/>
      <c r="R32" s="350"/>
      <c r="S32" s="272"/>
      <c r="T32" s="272"/>
    </row>
    <row r="33" spans="1:20" s="12" customFormat="1" x14ac:dyDescent="0.2">
      <c r="A33" s="17"/>
      <c r="B33" s="22"/>
      <c r="C33" s="10"/>
      <c r="D33" s="22"/>
      <c r="E33" s="1222" t="s">
        <v>125</v>
      </c>
      <c r="F33" s="234"/>
      <c r="G33" s="383" t="s">
        <v>148</v>
      </c>
      <c r="H33" s="378"/>
      <c r="I33" s="377"/>
      <c r="J33" s="22"/>
      <c r="K33" s="1239" t="s">
        <v>96</v>
      </c>
      <c r="L33" s="282"/>
      <c r="M33" s="1233" t="s">
        <v>148</v>
      </c>
      <c r="N33" s="282"/>
      <c r="O33" s="272"/>
      <c r="Q33" s="272"/>
      <c r="R33" s="272"/>
      <c r="S33" s="272"/>
      <c r="T33" s="272"/>
    </row>
    <row r="34" spans="1:20" s="12" customFormat="1" x14ac:dyDescent="0.2">
      <c r="A34" s="17"/>
      <c r="B34" s="22"/>
      <c r="C34" s="10"/>
      <c r="D34" s="22"/>
      <c r="E34" s="1221" t="str">
        <f>HYPERLINK("http://kaart.delfi.ee//?bookmark=ebd616e171f4882941c876d5ba118858","Voka")</f>
        <v>Voka</v>
      </c>
      <c r="F34" s="234"/>
      <c r="G34" s="1241" t="str">
        <f>HYPERLINK("https://kaart.delfi.ee/?bookmark=521b80d6ceeefbe3e5d227267242b576","K-Järve")</f>
        <v>K-Järve</v>
      </c>
      <c r="H34" s="378"/>
      <c r="I34" s="377"/>
      <c r="J34" s="22"/>
      <c r="K34" s="1410" t="str">
        <f>HYPERLINK("https://kaart.delfi.ee/?bookmark=4c0b1b0c24ff9f4919899a9546bf50f1","Jõhvi, Neptun")</f>
        <v>Jõhvi, Neptun</v>
      </c>
      <c r="L34" s="282"/>
      <c r="M34" s="1411" t="str">
        <f>HYPERLINK("https://kaart.delfi.ee/?bookmark=521b80d6ceeefbe3e5d227267242b576","K-Järve")</f>
        <v>K-Järve</v>
      </c>
      <c r="N34" s="1397"/>
      <c r="O34" s="272"/>
      <c r="Q34" s="272"/>
      <c r="R34" s="272"/>
      <c r="S34" s="272"/>
      <c r="T34" s="272"/>
    </row>
    <row r="35" spans="1:20" s="12" customFormat="1" x14ac:dyDescent="0.2">
      <c r="A35" s="17"/>
      <c r="B35" s="22"/>
      <c r="C35" s="10"/>
      <c r="D35" s="22"/>
      <c r="E35" s="236"/>
      <c r="F35" s="234"/>
      <c r="G35" s="575"/>
      <c r="H35" s="576"/>
      <c r="I35" s="388"/>
      <c r="J35" s="423"/>
      <c r="K35" s="1229"/>
      <c r="L35" s="282"/>
      <c r="M35" s="1412" t="str">
        <f>HYPERLINK("#Mu!h1","Toila valla lahtised MV ")</f>
        <v xml:space="preserve">Toila valla lahtised MV </v>
      </c>
      <c r="N35" s="1413"/>
      <c r="O35" s="272"/>
      <c r="P35" s="350"/>
      <c r="Q35" s="272"/>
      <c r="R35" s="272"/>
      <c r="S35" s="272"/>
      <c r="T35" s="272"/>
    </row>
    <row r="36" spans="1:20" s="12" customFormat="1" x14ac:dyDescent="0.2">
      <c r="A36" s="17"/>
      <c r="B36" s="22"/>
      <c r="C36" s="374"/>
      <c r="D36" s="22"/>
      <c r="E36" s="238"/>
      <c r="F36" s="237"/>
      <c r="G36" s="575"/>
      <c r="H36" s="576"/>
      <c r="I36" s="377"/>
      <c r="J36" s="375"/>
      <c r="K36" s="374"/>
      <c r="L36" s="375"/>
      <c r="M36" s="1235" t="s">
        <v>110</v>
      </c>
      <c r="N36" s="167"/>
      <c r="O36" s="272"/>
      <c r="P36" s="272"/>
      <c r="Q36" s="272"/>
      <c r="R36" s="272"/>
      <c r="S36" s="272"/>
      <c r="T36" s="272"/>
    </row>
    <row r="37" spans="1:20" ht="13.5" thickBot="1" x14ac:dyDescent="0.25">
      <c r="A37" s="17"/>
      <c r="B37" s="22"/>
      <c r="C37" s="374"/>
      <c r="D37" s="22"/>
      <c r="E37" s="239"/>
      <c r="F37" s="297"/>
      <c r="G37" s="577"/>
      <c r="H37" s="578"/>
      <c r="I37" s="283"/>
      <c r="J37" s="284"/>
      <c r="K37" s="1159"/>
      <c r="L37" s="379"/>
      <c r="M37" s="1236" t="str">
        <f>HYPERLINK("https://kaart.delfi.ee/?bookmark=63ebb20d0f5732aa12acf360e2b986df","Voka")</f>
        <v>Voka</v>
      </c>
      <c r="N37" s="168"/>
      <c r="O37" s="272"/>
      <c r="P37" s="371"/>
      <c r="Q37" s="272"/>
      <c r="R37" s="272"/>
      <c r="S37" s="272"/>
      <c r="T37" s="272"/>
    </row>
    <row r="38" spans="1:20" s="12" customFormat="1" x14ac:dyDescent="0.2">
      <c r="A38" s="13"/>
      <c r="B38" s="16">
        <v>12</v>
      </c>
      <c r="C38" s="1215" t="str">
        <f>HYPERLINK("#M2!I1","Mäetaguse 8. ")</f>
        <v xml:space="preserve">Mäetaguse 8. </v>
      </c>
      <c r="D38" s="16">
        <v>13</v>
      </c>
      <c r="E38" s="15"/>
      <c r="F38" s="280">
        <v>14</v>
      </c>
      <c r="G38" s="1242" t="str">
        <f>HYPERLINK("#5!J1","I-Virumaa MV, ")</f>
        <v xml:space="preserve">I-Virumaa MV, </v>
      </c>
      <c r="H38" s="280">
        <v>15</v>
      </c>
      <c r="I38" s="277"/>
      <c r="J38" s="280">
        <v>16</v>
      </c>
      <c r="K38" s="351" t="str">
        <f>HYPERLINK("http://www.petanque.ee/index.php?id=103761&amp;cid=509","EM, MM katsevõist-")</f>
        <v>EM, MM katsevõist-</v>
      </c>
      <c r="L38" s="280">
        <v>17</v>
      </c>
      <c r="M38" s="351" t="str">
        <f>HYPERLINK("http://www.petanque.ee/index.php?id=103761&amp;cid=510","EM, MM katsevõist-")</f>
        <v>EM, MM katsevõist-</v>
      </c>
      <c r="N38" s="280">
        <v>18</v>
      </c>
      <c r="P38" s="371"/>
      <c r="Q38" s="272"/>
      <c r="R38" s="272"/>
      <c r="S38" s="272"/>
      <c r="T38" s="272"/>
    </row>
    <row r="39" spans="1:20" s="12" customFormat="1" x14ac:dyDescent="0.2">
      <c r="A39" s="17"/>
      <c r="B39" s="18"/>
      <c r="C39" s="1267" t="s">
        <v>31</v>
      </c>
      <c r="D39" s="72"/>
      <c r="E39" s="10"/>
      <c r="F39" s="18"/>
      <c r="G39" s="383" t="s">
        <v>96</v>
      </c>
      <c r="H39" s="424"/>
      <c r="I39" s="380"/>
      <c r="J39" s="282"/>
      <c r="K39" s="295" t="s">
        <v>195</v>
      </c>
      <c r="L39" s="282"/>
      <c r="M39" s="295" t="s">
        <v>196</v>
      </c>
      <c r="N39" s="282"/>
      <c r="P39" s="371"/>
      <c r="Q39" s="272"/>
      <c r="R39" s="272"/>
      <c r="S39" s="272"/>
      <c r="T39" s="272"/>
    </row>
    <row r="40" spans="1:20" s="276" customFormat="1" x14ac:dyDescent="0.2">
      <c r="A40" s="281"/>
      <c r="B40" s="282"/>
      <c r="C40" s="1217" t="str">
        <f>HYPERLINK("https://kaart.delfi.ee//?bookmark=8d4f7582049a644e192eaee97c9e372f","Mäetaguse parkla")</f>
        <v>Mäetaguse parkla</v>
      </c>
      <c r="D40" s="72"/>
      <c r="E40" s="274"/>
      <c r="F40" s="282"/>
      <c r="G40" s="1241" t="str">
        <f>HYPERLINK("http://kaart.delfi.ee//?bookmark=ebd616e171f4882941c876d5ba118858","Voka")</f>
        <v>Voka</v>
      </c>
      <c r="H40" s="424"/>
      <c r="I40" s="380"/>
      <c r="J40" s="282"/>
      <c r="K40" s="1414" t="str">
        <f>HYPERLINK("https://kaart.delfi.ee/?bookmark=3997edd9e42bffb3d1b01260e8774b71","Tallinn, Linnu tee 11")</f>
        <v>Tallinn, Linnu tee 11</v>
      </c>
      <c r="L40" s="282"/>
      <c r="M40" s="1418" t="str">
        <f>HYPERLINK("https://kaart.delfi.ee/?bookmark=3997edd9e42bffb3d1b01260e8774b71","Tallinn, Linnu tee 11")</f>
        <v>Tallinn, Linnu tee 11</v>
      </c>
      <c r="N40" s="282"/>
      <c r="P40" s="371"/>
      <c r="Q40" s="272"/>
      <c r="R40" s="272"/>
      <c r="S40" s="272"/>
      <c r="T40" s="272"/>
    </row>
    <row r="41" spans="1:20" s="12" customFormat="1" x14ac:dyDescent="0.2">
      <c r="A41" s="17"/>
      <c r="B41" s="18"/>
      <c r="C41" s="1267"/>
      <c r="D41" s="72"/>
      <c r="E41" s="10"/>
      <c r="F41" s="18"/>
      <c r="G41" s="383"/>
      <c r="H41" s="424"/>
      <c r="I41" s="425"/>
      <c r="J41" s="809" t="str">
        <f>HYPERLINK("#24h!H1","Voka 24 tunni turniir")</f>
        <v>Voka 24 tunni turniir</v>
      </c>
      <c r="K41" s="1416"/>
      <c r="L41" s="1417" t="str">
        <f>HYPERLINK("http://kaart.delfi.ee//?bookmark=ebd616e171f4882941c876d5ba118858","Voka    ")</f>
        <v xml:space="preserve">Voka    </v>
      </c>
      <c r="M41" s="377"/>
      <c r="N41" s="282"/>
      <c r="P41" s="371"/>
      <c r="Q41" s="272"/>
      <c r="R41" s="272"/>
      <c r="S41" s="272"/>
      <c r="T41" s="272"/>
    </row>
    <row r="42" spans="1:20" s="12" customFormat="1" x14ac:dyDescent="0.2">
      <c r="A42" s="17"/>
      <c r="B42" s="18"/>
      <c r="C42" s="1267"/>
      <c r="D42" s="72"/>
      <c r="E42" s="10"/>
      <c r="F42" s="18"/>
      <c r="G42" s="383"/>
      <c r="H42" s="424"/>
      <c r="I42" s="380"/>
      <c r="J42" s="18"/>
      <c r="K42" s="1415" t="str">
        <f>HYPERLINK("https://boule.lv/kalendars/01072017-baltic_cup_2017_est_posms/nolikums?y=2012&amp;m=2","Baltic Cup 2.etapp, TRIO")</f>
        <v>Baltic Cup 2.etapp, TRIO</v>
      </c>
      <c r="L42" s="282"/>
      <c r="M42" s="377"/>
      <c r="N42" s="282"/>
      <c r="P42" s="371"/>
      <c r="Q42" s="272"/>
      <c r="R42" s="272"/>
      <c r="S42" s="272"/>
      <c r="T42" s="272"/>
    </row>
    <row r="43" spans="1:20" s="12" customFormat="1" hidden="1" x14ac:dyDescent="0.2">
      <c r="A43" s="17"/>
      <c r="B43" s="18"/>
      <c r="C43" s="1267"/>
      <c r="D43" s="72"/>
      <c r="E43" s="10"/>
      <c r="F43" s="18"/>
      <c r="G43" s="383"/>
      <c r="H43" s="386"/>
      <c r="I43" s="10"/>
      <c r="J43" s="18"/>
      <c r="K43" s="51" t="s">
        <v>9</v>
      </c>
      <c r="L43" s="18"/>
      <c r="M43" s="10"/>
      <c r="N43" s="18"/>
      <c r="O43" s="272"/>
      <c r="P43" s="370"/>
      <c r="Q43" s="272"/>
      <c r="R43" s="272"/>
      <c r="S43" s="272"/>
      <c r="T43" s="272"/>
    </row>
    <row r="44" spans="1:20" s="12" customFormat="1" ht="13.5" thickBot="1" x14ac:dyDescent="0.25">
      <c r="A44" s="19"/>
      <c r="B44" s="20"/>
      <c r="C44" s="165"/>
      <c r="D44" s="73"/>
      <c r="E44" s="21"/>
      <c r="F44" s="20"/>
      <c r="G44" s="389"/>
      <c r="H44" s="381"/>
      <c r="I44" s="21"/>
      <c r="J44" s="20"/>
      <c r="K44" s="52" t="str">
        <f>HYPERLINK("http://petanque.lv/events/171/baltic-cup-2017-ropazi/","Ropaži (Läti)")</f>
        <v>Ropaži (Läti)</v>
      </c>
      <c r="L44" s="20"/>
      <c r="M44" s="21"/>
      <c r="N44" s="20"/>
      <c r="O44" s="272"/>
      <c r="P44" s="272"/>
      <c r="Q44" s="272"/>
      <c r="R44" s="370"/>
      <c r="S44" s="272"/>
      <c r="T44" s="272"/>
    </row>
    <row r="45" spans="1:20" s="12" customFormat="1" x14ac:dyDescent="0.2">
      <c r="A45" s="277"/>
      <c r="B45" s="280">
        <v>19</v>
      </c>
      <c r="C45" s="376"/>
      <c r="D45" s="280">
        <v>20</v>
      </c>
      <c r="E45" s="1270" t="str">
        <f>HYPERLINK("#V4!G1","Voka 4. ")</f>
        <v xml:space="preserve">Voka 4. </v>
      </c>
      <c r="F45" s="280">
        <v>21</v>
      </c>
      <c r="G45" s="1243" t="str">
        <f>HYPERLINK("https://www.facebook.com/267634706906332/photos/a.267635983572871.1073741827.267634706906332/459589614377506/?type=3&amp;hc_ref=PAGES_TIMELINE","Saku Jaan, DUO")</f>
        <v>Saku Jaan, DUO</v>
      </c>
      <c r="H45" s="280">
        <v>22</v>
      </c>
      <c r="I45" s="279"/>
      <c r="J45" s="278">
        <v>23</v>
      </c>
      <c r="K45" s="15"/>
      <c r="L45" s="14">
        <v>24</v>
      </c>
      <c r="M45" s="261"/>
      <c r="N45" s="16">
        <v>25</v>
      </c>
      <c r="O45" s="272"/>
      <c r="P45" s="272"/>
      <c r="Q45" s="272"/>
      <c r="R45" s="370"/>
      <c r="S45" s="272"/>
      <c r="T45" s="272"/>
    </row>
    <row r="46" spans="1:20" s="12" customFormat="1" x14ac:dyDescent="0.2">
      <c r="A46" s="281"/>
      <c r="B46" s="282"/>
      <c r="C46" s="274"/>
      <c r="D46" s="282"/>
      <c r="E46" s="1222" t="s">
        <v>126</v>
      </c>
      <c r="F46" s="300"/>
      <c r="G46" s="1244" t="str">
        <f>HYPERLINK("https://kaart.delfi.ee//?bookmark=36ee67ba7cba151859305c222805d114","Saku")</f>
        <v>Saku</v>
      </c>
      <c r="H46" s="28"/>
      <c r="I46" s="274"/>
      <c r="J46" s="282"/>
      <c r="K46" s="10"/>
      <c r="L46" s="18"/>
      <c r="M46" s="260"/>
      <c r="N46" s="18"/>
      <c r="O46" s="3"/>
      <c r="P46" s="3"/>
      <c r="Q46" s="3"/>
    </row>
    <row r="47" spans="1:20" ht="13.5" thickBot="1" x14ac:dyDescent="0.25">
      <c r="A47" s="283"/>
      <c r="B47" s="284"/>
      <c r="C47" s="285"/>
      <c r="D47" s="284"/>
      <c r="E47" s="1265" t="str">
        <f>HYPERLINK("http://kaart.delfi.ee//?bookmark=ebd616e171f4882941c876d5ba118858","Voka")</f>
        <v>Voka</v>
      </c>
      <c r="F47" s="297"/>
      <c r="G47" s="1245" t="str">
        <f>HYPERLINK("http://petanque.planet.ee/kalender/kalender.php?view=yritus&amp;id=1325","Küti jaaniturniir, DUO")</f>
        <v>Küti jaaniturniir, DUO</v>
      </c>
      <c r="H47" s="709"/>
      <c r="I47" s="285"/>
      <c r="J47" s="46" t="str">
        <f>HYPERLINK("https://kaart.delfi.ee//?bookmark=2bb384d42ffa0c5e5f7907ddcf503cac","Võru")</f>
        <v>Võru</v>
      </c>
      <c r="K47" s="21"/>
      <c r="L47" s="20"/>
      <c r="M47" s="262"/>
      <c r="N47" s="20"/>
    </row>
    <row r="48" spans="1:20" s="276" customFormat="1" ht="13.5" thickBot="1" x14ac:dyDescent="0.25">
      <c r="A48" s="292" t="s">
        <v>11</v>
      </c>
      <c r="B48" s="286"/>
      <c r="C48" s="273"/>
      <c r="D48" s="275"/>
      <c r="E48" s="299"/>
      <c r="F48" s="275"/>
      <c r="G48" s="274"/>
      <c r="H48" s="274"/>
      <c r="I48" s="274"/>
      <c r="J48" s="274"/>
      <c r="K48" s="291"/>
      <c r="O48" s="272"/>
      <c r="P48" s="272"/>
      <c r="Q48" s="272"/>
    </row>
    <row r="49" spans="1:17" s="12" customFormat="1" x14ac:dyDescent="0.2">
      <c r="A49" s="287"/>
      <c r="B49" s="288">
        <v>26</v>
      </c>
      <c r="C49" s="289"/>
      <c r="D49" s="288">
        <v>27</v>
      </c>
      <c r="E49" s="298"/>
      <c r="F49" s="288">
        <v>28</v>
      </c>
      <c r="G49" s="277"/>
      <c r="H49" s="280">
        <v>29</v>
      </c>
      <c r="I49" s="376"/>
      <c r="J49" s="635">
        <v>30</v>
      </c>
      <c r="K49" s="1362" t="str">
        <f>HYPERLINK("#pl!G1","Pliks-plaks 101,")</f>
        <v>Pliks-plaks 101,</v>
      </c>
      <c r="L49" s="280">
        <v>1</v>
      </c>
      <c r="M49" s="1246" t="str">
        <f>HYPERLINK("http://www.petanque.ee/index.php?id=103761&amp;cid=511","EPKL reiting,")</f>
        <v>EPKL reiting,</v>
      </c>
      <c r="N49" s="16">
        <v>2</v>
      </c>
      <c r="O49" s="3"/>
      <c r="P49" s="3"/>
      <c r="Q49" s="3"/>
    </row>
    <row r="50" spans="1:17" s="371" customFormat="1" x14ac:dyDescent="0.2">
      <c r="A50" s="380"/>
      <c r="B50" s="375"/>
      <c r="C50" s="374"/>
      <c r="D50" s="375"/>
      <c r="E50" s="299"/>
      <c r="F50" s="375"/>
      <c r="G50" s="374"/>
      <c r="H50" s="375"/>
      <c r="I50" s="374"/>
      <c r="J50" s="634"/>
      <c r="K50" s="1363" t="s">
        <v>147</v>
      </c>
      <c r="L50" s="636"/>
      <c r="M50" s="1233" t="s">
        <v>29</v>
      </c>
      <c r="N50" s="375"/>
      <c r="O50" s="370"/>
      <c r="P50" s="370"/>
      <c r="Q50" s="370"/>
    </row>
    <row r="51" spans="1:17" s="371" customFormat="1" x14ac:dyDescent="0.2">
      <c r="A51" s="380"/>
      <c r="B51" s="375"/>
      <c r="C51" s="613" t="s">
        <v>385</v>
      </c>
      <c r="D51" s="375"/>
      <c r="E51" s="299"/>
      <c r="F51" s="375"/>
      <c r="G51" s="613" t="s">
        <v>25</v>
      </c>
      <c r="H51" s="375"/>
      <c r="I51" s="374"/>
      <c r="J51" s="634"/>
      <c r="K51" s="1419" t="str">
        <f>HYPERLINK("https://kaart.delfi.ee/?bookmark=63ebb20d0f5732aa12acf360e2b986df","Voka")</f>
        <v>Voka</v>
      </c>
      <c r="L51" s="1420"/>
      <c r="M51" s="1386" t="str">
        <f>HYPERLINK("https://kaart.delfi.ee/?bookmark=037591353bf9698628b723dab6c5e799","Valga")</f>
        <v>Valga</v>
      </c>
      <c r="N51" s="375"/>
      <c r="O51" s="370"/>
      <c r="P51" s="370"/>
      <c r="Q51" s="370"/>
    </row>
    <row r="52" spans="1:17" s="12" customFormat="1" x14ac:dyDescent="0.2">
      <c r="A52" s="290"/>
      <c r="B52" s="375"/>
      <c r="C52" s="613" t="s">
        <v>386</v>
      </c>
      <c r="D52" s="375"/>
      <c r="E52" s="299"/>
      <c r="F52" s="375"/>
      <c r="G52" s="291"/>
      <c r="H52" s="282"/>
      <c r="I52" s="374"/>
      <c r="J52" s="265"/>
      <c r="K52" s="1421" t="s">
        <v>409</v>
      </c>
      <c r="L52" s="1422"/>
      <c r="M52" s="388"/>
      <c r="N52" s="282"/>
      <c r="O52" s="3"/>
      <c r="P52" s="3"/>
      <c r="Q52" s="3"/>
    </row>
    <row r="53" spans="1:17" ht="13.5" thickBot="1" x14ac:dyDescent="0.25">
      <c r="A53" s="266"/>
      <c r="B53" s="267"/>
      <c r="C53" s="705"/>
      <c r="D53" s="267"/>
      <c r="E53" s="270"/>
      <c r="F53" s="267"/>
      <c r="G53" s="271"/>
      <c r="H53" s="264"/>
      <c r="I53" s="269"/>
      <c r="J53" s="268"/>
      <c r="K53" s="1249" t="str">
        <f>HYPERLINK("https://kaart.delfi.ee/?bookmark=037591353bf9698628b723dab6c5e799","Valga")</f>
        <v>Valga</v>
      </c>
      <c r="L53" s="20"/>
      <c r="M53" s="390"/>
      <c r="N53" s="284"/>
      <c r="P53" s="370"/>
    </row>
    <row r="54" spans="1:17" s="12" customFormat="1" ht="13.5" thickTop="1" x14ac:dyDescent="0.2">
      <c r="A54" s="281"/>
      <c r="B54" s="301">
        <v>3</v>
      </c>
      <c r="C54" s="1274" t="str">
        <f>HYPERLINK("#M3!J1","Mäetaguse 8. ")</f>
        <v xml:space="preserve">Mäetaguse 8. </v>
      </c>
      <c r="D54" s="301">
        <v>4</v>
      </c>
      <c r="E54" s="1262" t="str">
        <f>HYPERLINK("#V5!G1","Voka 4. ")</f>
        <v xml:space="preserve">Voka 4. </v>
      </c>
      <c r="F54" s="301">
        <v>5</v>
      </c>
      <c r="G54" s="274"/>
      <c r="H54" s="301">
        <v>6</v>
      </c>
      <c r="I54" s="274"/>
      <c r="J54" s="301">
        <v>7</v>
      </c>
      <c r="K54" s="1228" t="str">
        <f>HYPERLINK("http://joud.ee/est/g78s4085","25.Eesti valdade suve-")</f>
        <v>25.Eesti valdade suve-</v>
      </c>
      <c r="L54" s="16">
        <v>8</v>
      </c>
      <c r="M54" s="1242" t="str">
        <f>HYPERLINK("#6!J1","Jõhvi 15. MV, ")</f>
        <v xml:space="preserve">Jõhvi 15. MV, </v>
      </c>
      <c r="N54" s="16">
        <v>9</v>
      </c>
      <c r="O54" s="3"/>
      <c r="P54" s="370"/>
      <c r="Q54" s="3"/>
    </row>
    <row r="55" spans="1:17" s="12" customFormat="1" x14ac:dyDescent="0.2">
      <c r="A55" s="17"/>
      <c r="B55" s="22"/>
      <c r="C55" s="1267" t="s">
        <v>32</v>
      </c>
      <c r="D55" s="74"/>
      <c r="E55" s="1219" t="s">
        <v>127</v>
      </c>
      <c r="F55" s="234"/>
      <c r="G55" s="10"/>
      <c r="H55" s="22"/>
      <c r="I55" s="10"/>
      <c r="J55" s="22"/>
      <c r="K55" s="374" t="s">
        <v>24</v>
      </c>
      <c r="L55" s="22"/>
      <c r="M55" s="1247" t="s">
        <v>9</v>
      </c>
      <c r="N55" s="378"/>
      <c r="O55" s="3"/>
      <c r="P55" s="370"/>
      <c r="Q55" s="3"/>
    </row>
    <row r="56" spans="1:17" s="12" customFormat="1" x14ac:dyDescent="0.2">
      <c r="A56" s="17"/>
      <c r="B56" s="22"/>
      <c r="C56" s="1217" t="str">
        <f>HYPERLINK("https://kaart.delfi.ee//?bookmark=8d4f7582049a644e192eaee97c9e372f","Mäetaguse parkla")</f>
        <v>Mäetaguse parkla</v>
      </c>
      <c r="D56" s="74"/>
      <c r="E56" s="1220" t="str">
        <f>HYPERLINK("http://kaart.delfi.ee//?bookmark=ebd616e171f4882941c876d5ba118858","Voka")</f>
        <v>Voka</v>
      </c>
      <c r="F56" s="234"/>
      <c r="G56" s="10"/>
      <c r="H56" s="22"/>
      <c r="I56" s="10"/>
      <c r="J56" s="22"/>
      <c r="K56" s="1423" t="str">
        <f>HYPERLINK("http://kaart.delfi.ee//?bookmark=ce1706782072180955e56b66fceed014","Vinni (Lääne-Virumaa)")</f>
        <v>Vinni (Lääne-Virumaa)</v>
      </c>
      <c r="L56" s="1381"/>
      <c r="M56" s="1248" t="str">
        <f>HYPERLINK("https://kaart.delfi.ee/?bookmark=4c0b1b0c24ff9f4919899a9546bf50f1","Jõhvi, Neptun")</f>
        <v>Jõhvi, Neptun</v>
      </c>
      <c r="N56" s="378"/>
      <c r="O56" s="3"/>
      <c r="P56" s="370"/>
      <c r="Q56" s="3"/>
    </row>
    <row r="57" spans="1:17" s="12" customFormat="1" x14ac:dyDescent="0.2">
      <c r="A57" s="17"/>
      <c r="B57" s="22"/>
      <c r="C57" s="75"/>
      <c r="D57" s="74"/>
      <c r="E57" s="236"/>
      <c r="F57" s="234"/>
      <c r="G57" s="10"/>
      <c r="H57" s="22"/>
      <c r="I57" s="10"/>
      <c r="J57" s="22"/>
      <c r="K57" s="1408" t="str">
        <f>HYPERLINK("http://joud.ee/est/g78s4095","42.Eesti linnade suve-")</f>
        <v>42.Eesti linnade suve-</v>
      </c>
      <c r="L57" s="1405"/>
      <c r="M57" s="383"/>
      <c r="N57" s="378"/>
      <c r="O57" s="3"/>
      <c r="P57" s="370"/>
      <c r="Q57" s="3"/>
    </row>
    <row r="58" spans="1:17" s="26" customFormat="1" x14ac:dyDescent="0.2">
      <c r="A58" s="17"/>
      <c r="B58" s="22"/>
      <c r="C58" s="76"/>
      <c r="D58" s="74"/>
      <c r="E58" s="238"/>
      <c r="F58" s="234"/>
      <c r="G58" s="10"/>
      <c r="H58" s="22"/>
      <c r="I58" s="10"/>
      <c r="J58" s="22"/>
      <c r="K58" s="374" t="s">
        <v>24</v>
      </c>
      <c r="L58" s="22"/>
      <c r="M58" s="383"/>
      <c r="N58" s="378"/>
      <c r="O58" s="41"/>
      <c r="P58" s="370"/>
      <c r="Q58" s="41"/>
    </row>
    <row r="59" spans="1:17" s="12" customFormat="1" ht="13.5" thickBot="1" x14ac:dyDescent="0.25">
      <c r="A59" s="19"/>
      <c r="B59" s="20"/>
      <c r="C59" s="77"/>
      <c r="D59" s="73"/>
      <c r="E59" s="239"/>
      <c r="F59" s="235"/>
      <c r="G59" s="21"/>
      <c r="H59" s="20"/>
      <c r="I59" s="21"/>
      <c r="J59" s="20"/>
      <c r="K59" s="1250" t="str">
        <f>HYPERLINK("https://kaart.delfi.ee/?bookmark=037591353bf9698628b723dab6c5e799","Valga")</f>
        <v>Valga</v>
      </c>
      <c r="L59" s="46" t="str">
        <f>HYPERLINK("http://www.joud.ee/est/g77/","kal")</f>
        <v>kal</v>
      </c>
      <c r="M59" s="383"/>
      <c r="N59" s="381"/>
      <c r="O59" s="3"/>
      <c r="P59" s="3"/>
      <c r="Q59" s="3"/>
    </row>
    <row r="60" spans="1:17" s="12" customFormat="1" x14ac:dyDescent="0.2">
      <c r="A60" s="13"/>
      <c r="B60" s="16">
        <v>10</v>
      </c>
      <c r="C60" s="15"/>
      <c r="D60" s="16">
        <v>11</v>
      </c>
      <c r="E60" s="376"/>
      <c r="F60" s="16">
        <v>12</v>
      </c>
      <c r="G60" s="1242" t="str">
        <f>HYPERLINK("#7!J1","I-Virumaa MV, ")</f>
        <v xml:space="preserve">I-Virumaa MV, </v>
      </c>
      <c r="H60" s="16">
        <v>13</v>
      </c>
      <c r="I60" s="55" t="s">
        <v>94</v>
      </c>
      <c r="J60" s="16">
        <v>14</v>
      </c>
      <c r="K60" s="55" t="s">
        <v>94</v>
      </c>
      <c r="L60" s="16">
        <v>15</v>
      </c>
      <c r="M60" s="55" t="s">
        <v>94</v>
      </c>
      <c r="N60" s="16">
        <v>16</v>
      </c>
      <c r="O60" s="3"/>
      <c r="P60" s="3"/>
      <c r="Q60" s="3"/>
    </row>
    <row r="61" spans="1:17" s="12" customFormat="1" x14ac:dyDescent="0.2">
      <c r="A61" s="17"/>
      <c r="B61" s="18"/>
      <c r="C61" s="10"/>
      <c r="D61" s="18"/>
      <c r="E61" s="374"/>
      <c r="F61" s="18"/>
      <c r="G61" s="383" t="s">
        <v>570</v>
      </c>
      <c r="H61" s="387"/>
      <c r="I61" s="25"/>
      <c r="J61" s="410" t="s">
        <v>27</v>
      </c>
      <c r="K61" s="54" t="s">
        <v>9</v>
      </c>
      <c r="L61" s="48" t="str">
        <f>HYPERLINK("https://www.facebook.com/events/192684361215038/","inf")</f>
        <v>inf</v>
      </c>
      <c r="M61" s="54" t="s">
        <v>29</v>
      </c>
      <c r="N61" s="18"/>
      <c r="O61" s="3"/>
      <c r="P61" s="3"/>
      <c r="Q61" s="3"/>
    </row>
    <row r="62" spans="1:17" ht="13.5" thickBot="1" x14ac:dyDescent="0.25">
      <c r="A62" s="19"/>
      <c r="B62" s="20"/>
      <c r="C62" s="21"/>
      <c r="D62" s="20"/>
      <c r="E62" s="373"/>
      <c r="F62" s="20"/>
      <c r="G62" s="1227" t="str">
        <f>HYPERLINK("http://kaart.delfi.ee//?bookmark=ebd616e171f4882941c876d5ba118858","Voka")</f>
        <v>Voka</v>
      </c>
      <c r="H62" s="381"/>
      <c r="I62" s="1361" t="str">
        <f>HYPERLINK("http://kaart.delfi.ee//?bookmark=6e5907b77a1b1d76882ff264066d1116","Saku, Tallinna mnt 2")</f>
        <v>Saku, Tallinna mnt 2</v>
      </c>
      <c r="J62" s="284"/>
      <c r="K62" s="1361" t="str">
        <f>HYPERLINK("http://kaart.delfi.ee//?bookmark=6e5907b77a1b1d76882ff264066d1116","Saku, Tallinna mnt 2")</f>
        <v>Saku, Tallinna mnt 2</v>
      </c>
      <c r="L62" s="284"/>
      <c r="M62" s="1361" t="str">
        <f>HYPERLINK("http://kaart.delfi.ee//?bookmark=6e5907b77a1b1d76882ff264066d1116","Saku, Tallinna mnt 2")</f>
        <v>Saku, Tallinna mnt 2</v>
      </c>
      <c r="N62" s="20"/>
    </row>
    <row r="63" spans="1:17" s="12" customFormat="1" x14ac:dyDescent="0.2">
      <c r="A63" s="13"/>
      <c r="B63" s="16">
        <v>17</v>
      </c>
      <c r="C63" s="15"/>
      <c r="D63" s="16">
        <v>18</v>
      </c>
      <c r="E63" s="1263" t="str">
        <f>HYPERLINK("#V6!G1","Voka 4. ")</f>
        <v xml:space="preserve">Voka 4. </v>
      </c>
      <c r="F63" s="16">
        <v>19</v>
      </c>
      <c r="G63" s="1241" t="str">
        <f>HYPERLINK("#7!J1","I-Virumaa MV, ")</f>
        <v xml:space="preserve">I-Virumaa MV, </v>
      </c>
      <c r="H63" s="16">
        <v>20</v>
      </c>
      <c r="I63" s="15"/>
      <c r="J63" s="16">
        <v>21</v>
      </c>
      <c r="K63" s="376" t="s">
        <v>243</v>
      </c>
      <c r="L63" s="16">
        <v>22</v>
      </c>
      <c r="M63" s="15"/>
      <c r="N63" s="16">
        <v>23</v>
      </c>
      <c r="O63" s="3"/>
      <c r="Q63" s="3"/>
    </row>
    <row r="64" spans="1:17" s="12" customFormat="1" x14ac:dyDescent="0.2">
      <c r="A64" s="17"/>
      <c r="B64" s="18"/>
      <c r="C64" s="10"/>
      <c r="D64" s="18"/>
      <c r="E64" s="1219" t="s">
        <v>128</v>
      </c>
      <c r="F64" s="237"/>
      <c r="G64" s="383" t="s">
        <v>571</v>
      </c>
      <c r="H64" s="386"/>
      <c r="I64" s="10"/>
      <c r="J64" s="18"/>
      <c r="K64" s="374" t="s">
        <v>150</v>
      </c>
      <c r="L64" s="18"/>
      <c r="M64" s="10"/>
      <c r="N64" s="18"/>
      <c r="O64" s="3"/>
      <c r="Q64" s="3"/>
    </row>
    <row r="65" spans="1:19" s="12" customFormat="1" hidden="1" x14ac:dyDescent="0.2">
      <c r="A65" s="17"/>
      <c r="B65" s="18"/>
      <c r="C65" s="10"/>
      <c r="D65" s="18"/>
      <c r="E65" s="1264"/>
      <c r="F65" s="237"/>
      <c r="G65" s="1241" t="str">
        <f>HYPERLINK("http://kaart.delfi.ee//?bookmark=ebd616e171f4882941c876d5ba118858","Voka")</f>
        <v>Voka</v>
      </c>
      <c r="H65" s="386"/>
      <c r="I65" s="10"/>
      <c r="J65" s="18"/>
      <c r="K65" s="374"/>
      <c r="L65" s="18"/>
      <c r="M65" s="10"/>
      <c r="N65" s="18"/>
      <c r="O65" s="3"/>
      <c r="P65" s="383"/>
      <c r="Q65" s="3"/>
    </row>
    <row r="66" spans="1:19" ht="13.5" thickBot="1" x14ac:dyDescent="0.25">
      <c r="A66" s="19"/>
      <c r="B66" s="20"/>
      <c r="C66" s="21"/>
      <c r="D66" s="20"/>
      <c r="E66" s="1265" t="str">
        <f>HYPERLINK("http://kaart.delfi.ee//?bookmark=ebd616e171f4882941c876d5ba118858","Voka")</f>
        <v>Voka</v>
      </c>
      <c r="F66" s="235"/>
      <c r="G66" s="1241" t="str">
        <f>HYPERLINK("http://kaart.delfi.ee//?bookmark=ebd616e171f4882941c876d5ba118858","Voka")</f>
        <v>Voka</v>
      </c>
      <c r="H66" s="381"/>
      <c r="I66" s="21"/>
      <c r="J66" s="20"/>
      <c r="K66" s="1231" t="str">
        <f>HYPERLINK("https://kaart.delfi.ee//?bookmark=092ddc81ed8c3124e8e74052aa7e961e","Jõulumäe (Pärnumaa)")</f>
        <v>Jõulumäe (Pärnumaa)</v>
      </c>
      <c r="L66" s="46"/>
      <c r="M66" s="304" t="str">
        <f>HYPERLINK("http://esvl.ee/uus/wp-content/uploads/2016/12/J%C3%B5ulum%C3%A4e-parandatudToivo-SM-juhend-2017-2.docx","juh")</f>
        <v>juh</v>
      </c>
      <c r="N66" s="20"/>
      <c r="P66" s="370"/>
      <c r="Q66" s="272"/>
      <c r="R66" s="272"/>
      <c r="S66" s="272"/>
    </row>
    <row r="67" spans="1:19" s="12" customFormat="1" x14ac:dyDescent="0.2">
      <c r="A67" s="13"/>
      <c r="B67" s="16">
        <v>24</v>
      </c>
      <c r="C67" s="15"/>
      <c r="D67" s="16">
        <v>25</v>
      </c>
      <c r="E67" s="376"/>
      <c r="F67" s="16">
        <v>26</v>
      </c>
      <c r="G67" s="166" t="str">
        <f>HYPERLINK("http://karlslunde-if.dk/index.php?mact=Gallery,md5f7f,default,1&amp;md5f7fdir=Dansk-Petanque-Center&amp;md5f7freturnid=38&amp;page=38","pildid 1")</f>
        <v>pildid 1</v>
      </c>
      <c r="H67" s="16">
        <v>27</v>
      </c>
      <c r="I67" s="15"/>
      <c r="J67" s="280">
        <v>28</v>
      </c>
      <c r="K67" s="166" t="str">
        <f>HYPERLINK("http://www.boule-hedebo.dk/gallery/Dansk-Petanque-Center-Greve/46.html","pildid 2")</f>
        <v>pildid 2</v>
      </c>
      <c r="L67" s="280">
        <v>29</v>
      </c>
      <c r="M67" s="166"/>
      <c r="N67" s="280">
        <v>30</v>
      </c>
      <c r="O67" s="3"/>
      <c r="P67" s="272"/>
      <c r="Q67" s="272"/>
      <c r="R67" s="272"/>
      <c r="S67" s="272"/>
    </row>
    <row r="68" spans="1:19" s="12" customFormat="1" hidden="1" x14ac:dyDescent="0.2">
      <c r="A68" s="17"/>
      <c r="B68" s="18"/>
      <c r="C68" s="10"/>
      <c r="D68" s="18"/>
      <c r="E68" s="374"/>
      <c r="F68" s="18"/>
      <c r="G68" s="10"/>
      <c r="H68" s="18"/>
      <c r="I68" s="10"/>
      <c r="J68" s="282"/>
      <c r="K68" s="27"/>
      <c r="L68" s="282"/>
      <c r="M68" s="374"/>
      <c r="N68" s="282"/>
      <c r="O68" s="3"/>
      <c r="P68" s="272"/>
      <c r="Q68" s="272"/>
      <c r="R68" s="272"/>
      <c r="S68" s="272"/>
    </row>
    <row r="69" spans="1:19" s="12" customFormat="1" hidden="1" x14ac:dyDescent="0.2">
      <c r="A69" s="17"/>
      <c r="B69" s="18"/>
      <c r="C69" s="10"/>
      <c r="D69" s="18"/>
      <c r="E69" s="374"/>
      <c r="F69" s="18"/>
      <c r="G69" s="281"/>
      <c r="H69" s="282"/>
      <c r="I69" s="281"/>
      <c r="J69" s="282"/>
      <c r="K69" s="374"/>
      <c r="L69" s="282"/>
      <c r="M69" s="374"/>
      <c r="N69" s="282"/>
      <c r="O69" s="3"/>
      <c r="P69" s="272"/>
      <c r="Q69" s="272"/>
      <c r="R69" s="272"/>
      <c r="S69" s="272"/>
    </row>
    <row r="70" spans="1:19" s="12" customFormat="1" hidden="1" x14ac:dyDescent="0.2">
      <c r="A70" s="17"/>
      <c r="B70" s="18"/>
      <c r="C70" s="10"/>
      <c r="D70" s="18"/>
      <c r="E70" s="374"/>
      <c r="F70" s="18"/>
      <c r="G70" s="64"/>
      <c r="H70" s="392"/>
      <c r="I70" s="65"/>
      <c r="J70" s="392"/>
      <c r="K70" s="65"/>
      <c r="L70" s="392"/>
      <c r="M70" s="65"/>
      <c r="N70" s="303"/>
      <c r="O70" s="3"/>
      <c r="Q70" s="272"/>
      <c r="R70" s="272"/>
      <c r="S70" s="272"/>
    </row>
    <row r="71" spans="1:19" s="12" customFormat="1" x14ac:dyDescent="0.2">
      <c r="A71" s="377"/>
      <c r="B71" s="282"/>
      <c r="C71" s="377"/>
      <c r="D71" s="282"/>
      <c r="E71" s="374"/>
      <c r="F71" s="282"/>
      <c r="G71" s="62" t="s">
        <v>244</v>
      </c>
      <c r="H71" s="58"/>
      <c r="I71" s="59"/>
      <c r="J71" s="60"/>
      <c r="K71" s="59"/>
      <c r="L71" s="61"/>
      <c r="M71" s="59"/>
      <c r="N71" s="70"/>
      <c r="O71" s="3"/>
      <c r="P71" s="272"/>
      <c r="Q71" s="370"/>
      <c r="R71" s="272"/>
      <c r="S71" s="272"/>
    </row>
    <row r="72" spans="1:19" s="12" customFormat="1" ht="13.5" thickBot="1" x14ac:dyDescent="0.25">
      <c r="A72" s="283"/>
      <c r="B72" s="284"/>
      <c r="C72" s="283"/>
      <c r="D72" s="284"/>
      <c r="E72" s="283"/>
      <c r="F72" s="284"/>
      <c r="G72" s="412"/>
      <c r="H72" s="433" t="str">
        <f>HYPERLINK("https://www.facebook.com/eestipetank/posts/1625328650828751","alagrupid")</f>
        <v>alagrupid</v>
      </c>
      <c r="I72" s="629"/>
      <c r="J72" s="630"/>
      <c r="K72" s="631" t="str">
        <f>HYPERLINK("https://www.google.ru/maps/place/Hedebo+Petanque+Club/@55.5617699,12.2499644,462m/data=!3m2!1e3!4b1!4m5!3m4!1s0x4652f7bbce32bc4f:0x2afad67bcc5742c!8m2!3d55.5617669!4d12.2521531","Karlslunde (Taani)")</f>
        <v>Karlslunde (Taani)</v>
      </c>
      <c r="L72" s="160" t="str">
        <f>HYPERLINK("http://www.cep-petanque.com/eurocup_pdf/EuroCup17/EuroCup2017-Plan.pdf","ajakava")</f>
        <v>ajakava</v>
      </c>
      <c r="M72" s="632"/>
      <c r="N72" s="633" t="str">
        <f>HYPERLINK("http://www.cep-petanque.com/documents/RULES/EuroCupQualifier-Rules2017.pdf","juhend")</f>
        <v>juhend</v>
      </c>
      <c r="O72" s="3"/>
      <c r="Q72" s="272"/>
      <c r="R72" s="272"/>
      <c r="S72" s="272"/>
    </row>
    <row r="73" spans="1:19" ht="13.5" thickBot="1" x14ac:dyDescent="0.25">
      <c r="A73" s="29" t="s">
        <v>14</v>
      </c>
      <c r="B73" s="23"/>
      <c r="C73" s="9"/>
      <c r="D73" s="30"/>
      <c r="E73" s="374"/>
      <c r="F73" s="3"/>
      <c r="L73" s="628"/>
      <c r="M73" s="373"/>
      <c r="N73" s="11"/>
      <c r="P73" s="272"/>
      <c r="Q73" s="272"/>
      <c r="R73" s="272"/>
      <c r="S73" s="272"/>
    </row>
    <row r="74" spans="1:19" s="12" customFormat="1" x14ac:dyDescent="0.2">
      <c r="A74" s="13"/>
      <c r="B74" s="16">
        <v>31</v>
      </c>
      <c r="C74" s="15"/>
      <c r="D74" s="241">
        <v>1</v>
      </c>
      <c r="E74" s="1263" t="str">
        <f>HYPERLINK("#V7!G1","Voka 4. ")</f>
        <v xml:space="preserve">Voka 4. </v>
      </c>
      <c r="F74" s="16">
        <v>2</v>
      </c>
      <c r="G74" s="376"/>
      <c r="H74" s="16">
        <v>3</v>
      </c>
      <c r="I74" s="15"/>
      <c r="J74" s="16">
        <v>4</v>
      </c>
      <c r="K74" s="1232" t="str">
        <f>HYPERLINK("http://www.petanque.ee/index.php?id=103761&amp;cid=515","27. Eesti MV, ")</f>
        <v xml:space="preserve">27. Eesti MV, </v>
      </c>
      <c r="L74" s="280">
        <v>5</v>
      </c>
      <c r="M74" s="1232" t="str">
        <f>HYPERLINK("http://www.petanque.ee/index.php?id=103761&amp;cid=516","EPKL reiting,")</f>
        <v>EPKL reiting,</v>
      </c>
      <c r="N74" s="280">
        <v>6</v>
      </c>
      <c r="O74" s="3"/>
      <c r="P74" s="272"/>
      <c r="Q74" s="272"/>
      <c r="R74" s="272"/>
      <c r="S74" s="272"/>
    </row>
    <row r="75" spans="1:19" s="12" customFormat="1" x14ac:dyDescent="0.2">
      <c r="A75" s="17"/>
      <c r="B75" s="18"/>
      <c r="C75" s="10"/>
      <c r="D75" s="242"/>
      <c r="E75" s="1219" t="s">
        <v>129</v>
      </c>
      <c r="F75" s="237"/>
      <c r="G75" s="374"/>
      <c r="H75" s="18"/>
      <c r="I75" s="10"/>
      <c r="J75" s="18"/>
      <c r="K75" s="1233" t="s">
        <v>29</v>
      </c>
      <c r="L75" s="282"/>
      <c r="M75" s="1233" t="s">
        <v>9</v>
      </c>
      <c r="N75" s="282"/>
      <c r="O75" s="3"/>
      <c r="P75" s="272"/>
      <c r="Q75" s="272"/>
      <c r="R75" s="272"/>
      <c r="S75" s="272"/>
    </row>
    <row r="76" spans="1:19" ht="13.5" thickBot="1" x14ac:dyDescent="0.25">
      <c r="A76" s="243"/>
      <c r="B76" s="244"/>
      <c r="C76" s="245"/>
      <c r="D76" s="246"/>
      <c r="E76" s="1266" t="str">
        <f>HYPERLINK("http://kaart.delfi.ee//?bookmark=ebd616e171f4882941c876d5ba118858","Voka")</f>
        <v>Voka</v>
      </c>
      <c r="F76" s="235"/>
      <c r="G76" s="373"/>
      <c r="H76" s="20"/>
      <c r="I76" s="21"/>
      <c r="J76" s="20"/>
      <c r="K76" s="1251" t="str">
        <f>HYPERLINK("https://kaart.delfi.ee//?bookmark=02a763eb5e2ccd81dd84675ce47ef3f0","Jüri")</f>
        <v>Jüri</v>
      </c>
      <c r="L76" s="20"/>
      <c r="M76" s="1251" t="str">
        <f>HYPERLINK("https://kaart.delfi.ee//?bookmark=02a763eb5e2ccd81dd84675ce47ef3f0","Jüri")</f>
        <v>Jüri</v>
      </c>
      <c r="N76" s="20"/>
      <c r="P76" s="272"/>
      <c r="Q76" s="272"/>
      <c r="R76" s="272"/>
      <c r="S76" s="272"/>
    </row>
    <row r="77" spans="1:19" s="12" customFormat="1" ht="13.5" thickTop="1" x14ac:dyDescent="0.2">
      <c r="A77" s="17"/>
      <c r="B77" s="240">
        <v>7</v>
      </c>
      <c r="C77" s="10"/>
      <c r="D77" s="240">
        <v>8</v>
      </c>
      <c r="E77" s="376"/>
      <c r="F77" s="16">
        <v>9</v>
      </c>
      <c r="G77" s="1226" t="str">
        <f>HYPERLINK("#8!J1","Jõhvi 17. MV, ")</f>
        <v xml:space="preserve">Jõhvi 17. MV, </v>
      </c>
      <c r="H77" s="280">
        <v>10</v>
      </c>
      <c r="I77" s="294" t="s">
        <v>104</v>
      </c>
      <c r="J77" s="280">
        <v>11</v>
      </c>
      <c r="K77" s="294" t="s">
        <v>104</v>
      </c>
      <c r="L77" s="16">
        <v>12</v>
      </c>
      <c r="M77" s="294" t="s">
        <v>105</v>
      </c>
      <c r="N77" s="16">
        <v>13</v>
      </c>
      <c r="O77" s="3"/>
      <c r="P77" s="272"/>
      <c r="Q77" s="272"/>
      <c r="R77" s="272"/>
      <c r="S77" s="272"/>
    </row>
    <row r="78" spans="1:19" s="12" customFormat="1" x14ac:dyDescent="0.2">
      <c r="A78" s="17"/>
      <c r="B78" s="18"/>
      <c r="C78" s="10"/>
      <c r="D78" s="18"/>
      <c r="E78" s="374"/>
      <c r="F78" s="18"/>
      <c r="G78" s="1259" t="s">
        <v>29</v>
      </c>
      <c r="H78" s="386"/>
      <c r="I78" s="385" t="s">
        <v>29</v>
      </c>
      <c r="J78" s="296"/>
      <c r="K78" s="293" t="s">
        <v>100</v>
      </c>
      <c r="L78" s="18"/>
      <c r="M78" s="293" t="s">
        <v>100</v>
      </c>
      <c r="N78" s="18"/>
      <c r="O78" s="3"/>
      <c r="P78" s="272"/>
      <c r="Q78" s="272"/>
      <c r="R78" s="272"/>
      <c r="S78" s="272"/>
    </row>
    <row r="79" spans="1:19" ht="13.5" thickBot="1" x14ac:dyDescent="0.25">
      <c r="A79" s="19"/>
      <c r="B79" s="20"/>
      <c r="C79" s="21"/>
      <c r="D79" s="20"/>
      <c r="E79" s="373"/>
      <c r="F79" s="20"/>
      <c r="G79" s="1260" t="str">
        <f>HYPERLINK("https://kaart.delfi.ee/?bookmark=4c0b1b0c24ff9f4919899a9546bf50f1","Jõhvi, Neptun")</f>
        <v>Jõhvi, Neptun</v>
      </c>
      <c r="H79" s="381"/>
      <c r="I79" s="1253" t="str">
        <f>HYPERLINK("https://kaart.delfi.ee//?bookmark=f8094d103086679871eb6f8621cfcd24","Uuskalda")</f>
        <v>Uuskalda</v>
      </c>
      <c r="J79" s="302"/>
      <c r="K79" s="1252" t="str">
        <f>HYPERLINK("https://kaart.delfi.ee//?bookmark=f8094d103086679871eb6f8621cfcd24","Uuskalda (Läänemaa)")</f>
        <v>Uuskalda (Läänemaa)</v>
      </c>
      <c r="L79" s="284"/>
      <c r="M79" s="1252" t="str">
        <f>HYPERLINK("https://kaart.delfi.ee//?bookmark=f8094d103086679871eb6f8621cfcd24","Uuskalda (Läänemaa)")</f>
        <v>Uuskalda (Läänemaa)</v>
      </c>
      <c r="N79" s="284"/>
      <c r="P79" s="272"/>
      <c r="Q79" s="272"/>
      <c r="R79" s="272"/>
      <c r="S79" s="272"/>
    </row>
    <row r="80" spans="1:19" s="12" customFormat="1" x14ac:dyDescent="0.2">
      <c r="A80" s="13"/>
      <c r="B80" s="16">
        <v>14</v>
      </c>
      <c r="C80" s="15"/>
      <c r="D80" s="16">
        <v>15</v>
      </c>
      <c r="E80" s="1221" t="str">
        <f>HYPERLINK("#V8!G1","Voka 4. ")</f>
        <v xml:space="preserve">Voka 4. </v>
      </c>
      <c r="F80" s="16">
        <v>16</v>
      </c>
      <c r="G80" s="1226" t="str">
        <f>HYPERLINK("#9!L1","K-Järve 18. MV")</f>
        <v>K-Järve 18. MV</v>
      </c>
      <c r="H80" s="16">
        <v>17</v>
      </c>
      <c r="I80" s="15"/>
      <c r="J80" s="16">
        <v>18</v>
      </c>
      <c r="K80" s="1232" t="str">
        <f>HYPERLINK("http://www.petanque.ee/index.php?id=103761&amp;cid=517","12. Eesti MV, ")</f>
        <v xml:space="preserve">12. Eesti MV, </v>
      </c>
      <c r="L80" s="16">
        <v>19</v>
      </c>
      <c r="M80" s="1232" t="str">
        <f>HYPERLINK("http://www.petanque.ee/index.php?id=103761&amp;cid=518","EPKL reiting, ")</f>
        <v xml:space="preserve">EPKL reiting, </v>
      </c>
      <c r="N80" s="14">
        <v>20</v>
      </c>
      <c r="O80" s="3"/>
      <c r="P80" s="272"/>
      <c r="Q80" s="272"/>
      <c r="R80" s="272"/>
      <c r="S80" s="272"/>
    </row>
    <row r="81" spans="1:19" s="12" customFormat="1" x14ac:dyDescent="0.2">
      <c r="A81" s="17"/>
      <c r="B81" s="22"/>
      <c r="C81" s="10"/>
      <c r="D81" s="22"/>
      <c r="E81" s="236" t="s">
        <v>130</v>
      </c>
      <c r="F81" s="234"/>
      <c r="G81" s="1259" t="s">
        <v>96</v>
      </c>
      <c r="H81" s="378"/>
      <c r="I81" s="10"/>
      <c r="J81" s="22"/>
      <c r="K81" s="1233" t="s">
        <v>100</v>
      </c>
      <c r="L81" s="22"/>
      <c r="M81" s="372" t="s">
        <v>101</v>
      </c>
      <c r="N81" s="47"/>
      <c r="O81" s="3"/>
      <c r="P81" s="272"/>
      <c r="Q81" s="272"/>
      <c r="R81" s="272"/>
      <c r="S81" s="272"/>
    </row>
    <row r="82" spans="1:19" s="371" customFormat="1" x14ac:dyDescent="0.2">
      <c r="A82" s="377"/>
      <c r="B82" s="375"/>
      <c r="C82" s="374"/>
      <c r="D82" s="375"/>
      <c r="E82" s="1221" t="str">
        <f>HYPERLINK("http://kaart.delfi.ee//?bookmark=ebd616e171f4882941c876d5ba118858","Voka")</f>
        <v>Voka</v>
      </c>
      <c r="F82" s="382"/>
      <c r="G82" s="1241" t="str">
        <f>HYPERLINK("https://kaart.delfi.ee/?bookmark=521b80d6ceeefbe3e5d227267242b576","K-Järve")</f>
        <v>K-Järve</v>
      </c>
      <c r="H82" s="378"/>
      <c r="I82" s="374"/>
      <c r="J82" s="375"/>
      <c r="K82" s="1411" t="str">
        <f>HYPERLINK("https://kaart.delfi.ee/?bookmark=521b80d6ceeefbe3e5d227267242b576","K-Järve")</f>
        <v>K-Järve</v>
      </c>
      <c r="L82" s="1426"/>
      <c r="M82" s="1424" t="str">
        <f>HYPERLINK("https://kaart.delfi.ee/?bookmark=521b80d6ceeefbe3e5d227267242b576","K-Järve")</f>
        <v>K-Järve</v>
      </c>
      <c r="N82" s="47"/>
      <c r="O82" s="370"/>
      <c r="P82" s="370"/>
      <c r="Q82" s="370"/>
      <c r="R82" s="370"/>
      <c r="S82" s="370"/>
    </row>
    <row r="83" spans="1:19" s="371" customFormat="1" x14ac:dyDescent="0.2">
      <c r="A83" s="377"/>
      <c r="B83" s="375"/>
      <c r="C83" s="374"/>
      <c r="D83" s="375"/>
      <c r="E83" s="236"/>
      <c r="F83" s="382"/>
      <c r="G83" s="899"/>
      <c r="H83" s="378"/>
      <c r="I83" s="374"/>
      <c r="J83" s="375"/>
      <c r="K83" s="1432" t="str">
        <f>HYPERLINK("http://petanque.planet.ee/kalender/kalender.php?view=yritus&amp;id=1308","8. Katariina karikas, TRIO")</f>
        <v>8. Katariina karikas, TRIO</v>
      </c>
      <c r="L83" s="1400"/>
      <c r="M83" s="377"/>
      <c r="N83" s="1425"/>
      <c r="O83" s="370"/>
      <c r="P83" s="370"/>
      <c r="Q83" s="370"/>
      <c r="R83" s="370"/>
      <c r="S83" s="370"/>
    </row>
    <row r="84" spans="1:19" s="12" customFormat="1" ht="13.5" thickBot="1" x14ac:dyDescent="0.25">
      <c r="A84" s="19"/>
      <c r="B84" s="20"/>
      <c r="C84" s="21"/>
      <c r="D84" s="20"/>
      <c r="E84" s="239"/>
      <c r="F84" s="235"/>
      <c r="G84" s="389"/>
      <c r="H84" s="381"/>
      <c r="I84" s="21"/>
      <c r="J84" s="20"/>
      <c r="K84" s="1254" t="str">
        <f>HYPERLINK("https://kaart.delfi.ee//?bookmark=2bb384d42ffa0c5e5f7907ddcf503cac","Võru")</f>
        <v>Võru</v>
      </c>
      <c r="L84" s="46" t="str">
        <f>HYPERLINK("https://www.facebook.com/408646699492600/photos/a.424661737891096.1073741834.408646699492600/450262921997644/?type=3","inf")</f>
        <v>inf</v>
      </c>
      <c r="M84" s="373"/>
      <c r="N84" s="284"/>
      <c r="O84" s="3"/>
      <c r="P84" s="272"/>
      <c r="Q84" s="272"/>
      <c r="R84" s="272"/>
      <c r="S84" s="272"/>
    </row>
    <row r="85" spans="1:19" s="12" customFormat="1" x14ac:dyDescent="0.2">
      <c r="A85" s="13"/>
      <c r="B85" s="16">
        <v>21</v>
      </c>
      <c r="C85" s="376"/>
      <c r="D85" s="16">
        <v>22</v>
      </c>
      <c r="E85" s="376"/>
      <c r="F85" s="16">
        <v>23</v>
      </c>
      <c r="G85" s="1242" t="str">
        <f>HYPERLINK("#10!J1","K-Järve 16. MV")</f>
        <v>K-Järve 16. MV</v>
      </c>
      <c r="H85" s="16">
        <v>24</v>
      </c>
      <c r="I85" s="15"/>
      <c r="J85" s="16">
        <v>25</v>
      </c>
      <c r="K85" s="1228" t="str">
        <f>HYPERLINK("http://www.petanque.ee/index.php?id=103761&amp;cid=519","""Klubide karikas""")</f>
        <v>"Klubide karikas"</v>
      </c>
      <c r="L85" s="16">
        <v>26</v>
      </c>
      <c r="M85" s="376"/>
      <c r="N85" s="280">
        <v>27</v>
      </c>
      <c r="O85" s="3"/>
      <c r="P85" s="272"/>
      <c r="Q85" s="272"/>
      <c r="R85" s="272"/>
      <c r="S85" s="272"/>
    </row>
    <row r="86" spans="1:19" s="12" customFormat="1" x14ac:dyDescent="0.2">
      <c r="A86" s="17"/>
      <c r="B86" s="18"/>
      <c r="C86" s="374"/>
      <c r="D86" s="282"/>
      <c r="E86" s="374"/>
      <c r="F86" s="18"/>
      <c r="G86" s="1261" t="s">
        <v>9</v>
      </c>
      <c r="H86" s="386"/>
      <c r="I86" s="10"/>
      <c r="J86" s="18"/>
      <c r="K86" s="1255" t="s">
        <v>262</v>
      </c>
      <c r="L86" s="18"/>
      <c r="M86" s="27" t="s">
        <v>705</v>
      </c>
      <c r="N86" s="375"/>
      <c r="O86" s="3"/>
      <c r="P86" s="272"/>
      <c r="Q86" s="272"/>
      <c r="R86" s="272"/>
      <c r="S86" s="272"/>
    </row>
    <row r="87" spans="1:19" ht="13.5" thickBot="1" x14ac:dyDescent="0.25">
      <c r="A87" s="19"/>
      <c r="B87" s="20"/>
      <c r="C87" s="373"/>
      <c r="D87" s="284"/>
      <c r="E87" s="373"/>
      <c r="F87" s="20"/>
      <c r="G87" s="1227" t="str">
        <f>HYPERLINK("https://kaart.delfi.ee/?bookmark=521b80d6ceeefbe3e5d227267242b576","K-Järve")</f>
        <v>K-Järve</v>
      </c>
      <c r="H87" s="381"/>
      <c r="I87" s="21"/>
      <c r="J87" s="20"/>
      <c r="K87" s="1256" t="s">
        <v>98</v>
      </c>
      <c r="L87" s="20"/>
      <c r="M87" s="1431" t="s">
        <v>706</v>
      </c>
      <c r="N87" s="284"/>
      <c r="P87" s="272"/>
      <c r="Q87" s="272"/>
      <c r="R87" s="272"/>
      <c r="S87" s="272"/>
    </row>
    <row r="88" spans="1:19" ht="13.5" thickBot="1" x14ac:dyDescent="0.25">
      <c r="A88" s="7" t="s">
        <v>15</v>
      </c>
      <c r="B88" s="23"/>
      <c r="C88" s="9"/>
      <c r="D88" s="11"/>
      <c r="E88" s="374"/>
      <c r="F88" s="11"/>
      <c r="G88" s="10"/>
      <c r="H88" s="30"/>
      <c r="I88" s="11"/>
      <c r="J88" s="30"/>
      <c r="K88" s="374"/>
      <c r="L88" s="11"/>
      <c r="M88" s="24"/>
      <c r="N88" s="11"/>
      <c r="P88" s="272"/>
      <c r="Q88" s="272"/>
      <c r="R88" s="272"/>
      <c r="S88" s="272"/>
    </row>
    <row r="89" spans="1:19" x14ac:dyDescent="0.2">
      <c r="A89" s="13"/>
      <c r="B89" s="16">
        <v>28</v>
      </c>
      <c r="C89" s="15"/>
      <c r="D89" s="16">
        <v>29</v>
      </c>
      <c r="E89" s="376"/>
      <c r="F89" s="16">
        <v>30</v>
      </c>
      <c r="G89" s="15"/>
      <c r="H89" s="241">
        <v>31</v>
      </c>
      <c r="I89" s="15"/>
      <c r="J89" s="16">
        <v>1</v>
      </c>
      <c r="K89" s="1257" t="str">
        <f>HYPERLINK("http://www.petanque.ee/index.php?id=103761&amp;cid=520","26. Eesti MV, ")</f>
        <v xml:space="preserve">26. Eesti MV, </v>
      </c>
      <c r="L89" s="280">
        <v>2</v>
      </c>
      <c r="M89" s="1232" t="str">
        <f>HYPERLINK("http://www.petanque.ee/index.php?id=103761&amp;cid=521","EPKL reiting,")</f>
        <v>EPKL reiting,</v>
      </c>
      <c r="N89" s="280">
        <v>3</v>
      </c>
      <c r="P89" s="272"/>
      <c r="Q89" s="272"/>
      <c r="R89" s="272"/>
      <c r="S89" s="272"/>
    </row>
    <row r="90" spans="1:19" x14ac:dyDescent="0.2">
      <c r="A90" s="17"/>
      <c r="B90" s="18"/>
      <c r="C90" s="10"/>
      <c r="D90" s="18"/>
      <c r="E90" s="374"/>
      <c r="F90" s="18"/>
      <c r="G90" s="10"/>
      <c r="H90" s="242"/>
      <c r="I90" s="10"/>
      <c r="J90" s="18"/>
      <c r="K90" s="1233" t="s">
        <v>9</v>
      </c>
      <c r="L90" s="282"/>
      <c r="M90" s="1233" t="s">
        <v>29</v>
      </c>
      <c r="N90" s="282"/>
      <c r="P90" s="272"/>
      <c r="Q90" s="272"/>
      <c r="R90" s="272"/>
      <c r="S90" s="272"/>
    </row>
    <row r="91" spans="1:19" ht="13.5" thickBot="1" x14ac:dyDescent="0.25">
      <c r="A91" s="243"/>
      <c r="B91" s="244"/>
      <c r="C91" s="245"/>
      <c r="D91" s="244"/>
      <c r="E91" s="245"/>
      <c r="F91" s="244"/>
      <c r="G91" s="245"/>
      <c r="H91" s="246"/>
      <c r="I91" s="285"/>
      <c r="J91" s="284"/>
      <c r="K91" s="1258" t="str">
        <f>HYPERLINK("https://kaart.delfi.ee//?bookmark=36ee67ba7cba151859305c222805d114","Saku")</f>
        <v>Saku</v>
      </c>
      <c r="L91" s="284"/>
      <c r="M91" s="1258" t="str">
        <f>HYPERLINK("https://kaart.delfi.ee//?bookmark=36ee67ba7cba151859305c222805d114","Saku")</f>
        <v>Saku</v>
      </c>
      <c r="N91" s="284"/>
      <c r="P91" s="272"/>
      <c r="Q91" s="272"/>
      <c r="R91" s="272"/>
      <c r="S91" s="272"/>
    </row>
    <row r="92" spans="1:19" ht="13.5" thickTop="1" x14ac:dyDescent="0.2">
      <c r="A92" s="17"/>
      <c r="B92" s="240">
        <v>4</v>
      </c>
      <c r="C92" s="10"/>
      <c r="D92" s="240">
        <v>5</v>
      </c>
      <c r="E92" s="1221" t="str">
        <f>HYPERLINK("#V9!G1","Voka 4. ")</f>
        <v xml:space="preserve">Voka 4. </v>
      </c>
      <c r="F92" s="240">
        <v>6</v>
      </c>
      <c r="G92" s="10"/>
      <c r="H92" s="240">
        <v>7</v>
      </c>
      <c r="I92" s="279"/>
      <c r="J92" s="280">
        <v>8</v>
      </c>
      <c r="K92" s="166" t="str">
        <f>HYPERLINK("http://www.petanque.ee/index.php?id=103761&amp;cid=522","24. Eesti-Soome ")</f>
        <v xml:space="preserve">24. Eesti-Soome </v>
      </c>
      <c r="L92" s="280">
        <v>9</v>
      </c>
      <c r="M92" s="1242" t="str">
        <f>HYPERLINK("#11!J1","I-Virumaa MV, ")</f>
        <v xml:space="preserve">I-Virumaa MV, </v>
      </c>
      <c r="N92" s="280">
        <v>10</v>
      </c>
      <c r="P92" s="272"/>
      <c r="Q92" s="272"/>
      <c r="R92" s="272"/>
      <c r="S92" s="272"/>
    </row>
    <row r="93" spans="1:19" x14ac:dyDescent="0.2">
      <c r="A93" s="17"/>
      <c r="B93" s="18"/>
      <c r="C93" s="10"/>
      <c r="D93" s="18"/>
      <c r="E93" s="236" t="s">
        <v>131</v>
      </c>
      <c r="F93" s="237"/>
      <c r="G93" s="10"/>
      <c r="H93" s="18"/>
      <c r="I93" s="10"/>
      <c r="J93" s="18"/>
      <c r="K93" s="50" t="s">
        <v>102</v>
      </c>
      <c r="L93" s="18"/>
      <c r="M93" s="383" t="s">
        <v>9</v>
      </c>
      <c r="N93" s="386"/>
    </row>
    <row r="94" spans="1:19" ht="13.5" thickBot="1" x14ac:dyDescent="0.25">
      <c r="A94" s="19"/>
      <c r="B94" s="20"/>
      <c r="C94" s="21"/>
      <c r="D94" s="20"/>
      <c r="E94" s="1220" t="str">
        <f>HYPERLINK("http://kaart.delfi.ee//?bookmark=ebd616e171f4882941c876d5ba118858","Voka")</f>
        <v>Voka</v>
      </c>
      <c r="F94" s="235"/>
      <c r="G94" s="21"/>
      <c r="H94" s="20"/>
      <c r="I94" s="283"/>
      <c r="J94" s="284"/>
      <c r="K94" s="1271" t="str">
        <f>HYPERLINK("https://kaart.delfi.ee/?bookmark=3997edd9e42bffb3d1b01260e8774b71","Tallinn, Linnu tee 11")</f>
        <v>Tallinn, Linnu tee 11</v>
      </c>
      <c r="L94" s="284"/>
      <c r="M94" s="1227" t="str">
        <f>HYPERLINK("http://kaart.delfi.ee//?bookmark=ebd616e171f4882941c876d5ba118858","Voka")</f>
        <v>Voka</v>
      </c>
      <c r="N94" s="381"/>
    </row>
    <row r="95" spans="1:19" x14ac:dyDescent="0.2">
      <c r="A95" s="13"/>
      <c r="B95" s="16">
        <v>11</v>
      </c>
      <c r="C95" s="15"/>
      <c r="D95" s="16">
        <v>12</v>
      </c>
      <c r="E95" s="376"/>
      <c r="F95" s="16">
        <v>13</v>
      </c>
      <c r="G95" s="15"/>
      <c r="H95" s="16">
        <v>14</v>
      </c>
      <c r="I95" s="277"/>
      <c r="J95" s="280">
        <v>15</v>
      </c>
      <c r="K95" s="939" t="s">
        <v>103</v>
      </c>
      <c r="L95" s="280">
        <v>16</v>
      </c>
      <c r="M95" s="1242" t="str">
        <f>HYPERLINK("#12!J1","K-Järve 18. MV")</f>
        <v>K-Järve 18. MV</v>
      </c>
      <c r="N95" s="16">
        <v>17</v>
      </c>
    </row>
    <row r="96" spans="1:19" x14ac:dyDescent="0.2">
      <c r="A96" s="17"/>
      <c r="B96" s="18"/>
      <c r="C96" s="10"/>
      <c r="D96" s="18"/>
      <c r="E96" s="374"/>
      <c r="F96" s="18"/>
      <c r="G96" s="10"/>
      <c r="H96" s="18"/>
      <c r="I96" s="10"/>
      <c r="J96" s="18"/>
      <c r="K96" s="370"/>
      <c r="L96" s="18"/>
      <c r="M96" s="1261" t="s">
        <v>29</v>
      </c>
      <c r="N96" s="386"/>
    </row>
    <row r="97" spans="1:14" ht="13.5" thickBot="1" x14ac:dyDescent="0.25">
      <c r="A97" s="19"/>
      <c r="B97" s="20"/>
      <c r="C97" s="21"/>
      <c r="D97" s="20"/>
      <c r="E97" s="373"/>
      <c r="F97" s="20"/>
      <c r="G97" s="21"/>
      <c r="H97" s="20"/>
      <c r="I97" s="21"/>
      <c r="J97" s="20"/>
      <c r="K97" s="1244" t="str">
        <f>HYPERLINK("https://kaart.delfi.ee//?bookmark=36ee67ba7cba151859305c222805d114","Saku")</f>
        <v>Saku</v>
      </c>
      <c r="L97" s="20"/>
      <c r="M97" s="1227" t="str">
        <f>HYPERLINK("https://kaart.delfi.ee/?bookmark=521b80d6ceeefbe3e5d227267242b576","K-Järve")</f>
        <v>K-Järve</v>
      </c>
      <c r="N97" s="381"/>
    </row>
    <row r="98" spans="1:14" x14ac:dyDescent="0.2">
      <c r="A98" s="13"/>
      <c r="B98" s="16">
        <v>18</v>
      </c>
      <c r="C98" s="15"/>
      <c r="D98" s="16">
        <v>19</v>
      </c>
      <c r="E98" s="939"/>
      <c r="F98" s="16">
        <v>20</v>
      </c>
      <c r="G98" s="376"/>
      <c r="H98" s="16">
        <v>21</v>
      </c>
      <c r="I98" s="376"/>
      <c r="J98" s="16">
        <v>22</v>
      </c>
      <c r="K98" s="1215" t="str">
        <f>HYPERLINK("#M4!I1","Mäetaguse 8. ")</f>
        <v xml:space="preserve">Mäetaguse 8. </v>
      </c>
      <c r="L98" s="16">
        <v>23</v>
      </c>
      <c r="M98" s="1272" t="str">
        <f>HYPERLINK("#13!J1","Jõhvi 17. MV, ")</f>
        <v xml:space="preserve">Jõhvi 17. MV, </v>
      </c>
      <c r="N98" s="16">
        <v>24</v>
      </c>
    </row>
    <row r="99" spans="1:14" s="370" customFormat="1" x14ac:dyDescent="0.2">
      <c r="A99" s="377"/>
      <c r="B99" s="375"/>
      <c r="C99" s="374"/>
      <c r="D99" s="375"/>
      <c r="E99" s="377"/>
      <c r="F99" s="375"/>
      <c r="G99" s="374"/>
      <c r="H99" s="372"/>
      <c r="I99" s="380"/>
      <c r="J99" s="375"/>
      <c r="K99" s="1267" t="s">
        <v>33</v>
      </c>
      <c r="L99" s="72"/>
      <c r="M99" s="1273" t="s">
        <v>96</v>
      </c>
      <c r="N99" s="378"/>
    </row>
    <row r="100" spans="1:14" s="370" customFormat="1" x14ac:dyDescent="0.2">
      <c r="A100" s="377"/>
      <c r="B100" s="375"/>
      <c r="C100" s="374"/>
      <c r="D100" s="375"/>
      <c r="E100" s="940"/>
      <c r="F100" s="375"/>
      <c r="G100" s="1378"/>
      <c r="H100" s="1379"/>
      <c r="I100" s="1380"/>
      <c r="J100" s="1381"/>
      <c r="K100" s="1382" t="str">
        <f>HYPERLINK("http://kaart.delfi.ee/?bookmark=96e8ef31375c7e6041cd302dca543f69","Mäetaguse staadion")</f>
        <v>Mäetaguse staadion</v>
      </c>
      <c r="L100" s="1383"/>
      <c r="M100" s="1384" t="str">
        <f>HYPERLINK("https://kaart.delfi.ee/?bookmark=4c0b1b0c24ff9f4919899a9546bf50f1","Jõhvi, Neptun")</f>
        <v>Jõhvi, Neptun</v>
      </c>
      <c r="N100" s="1385"/>
    </row>
    <row r="101" spans="1:14" s="370" customFormat="1" hidden="1" x14ac:dyDescent="0.2">
      <c r="A101" s="377"/>
      <c r="B101" s="375"/>
      <c r="C101" s="374"/>
      <c r="D101" s="375"/>
      <c r="E101" s="941"/>
      <c r="F101" s="375"/>
      <c r="G101" s="1427"/>
      <c r="H101" s="1428"/>
      <c r="I101" s="1429"/>
      <c r="J101" s="1428"/>
      <c r="K101" s="295"/>
      <c r="L101" s="372"/>
      <c r="M101" s="295"/>
      <c r="N101" s="375"/>
    </row>
    <row r="102" spans="1:14" x14ac:dyDescent="0.2">
      <c r="A102" s="17"/>
      <c r="B102" s="18"/>
      <c r="C102" s="10"/>
      <c r="D102" s="18"/>
      <c r="E102" s="404"/>
      <c r="F102" s="282"/>
      <c r="G102" s="1367"/>
      <c r="H102" s="1372"/>
      <c r="I102" s="1373"/>
      <c r="J102" s="1374"/>
      <c r="K102" s="1375" t="s">
        <v>695</v>
      </c>
      <c r="L102" s="1374"/>
      <c r="M102" s="1376"/>
      <c r="N102" s="1377"/>
    </row>
    <row r="103" spans="1:14" ht="13.5" thickBot="1" x14ac:dyDescent="0.25">
      <c r="A103" s="19"/>
      <c r="B103" s="20"/>
      <c r="C103" s="21"/>
      <c r="D103" s="20"/>
      <c r="E103" s="942"/>
      <c r="F103" s="284"/>
      <c r="G103" s="161"/>
      <c r="H103" s="158"/>
      <c r="I103" s="159"/>
      <c r="J103" s="160"/>
      <c r="K103" s="162" t="str">
        <f>HYPERLINK("https://www.google.ru/maps/place/Boulodrome+Henri+Salvador/@49.2868536,1.0442631,533m/data=!3m2!1e3!4b1!4m5!3m4!1s0x47e11f5128787425:0x6679752e727b4f2b!8m2!3d49.2868501!4d1.0464518","Saint-Pierre-lès-Elbeuf (Prantsusmaa)")</f>
        <v>Saint-Pierre-lès-Elbeuf (Prantsusmaa)</v>
      </c>
      <c r="L103" s="158"/>
      <c r="M103" s="159"/>
      <c r="N103" s="1305" t="str">
        <f>HYPERLINK("http://www.cep-petanque.com/men.html","tul")</f>
        <v>tul</v>
      </c>
    </row>
    <row r="104" spans="1:14" s="31" customFormat="1" ht="13.5" thickBot="1" x14ac:dyDescent="0.25">
      <c r="A104" s="29" t="s">
        <v>16</v>
      </c>
      <c r="B104" s="23"/>
      <c r="C104" s="9"/>
      <c r="D104" s="11"/>
      <c r="E104" s="374"/>
      <c r="F104" s="11"/>
      <c r="G104" s="10"/>
      <c r="H104" s="11"/>
      <c r="I104" s="11"/>
      <c r="J104" s="11"/>
      <c r="K104" s="10"/>
      <c r="L104" s="11"/>
      <c r="M104" s="10"/>
      <c r="N104" s="11"/>
    </row>
    <row r="105" spans="1:14" x14ac:dyDescent="0.2">
      <c r="A105" s="13"/>
      <c r="B105" s="16">
        <v>25</v>
      </c>
      <c r="C105" s="15"/>
      <c r="D105" s="16">
        <v>26</v>
      </c>
      <c r="E105" s="376"/>
      <c r="F105" s="16">
        <v>27</v>
      </c>
      <c r="G105" s="15"/>
      <c r="H105" s="16">
        <v>28</v>
      </c>
      <c r="I105" s="15"/>
      <c r="J105" s="16">
        <v>29</v>
      </c>
      <c r="K105" s="1270" t="str">
        <f>HYPERLINK("#V10!G1","Voka 4. ")</f>
        <v xml:space="preserve">Voka 4. </v>
      </c>
      <c r="L105" s="241">
        <v>30</v>
      </c>
      <c r="M105" s="1215" t="str">
        <f>HYPERLINK("#M5!K1","Mäetaguse 8. KV")</f>
        <v>Mäetaguse 8. KV</v>
      </c>
      <c r="N105" s="16">
        <v>1</v>
      </c>
    </row>
    <row r="106" spans="1:14" x14ac:dyDescent="0.2">
      <c r="A106" s="17"/>
      <c r="B106" s="18"/>
      <c r="C106" s="10"/>
      <c r="D106" s="18"/>
      <c r="E106" s="374"/>
      <c r="F106" s="18"/>
      <c r="G106" s="10"/>
      <c r="H106" s="18"/>
      <c r="I106" s="10"/>
      <c r="J106" s="18"/>
      <c r="K106" s="236" t="s">
        <v>151</v>
      </c>
      <c r="L106" s="924"/>
      <c r="M106" s="1267" t="s">
        <v>34</v>
      </c>
      <c r="N106" s="72"/>
    </row>
    <row r="107" spans="1:14" ht="13.5" thickBot="1" x14ac:dyDescent="0.25">
      <c r="A107" s="243"/>
      <c r="B107" s="244"/>
      <c r="C107" s="245"/>
      <c r="D107" s="244"/>
      <c r="E107" s="245"/>
      <c r="F107" s="244"/>
      <c r="G107" s="245"/>
      <c r="H107" s="244"/>
      <c r="I107" s="245"/>
      <c r="J107" s="244"/>
      <c r="K107" s="1265" t="str">
        <f>HYPERLINK("http://kaart.delfi.ee//?bookmark=ebd616e171f4882941c876d5ba118858","Voka")</f>
        <v>Voka</v>
      </c>
      <c r="L107" s="925"/>
      <c r="M107" s="1268" t="str">
        <f>HYPERLINK("http://kaart.delfi.ee/?bookmark=96e8ef31375c7e6041cd302dca543f69","Mäetaguse staadion")</f>
        <v>Mäetaguse staadion</v>
      </c>
      <c r="N107" s="73"/>
    </row>
    <row r="108" spans="1:14" ht="13.5" thickTop="1" x14ac:dyDescent="0.2">
      <c r="A108" s="17"/>
      <c r="B108" s="240">
        <v>2</v>
      </c>
      <c r="C108" s="10"/>
      <c r="D108" s="240">
        <v>3</v>
      </c>
      <c r="E108" s="374"/>
      <c r="F108" s="240">
        <v>4</v>
      </c>
      <c r="G108" s="431"/>
      <c r="H108" s="240">
        <v>5</v>
      </c>
      <c r="I108" s="10"/>
      <c r="J108" s="240">
        <v>6</v>
      </c>
      <c r="K108" s="10"/>
      <c r="L108" s="240">
        <v>7</v>
      </c>
      <c r="M108" s="1365" t="str">
        <f>HYPERLINK("#'V-Fin'!K1","Voka 4.KV superfinaal, ")</f>
        <v xml:space="preserve">Voka 4.KV superfinaal, </v>
      </c>
      <c r="N108" s="16">
        <v>8</v>
      </c>
    </row>
    <row r="109" spans="1:14" s="370" customFormat="1" x14ac:dyDescent="0.2">
      <c r="A109" s="377"/>
      <c r="B109" s="375"/>
      <c r="C109" s="374"/>
      <c r="D109" s="375"/>
      <c r="E109" s="374"/>
      <c r="F109" s="375"/>
      <c r="G109" s="432"/>
      <c r="H109" s="375"/>
      <c r="I109" s="374"/>
      <c r="J109" s="375"/>
      <c r="K109" s="374"/>
      <c r="L109" s="375"/>
      <c r="M109" s="236" t="s">
        <v>96</v>
      </c>
      <c r="N109" s="382"/>
    </row>
    <row r="110" spans="1:14" s="370" customFormat="1" x14ac:dyDescent="0.2">
      <c r="A110" s="377"/>
      <c r="B110" s="375"/>
      <c r="C110" s="374"/>
      <c r="D110" s="375"/>
      <c r="E110" s="374"/>
      <c r="F110" s="375"/>
      <c r="G110" s="432"/>
      <c r="H110" s="375"/>
      <c r="I110" s="374"/>
      <c r="J110" s="375"/>
      <c r="K110" s="374"/>
      <c r="L110" s="375"/>
      <c r="M110" s="1269" t="str">
        <f>HYPERLINK("#'V-Pl'!Z1","Voka pliks-plaks, ÜKSIK")</f>
        <v>Voka pliks-plaks, ÜKSIK</v>
      </c>
      <c r="N110" s="263"/>
    </row>
    <row r="111" spans="1:14" s="370" customFormat="1" x14ac:dyDescent="0.2">
      <c r="A111" s="377"/>
      <c r="B111" s="375"/>
      <c r="C111" s="374"/>
      <c r="D111" s="375"/>
      <c r="E111" s="374"/>
      <c r="F111" s="375"/>
      <c r="G111" s="432"/>
      <c r="H111" s="375"/>
      <c r="I111" s="374"/>
      <c r="J111" s="375"/>
      <c r="K111" s="374"/>
      <c r="L111" s="375"/>
      <c r="M111" s="1220" t="str">
        <f>HYPERLINK("http://kaart.delfi.ee//?bookmark=ebd616e171f4882941c876d5ba118858","Voka")</f>
        <v>Voka</v>
      </c>
      <c r="N111" s="382"/>
    </row>
    <row r="112" spans="1:14" s="370" customFormat="1" x14ac:dyDescent="0.2">
      <c r="A112" s="377"/>
      <c r="B112" s="375"/>
      <c r="C112" s="374"/>
      <c r="D112" s="375"/>
      <c r="E112" s="374"/>
      <c r="F112" s="375"/>
      <c r="G112" s="978"/>
      <c r="H112" s="375"/>
      <c r="I112" s="1367"/>
      <c r="J112" s="1368"/>
      <c r="K112" s="1369" t="s">
        <v>696</v>
      </c>
      <c r="L112" s="1370"/>
      <c r="M112" s="1369"/>
      <c r="N112" s="1371" t="str">
        <f>HYPERLINK("http://www.petanque.dk/cms/?&amp;pageid=24550","inf")</f>
        <v>inf</v>
      </c>
    </row>
    <row r="113" spans="1:14" s="370" customFormat="1" ht="13.5" thickBot="1" x14ac:dyDescent="0.25">
      <c r="A113" s="283"/>
      <c r="B113" s="284"/>
      <c r="C113" s="373"/>
      <c r="D113" s="284"/>
      <c r="E113" s="373"/>
      <c r="F113" s="284"/>
      <c r="G113" s="979"/>
      <c r="H113" s="284"/>
      <c r="I113" s="1304" t="str">
        <f>HYPERLINK("https://www.facebook.com/petanque.dk/","otseülekanne")</f>
        <v>otseülekanne</v>
      </c>
      <c r="J113" s="980"/>
      <c r="K113" s="980"/>
      <c r="L113" s="160" t="str">
        <f>HYPERLINK("https://www.google.ru/maps/place/Hedebo+Petanque+Club/@55.5617699,12.2499644,462m/data=!3m2!1e3!4b1!4m5!3m4!1s0x4652f7bbce32bc4f:0x2afad67bcc5742c!8m2!3d55.5617669!4d12.2521531","Karlslunde (Taani)")</f>
        <v>Karlslunde (Taani)</v>
      </c>
      <c r="M113" s="980"/>
      <c r="N113" s="1305" t="str">
        <f>HYPERLINK("http://www.cep-petanque.com/veterans.html","tul")</f>
        <v>tul</v>
      </c>
    </row>
    <row r="114" spans="1:14" x14ac:dyDescent="0.2">
      <c r="A114" s="277"/>
      <c r="B114" s="280">
        <v>9</v>
      </c>
      <c r="C114" s="376"/>
      <c r="D114" s="280">
        <v>10</v>
      </c>
      <c r="E114" s="376"/>
      <c r="F114" s="280">
        <v>11</v>
      </c>
      <c r="G114" s="376"/>
      <c r="H114" s="280">
        <v>12</v>
      </c>
      <c r="I114" s="376"/>
      <c r="J114" s="280">
        <v>13</v>
      </c>
      <c r="K114" s="376"/>
      <c r="L114" s="280">
        <v>14</v>
      </c>
      <c r="M114" s="407" t="str">
        <f>HYPERLINK("#L!W1","Hooaja lõpetamine")</f>
        <v>Hooaja lõpetamine</v>
      </c>
      <c r="N114" s="280">
        <v>15</v>
      </c>
    </row>
    <row r="115" spans="1:14" x14ac:dyDescent="0.2">
      <c r="A115" s="17"/>
      <c r="B115" s="18"/>
      <c r="C115" s="10"/>
      <c r="D115" s="18"/>
      <c r="E115" s="10"/>
      <c r="F115" s="18"/>
      <c r="G115" s="10"/>
      <c r="H115" s="18"/>
      <c r="I115" s="10"/>
      <c r="J115" s="18"/>
      <c r="K115" s="10"/>
      <c r="L115" s="18"/>
      <c r="M115" s="384" t="s">
        <v>214</v>
      </c>
      <c r="N115" s="393"/>
    </row>
    <row r="116" spans="1:14" ht="13.5" thickBot="1" x14ac:dyDescent="0.25">
      <c r="A116" s="1296"/>
      <c r="B116" s="1297"/>
      <c r="C116" s="1298"/>
      <c r="D116" s="1297"/>
      <c r="E116" s="1298"/>
      <c r="F116" s="1297"/>
      <c r="G116" s="1298"/>
      <c r="H116" s="1297"/>
      <c r="I116" s="1298"/>
      <c r="J116" s="1297"/>
      <c r="K116" s="1298"/>
      <c r="L116" s="1297"/>
      <c r="M116" s="1299" t="str">
        <f>HYPERLINK("https://kaart.delfi.ee/?bookmark=521b80d6ceeefbe3e5d227267242b576","K-Järve")</f>
        <v>K-Järve</v>
      </c>
      <c r="N116" s="1300"/>
    </row>
    <row r="117" spans="1:14" x14ac:dyDescent="0.2">
      <c r="A117" s="1301"/>
      <c r="B117" s="1302">
        <v>23</v>
      </c>
      <c r="C117" s="1303"/>
      <c r="D117" s="1302">
        <v>24</v>
      </c>
      <c r="E117" s="1303"/>
      <c r="F117" s="1302">
        <v>25</v>
      </c>
      <c r="G117" s="1303"/>
      <c r="H117" s="1302">
        <v>26</v>
      </c>
      <c r="I117" s="1303"/>
      <c r="J117" s="1302">
        <v>27</v>
      </c>
      <c r="K117" s="1311" t="str">
        <f>HYPERLINK("http://petanque.planet.ee/kundapetank/?download=Voka1.htm","Voka 1. etapp, DUO")</f>
        <v>Voka 1. etapp, DUO</v>
      </c>
      <c r="L117" s="1302">
        <v>28</v>
      </c>
      <c r="M117" s="1303"/>
      <c r="N117" s="1302">
        <v>29</v>
      </c>
    </row>
    <row r="118" spans="1:14" ht="13.5" thickBot="1" x14ac:dyDescent="0.25">
      <c r="A118" s="19"/>
      <c r="B118" s="20"/>
      <c r="C118" s="21"/>
      <c r="D118" s="20"/>
      <c r="E118" s="21"/>
      <c r="F118" s="20"/>
      <c r="G118" s="21"/>
      <c r="H118" s="20"/>
      <c r="I118" s="21"/>
      <c r="J118" s="20"/>
      <c r="K118" s="1309" t="str">
        <f>HYPERLINK("http://kaart.delfi.ee//?bookmark=09d305afc0b595ba4bf636bcdbebd941","Voka petangihall")</f>
        <v>Voka petangihall</v>
      </c>
      <c r="L118" s="1310"/>
      <c r="M118" s="373"/>
      <c r="N118" s="20"/>
    </row>
    <row r="119" spans="1:14" x14ac:dyDescent="0.2">
      <c r="A119" s="7" t="s">
        <v>17</v>
      </c>
      <c r="B119" s="23"/>
      <c r="C119" s="9"/>
      <c r="D119" s="1295"/>
      <c r="E119" s="376"/>
      <c r="F119" s="16">
        <v>1</v>
      </c>
      <c r="G119" s="15"/>
      <c r="H119" s="16">
        <v>2</v>
      </c>
      <c r="I119" s="15"/>
      <c r="J119" s="16">
        <v>3</v>
      </c>
      <c r="K119" s="15"/>
      <c r="L119" s="16">
        <v>4</v>
      </c>
      <c r="M119" s="1294" t="str">
        <f>HYPERLINK("http://www.fipjp.org/index.php/en/news/item/110-16e-world-championships-of-petanque-young-and-women-in-kaihua-china","ajakava")</f>
        <v>ajakava</v>
      </c>
      <c r="N119" s="16">
        <v>5</v>
      </c>
    </row>
    <row r="120" spans="1:14" x14ac:dyDescent="0.2">
      <c r="A120" s="370"/>
      <c r="B120" s="370"/>
      <c r="C120" s="370"/>
      <c r="D120" s="1295"/>
      <c r="E120" s="374"/>
      <c r="F120" s="22"/>
      <c r="G120" s="10"/>
      <c r="H120" s="22"/>
      <c r="I120" s="10"/>
      <c r="J120" s="22"/>
      <c r="K120" s="10"/>
      <c r="L120" s="372"/>
      <c r="M120" s="391"/>
      <c r="N120" s="1366" t="s">
        <v>697</v>
      </c>
    </row>
    <row r="121" spans="1:14" ht="13.5" thickBot="1" x14ac:dyDescent="0.25">
      <c r="A121" s="1306"/>
      <c r="B121" s="1306"/>
      <c r="C121" s="1306"/>
      <c r="D121" s="1307"/>
      <c r="E121" s="373"/>
      <c r="F121" s="20"/>
      <c r="G121" s="21"/>
      <c r="H121" s="20"/>
      <c r="I121" s="21"/>
      <c r="J121" s="20"/>
      <c r="K121" s="21"/>
      <c r="L121" s="20"/>
      <c r="M121" s="1284" t="s">
        <v>19</v>
      </c>
      <c r="N121" s="20"/>
    </row>
    <row r="122" spans="1:14" s="370" customFormat="1" ht="13.5" thickTop="1" x14ac:dyDescent="0.2">
      <c r="A122" s="385"/>
      <c r="B122" s="301">
        <v>6</v>
      </c>
      <c r="C122" s="385"/>
      <c r="D122" s="301">
        <v>7</v>
      </c>
      <c r="E122" s="56"/>
      <c r="F122" s="280">
        <v>8</v>
      </c>
      <c r="G122" s="1294" t="str">
        <f>HYPERLINK("http://www.fipjp.org/index.php/en/news/item/110-16e-world-championships-of-petanque-young-and-women-in-kaihua-china","ajakava")</f>
        <v>ajakava</v>
      </c>
      <c r="H122" s="280">
        <v>9</v>
      </c>
      <c r="I122" s="56"/>
      <c r="J122" s="280">
        <v>10</v>
      </c>
      <c r="K122" s="157"/>
      <c r="L122" s="581">
        <v>11</v>
      </c>
      <c r="M122" s="277"/>
      <c r="N122" s="280">
        <v>12</v>
      </c>
    </row>
    <row r="123" spans="1:14" s="370" customFormat="1" x14ac:dyDescent="0.2">
      <c r="A123" s="1292" t="s">
        <v>697</v>
      </c>
      <c r="B123" s="69"/>
      <c r="C123" s="1293"/>
      <c r="D123" s="411"/>
      <c r="E123" s="1285"/>
      <c r="F123" s="1286"/>
      <c r="G123" s="1291" t="s">
        <v>698</v>
      </c>
      <c r="H123" s="69"/>
      <c r="I123" s="1289"/>
      <c r="J123" s="69"/>
      <c r="K123" s="1289"/>
      <c r="L123" s="1290"/>
      <c r="M123" s="1288"/>
      <c r="N123" s="1286"/>
    </row>
    <row r="124" spans="1:14" s="370" customFormat="1" ht="13.5" thickBot="1" x14ac:dyDescent="0.25">
      <c r="A124" s="161" t="s">
        <v>19</v>
      </c>
      <c r="B124" s="158"/>
      <c r="C124" s="159"/>
      <c r="D124" s="163"/>
      <c r="E124" s="49"/>
      <c r="F124" s="1287"/>
      <c r="G124" s="161" t="s">
        <v>19</v>
      </c>
      <c r="H124" s="609" t="str">
        <f>HYPERLINK("http://www.fipjp.org/index.php/en/world-championships-women/123-women-world-championships-2017","osalejad")</f>
        <v>osalejad</v>
      </c>
      <c r="I124" s="159"/>
      <c r="J124" s="158"/>
      <c r="K124" s="980"/>
      <c r="L124" s="158"/>
      <c r="M124" s="283"/>
      <c r="N124" s="284"/>
    </row>
    <row r="125" spans="1:14" x14ac:dyDescent="0.2">
      <c r="A125" s="7" t="s">
        <v>18</v>
      </c>
      <c r="B125" s="23"/>
      <c r="C125" s="9"/>
      <c r="D125" s="11"/>
      <c r="E125" s="10"/>
      <c r="F125" s="11"/>
      <c r="G125" s="10"/>
      <c r="H125" s="22"/>
      <c r="I125" s="55" t="s">
        <v>95</v>
      </c>
      <c r="J125" s="16">
        <v>1</v>
      </c>
      <c r="K125" s="55" t="s">
        <v>95</v>
      </c>
      <c r="L125" s="16">
        <v>2</v>
      </c>
      <c r="M125" s="55" t="s">
        <v>95</v>
      </c>
      <c r="N125" s="16">
        <v>3</v>
      </c>
    </row>
    <row r="126" spans="1:14" x14ac:dyDescent="0.2">
      <c r="A126" s="10"/>
      <c r="B126" s="10"/>
      <c r="C126" s="10"/>
      <c r="D126" s="10"/>
      <c r="E126" s="10"/>
      <c r="F126" s="10"/>
      <c r="G126" s="10"/>
      <c r="H126" s="18"/>
      <c r="I126" s="62"/>
      <c r="J126" s="66"/>
      <c r="K126" s="63"/>
      <c r="L126" s="67"/>
      <c r="M126" s="156" t="s">
        <v>12</v>
      </c>
      <c r="N126" s="68"/>
    </row>
    <row r="127" spans="1:14" ht="13.5" thickBot="1" x14ac:dyDescent="0.25">
      <c r="A127" s="21"/>
      <c r="B127" s="21"/>
      <c r="C127" s="21"/>
      <c r="D127" s="21"/>
      <c r="E127" s="21"/>
      <c r="F127" s="21"/>
      <c r="G127" s="21"/>
      <c r="H127" s="20"/>
      <c r="I127" s="161"/>
      <c r="J127" s="158"/>
      <c r="K127" s="160" t="str">
        <f>HYPERLINK("https://www.google.de/maps/place/Krugh%C3%BCtter+Str.+92,+66128+Saarbr%C3%BCcken/@49.2319484,6.9212727,17z/data=!4m5!3m4!1s0x4795b22ef8d59c0f:0xeb918348bf4761cb!8m2!3d49.2318744!4d6.9230738","Gersweiler (Saksamaa)")</f>
        <v>Gersweiler (Saksamaa)</v>
      </c>
      <c r="L127" s="159"/>
      <c r="M127" s="159"/>
      <c r="N127" s="20"/>
    </row>
    <row r="128" spans="1:14" x14ac:dyDescent="0.2">
      <c r="A128" s="32" t="s">
        <v>20</v>
      </c>
      <c r="B128" s="33"/>
      <c r="C128" s="34"/>
      <c r="D128" s="34"/>
      <c r="E128" s="33"/>
      <c r="F128" s="33"/>
      <c r="G128" s="34"/>
      <c r="H128" s="34"/>
      <c r="I128" s="34"/>
      <c r="J128" s="34"/>
      <c r="K128" s="34"/>
      <c r="L128" s="34"/>
      <c r="M128" s="34"/>
      <c r="N128" s="33"/>
    </row>
    <row r="129" spans="1:14" x14ac:dyDescent="0.2">
      <c r="A129" s="35" t="s">
        <v>152</v>
      </c>
      <c r="B129" s="33"/>
      <c r="C129" s="34"/>
      <c r="D129" s="34"/>
      <c r="E129" s="33"/>
      <c r="F129" s="33"/>
      <c r="G129" s="34"/>
      <c r="H129" s="34"/>
      <c r="I129" s="34"/>
      <c r="J129" s="34"/>
      <c r="K129" s="34"/>
      <c r="L129" s="34"/>
      <c r="M129" s="34"/>
      <c r="N129" s="33"/>
    </row>
    <row r="130" spans="1:14" x14ac:dyDescent="0.2">
      <c r="A130" s="44" t="s">
        <v>36</v>
      </c>
      <c r="B130" s="36"/>
      <c r="C130" s="36"/>
      <c r="D130" s="36"/>
      <c r="E130" s="37"/>
      <c r="F130" s="37"/>
      <c r="G130" s="36"/>
      <c r="H130" s="36"/>
      <c r="I130" s="36"/>
      <c r="J130" s="36"/>
      <c r="K130" s="36"/>
      <c r="L130" s="36"/>
      <c r="M130" s="36"/>
      <c r="N130" s="37"/>
    </row>
    <row r="131" spans="1:14" x14ac:dyDescent="0.2">
      <c r="A131" s="45" t="s">
        <v>23</v>
      </c>
      <c r="B131" s="39"/>
      <c r="C131" s="39"/>
      <c r="D131" s="39"/>
      <c r="E131" s="39"/>
      <c r="F131" s="39"/>
      <c r="G131" s="39"/>
      <c r="H131" s="39"/>
      <c r="I131" s="39"/>
      <c r="J131" s="38"/>
      <c r="K131" s="38"/>
      <c r="L131" s="38"/>
      <c r="M131" s="38"/>
      <c r="N131" s="40"/>
    </row>
    <row r="132" spans="1:14" s="41" customFormat="1" x14ac:dyDescent="0.2">
      <c r="A132" s="42" t="s">
        <v>693</v>
      </c>
      <c r="B132" s="24"/>
      <c r="C132" s="24"/>
      <c r="D132" s="24"/>
      <c r="E132" s="42"/>
      <c r="F132" s="42"/>
      <c r="G132" s="24"/>
      <c r="H132" s="24"/>
      <c r="I132" s="24"/>
      <c r="J132" s="24"/>
      <c r="K132" s="24"/>
      <c r="L132" s="24"/>
      <c r="M132" s="24"/>
      <c r="N132" s="42"/>
    </row>
    <row r="133" spans="1:14" s="41" customFormat="1" x14ac:dyDescent="0.2">
      <c r="A133" s="43" t="s">
        <v>21</v>
      </c>
      <c r="B133" s="24"/>
      <c r="C133" s="24"/>
      <c r="D133" s="24"/>
      <c r="E133" s="42"/>
      <c r="F133" s="42"/>
      <c r="G133" s="24"/>
      <c r="H133" s="24"/>
      <c r="L133" s="24"/>
      <c r="M133" s="24"/>
      <c r="N133" s="57" t="s">
        <v>22</v>
      </c>
    </row>
    <row r="134" spans="1:14" s="41" customFormat="1" x14ac:dyDescent="0.2"/>
    <row r="135" spans="1:14" x14ac:dyDescent="0.2">
      <c r="B135" s="2"/>
      <c r="D135" s="2"/>
      <c r="E135" s="1"/>
      <c r="F135" s="1"/>
      <c r="G135" s="2"/>
      <c r="H135" s="2"/>
      <c r="I135" s="2"/>
      <c r="J135" s="2"/>
      <c r="K135" s="2"/>
      <c r="L135" s="2"/>
      <c r="M135" s="2"/>
      <c r="N135" s="1"/>
    </row>
  </sheetData>
  <pageMargins left="0.47244094488188981" right="0.31496062992125984" top="0.27559055118110237" bottom="0.27559055118110237" header="0.27559055118110237" footer="0"/>
  <pageSetup paperSize="9" fitToHeight="0" orientation="portrait" r:id="rId1"/>
  <headerFooter>
    <oddHeader>&amp;RPage &amp;P of &amp;N</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AL76"/>
  <sheetViews>
    <sheetView showGridLines="0" showRowColHeaders="0" zoomScaleNormal="100" workbookViewId="0">
      <pane ySplit="7" topLeftCell="A8" activePane="bottomLeft" state="frozen"/>
      <selection activeCell="I1" sqref="I1"/>
      <selection pane="bottomLeft" activeCell="L1" sqref="L1"/>
    </sheetView>
  </sheetViews>
  <sheetFormatPr defaultRowHeight="12.75" x14ac:dyDescent="0.2"/>
  <cols>
    <col min="1" max="1" width="3.28515625" style="308" customWidth="1"/>
    <col min="2" max="2" width="3.28515625" style="311" customWidth="1"/>
    <col min="3" max="3" width="3.28515625" style="308" customWidth="1"/>
    <col min="4" max="4" width="3.7109375" style="308" customWidth="1"/>
    <col min="5" max="5" width="17.85546875" style="308" customWidth="1"/>
    <col min="6" max="7" width="5.7109375" style="333" customWidth="1"/>
    <col min="8" max="8" width="19.42578125" style="333" hidden="1" customWidth="1"/>
    <col min="9" max="9" width="6.7109375" style="333" hidden="1" customWidth="1"/>
    <col min="10" max="13" width="3.28515625" style="311" customWidth="1"/>
    <col min="14" max="14" width="3.7109375" style="311" customWidth="1"/>
    <col min="15" max="22" width="3.28515625" style="311" customWidth="1"/>
    <col min="23" max="25" width="3.28515625" style="308" bestFit="1" customWidth="1"/>
    <col min="26" max="26" width="5.28515625" style="308" hidden="1" customWidth="1"/>
    <col min="27" max="27" width="4.5703125" style="308" hidden="1" customWidth="1"/>
    <col min="28" max="28" width="3.85546875" style="308" hidden="1" customWidth="1"/>
    <col min="29" max="30" width="0.85546875" style="308" customWidth="1"/>
    <col min="31" max="32" width="9.140625" style="308"/>
    <col min="33" max="33" width="6" style="308" bestFit="1" customWidth="1"/>
    <col min="34" max="16384" width="9.140625" style="308"/>
  </cols>
  <sheetData>
    <row r="1" spans="1:38" x14ac:dyDescent="0.2">
      <c r="C1" s="101" t="s">
        <v>191</v>
      </c>
      <c r="E1" s="309"/>
      <c r="F1" s="309"/>
      <c r="G1" s="309"/>
      <c r="H1" s="309"/>
      <c r="I1" s="309"/>
      <c r="J1" s="310"/>
      <c r="L1" s="309"/>
      <c r="M1" s="309"/>
      <c r="N1" s="309"/>
      <c r="O1" s="309"/>
      <c r="P1" s="309"/>
      <c r="Q1" s="309"/>
      <c r="R1" s="113"/>
      <c r="S1" s="309"/>
      <c r="T1" s="309"/>
      <c r="U1" s="312" t="s">
        <v>70</v>
      </c>
      <c r="V1" s="313"/>
      <c r="W1" s="314"/>
      <c r="X1" s="315" t="s">
        <v>71</v>
      </c>
      <c r="Y1" s="315"/>
      <c r="Z1" s="309"/>
      <c r="AA1" s="309"/>
      <c r="AB1" s="309"/>
    </row>
    <row r="2" spans="1:38" x14ac:dyDescent="0.2">
      <c r="C2" s="316" t="s">
        <v>152</v>
      </c>
      <c r="E2" s="317"/>
      <c r="F2" s="317"/>
      <c r="G2" s="317"/>
      <c r="H2" s="317"/>
      <c r="I2" s="317"/>
      <c r="J2" s="317"/>
      <c r="K2" s="317"/>
      <c r="L2" s="317"/>
      <c r="M2" s="317"/>
      <c r="N2" s="317"/>
      <c r="O2" s="317"/>
      <c r="P2" s="317"/>
      <c r="Q2" s="317"/>
      <c r="R2" s="317"/>
      <c r="S2" s="317"/>
      <c r="T2" s="317"/>
      <c r="U2" s="317"/>
      <c r="V2" s="317"/>
      <c r="X2" s="318" t="s">
        <v>73</v>
      </c>
      <c r="Y2" s="318"/>
      <c r="Z2" s="309"/>
      <c r="AA2" s="309"/>
      <c r="AB2" s="309"/>
    </row>
    <row r="3" spans="1:38" x14ac:dyDescent="0.2">
      <c r="B3" s="317"/>
      <c r="D3" s="317"/>
      <c r="E3" s="317"/>
      <c r="F3" s="317"/>
      <c r="G3" s="317"/>
      <c r="H3" s="317"/>
      <c r="I3" s="317"/>
      <c r="X3" s="319" t="s">
        <v>74</v>
      </c>
      <c r="Y3" s="319"/>
      <c r="Z3" s="309"/>
      <c r="AA3" s="309"/>
      <c r="AB3" s="309"/>
    </row>
    <row r="4" spans="1:38" ht="56.25" x14ac:dyDescent="0.2">
      <c r="A4" s="320"/>
      <c r="B4" s="320"/>
      <c r="C4" s="139"/>
      <c r="D4" s="320"/>
      <c r="E4" s="139"/>
      <c r="F4" s="320"/>
      <c r="G4" s="320"/>
      <c r="H4" s="320"/>
      <c r="I4" s="320"/>
      <c r="J4" s="1320" t="s">
        <v>699</v>
      </c>
      <c r="K4" s="1320" t="s">
        <v>699</v>
      </c>
      <c r="L4" s="1320" t="s">
        <v>699</v>
      </c>
      <c r="M4" s="1321" t="s">
        <v>59</v>
      </c>
      <c r="N4" s="1321" t="s">
        <v>700</v>
      </c>
      <c r="O4" s="1320" t="s">
        <v>701</v>
      </c>
      <c r="P4" s="1320" t="s">
        <v>700</v>
      </c>
      <c r="Q4" s="1320" t="s">
        <v>701</v>
      </c>
      <c r="R4" s="1320" t="s">
        <v>702</v>
      </c>
      <c r="S4" s="1320" t="s">
        <v>702</v>
      </c>
      <c r="T4" s="1321" t="s">
        <v>700</v>
      </c>
      <c r="U4" s="1320" t="s">
        <v>702</v>
      </c>
      <c r="V4" s="1320" t="s">
        <v>701</v>
      </c>
    </row>
    <row r="5" spans="1:38" ht="29.25" x14ac:dyDescent="0.2">
      <c r="A5" s="320"/>
      <c r="B5" s="320"/>
      <c r="C5" s="139"/>
      <c r="D5" s="320"/>
      <c r="E5" s="139"/>
      <c r="F5" s="139"/>
      <c r="G5" s="321"/>
      <c r="H5" s="321"/>
      <c r="I5" s="321"/>
      <c r="J5" s="343" t="str">
        <f>MID(Kalend!$A6,4,5)</f>
        <v>07.05</v>
      </c>
      <c r="K5" s="343" t="str">
        <f>MID(Kalend!$A8,4,5)</f>
        <v>14.05</v>
      </c>
      <c r="L5" s="343" t="str">
        <f>MID(Kalend!$A11,4,5)</f>
        <v>25.05</v>
      </c>
      <c r="M5" s="343" t="str">
        <f>MID(Kalend!$A14,4,5)</f>
        <v>08.06</v>
      </c>
      <c r="N5" s="343" t="str">
        <f>MID(Kalend!$A19,4,5)</f>
        <v>15.06</v>
      </c>
      <c r="O5" s="343" t="str">
        <f>MID(Kalend!$A26,4,5)</f>
        <v>09.07</v>
      </c>
      <c r="P5" s="343" t="str">
        <f>MID(Kalend!$A27,4,5)</f>
        <v>13.07</v>
      </c>
      <c r="Q5" s="343" t="str">
        <f>MID(Kalend!$A32,4,5)</f>
        <v>10.08</v>
      </c>
      <c r="R5" s="343" t="str">
        <f>MID(Kalend!$A34,4,5)</f>
        <v>17.08</v>
      </c>
      <c r="S5" s="343" t="str">
        <f>MID(Kalend!$A37,4,5)</f>
        <v>24.08</v>
      </c>
      <c r="T5" s="343" t="str">
        <f>MID(Kalend!$A40,4,5)</f>
        <v>10.09</v>
      </c>
      <c r="U5" s="343" t="str">
        <f>MID(Kalend!$A41,4,5)</f>
        <v>17.09</v>
      </c>
      <c r="V5" s="343" t="str">
        <f>MID(Kalend!$A43,4,5)</f>
        <v>24.09</v>
      </c>
      <c r="W5" s="1438" t="s">
        <v>75</v>
      </c>
      <c r="X5" s="1439" t="s">
        <v>76</v>
      </c>
      <c r="Y5" s="1440" t="s">
        <v>77</v>
      </c>
      <c r="Z5" s="314"/>
      <c r="AA5" s="314"/>
      <c r="AB5" s="314"/>
    </row>
    <row r="6" spans="1:38" x14ac:dyDescent="0.2">
      <c r="A6" s="1324"/>
      <c r="B6" s="1325"/>
      <c r="C6" s="1325"/>
      <c r="D6" s="1326" t="s">
        <v>78</v>
      </c>
      <c r="E6" s="139"/>
      <c r="F6" s="598" t="s">
        <v>153</v>
      </c>
      <c r="G6" s="602"/>
      <c r="H6" s="322"/>
      <c r="I6" s="322"/>
      <c r="J6" s="413" t="s">
        <v>88</v>
      </c>
      <c r="K6" s="413" t="s">
        <v>87</v>
      </c>
      <c r="L6" s="413" t="s">
        <v>89</v>
      </c>
      <c r="M6" s="414" t="s">
        <v>148</v>
      </c>
      <c r="N6" s="414" t="s">
        <v>89</v>
      </c>
      <c r="O6" s="413" t="s">
        <v>88</v>
      </c>
      <c r="P6" s="413" t="s">
        <v>87</v>
      </c>
      <c r="Q6" s="413" t="s">
        <v>87</v>
      </c>
      <c r="R6" s="413" t="s">
        <v>89</v>
      </c>
      <c r="S6" s="413" t="s">
        <v>88</v>
      </c>
      <c r="T6" s="413" t="s">
        <v>88</v>
      </c>
      <c r="U6" s="413" t="s">
        <v>87</v>
      </c>
      <c r="V6" s="413" t="s">
        <v>89</v>
      </c>
      <c r="W6" s="1438"/>
      <c r="X6" s="1439"/>
      <c r="Y6" s="1440"/>
      <c r="Z6" s="314"/>
      <c r="AA6" s="314"/>
      <c r="AB6" s="314"/>
    </row>
    <row r="7" spans="1:38" x14ac:dyDescent="0.2">
      <c r="A7" s="323" t="s">
        <v>81</v>
      </c>
      <c r="B7" s="324" t="s">
        <v>82</v>
      </c>
      <c r="C7" s="1322" t="s">
        <v>79</v>
      </c>
      <c r="D7" s="603" t="s">
        <v>375</v>
      </c>
      <c r="E7" s="322" t="s">
        <v>84</v>
      </c>
      <c r="F7" s="603" t="s">
        <v>83</v>
      </c>
      <c r="G7" s="1322" t="s">
        <v>79</v>
      </c>
      <c r="H7" s="344" t="s">
        <v>154</v>
      </c>
      <c r="I7" s="345" t="s">
        <v>86</v>
      </c>
      <c r="J7" s="406" t="str">
        <f>HYPERLINK("#1!G1"," 1 ")</f>
        <v xml:space="preserve"> 1 </v>
      </c>
      <c r="K7" s="406" t="str">
        <f>HYPERLINK("#2!J1"," 2 ")</f>
        <v xml:space="preserve"> 2 </v>
      </c>
      <c r="L7" s="406" t="str">
        <f>HYPERLINK("#3!L1"," 3 ")</f>
        <v xml:space="preserve"> 3 </v>
      </c>
      <c r="M7" s="406" t="str">
        <f>HYPERLINK("#4!W1"," 4 ")</f>
        <v xml:space="preserve"> 4 </v>
      </c>
      <c r="N7" s="406" t="str">
        <f>HYPERLINK("#5!J1"," 5 ")</f>
        <v xml:space="preserve"> 5 </v>
      </c>
      <c r="O7" s="406" t="str">
        <f>HYPERLINK("#6!I1"," 6 ")</f>
        <v xml:space="preserve"> 6 </v>
      </c>
      <c r="P7" s="406" t="str">
        <f>HYPERLINK("#7!J1"," 7 ")</f>
        <v xml:space="preserve"> 7 </v>
      </c>
      <c r="Q7" s="406" t="str">
        <f>HYPERLINK("#8!I1"," 8 ")</f>
        <v xml:space="preserve"> 8 </v>
      </c>
      <c r="R7" s="406" t="str">
        <f>HYPERLINK("#9!L1"," 9 ")</f>
        <v xml:space="preserve"> 9 </v>
      </c>
      <c r="S7" s="406" t="str">
        <f>HYPERLINK("#10!J1","10")</f>
        <v>10</v>
      </c>
      <c r="T7" s="406" t="str">
        <f>HYPERLINK("#11!J1","11")</f>
        <v>11</v>
      </c>
      <c r="U7" s="406" t="str">
        <f>HYPERLINK("#12!J1","12")</f>
        <v>12</v>
      </c>
      <c r="V7" s="406" t="str">
        <f>HYPERLINK("#13!J1","13")</f>
        <v>13</v>
      </c>
      <c r="W7" s="325"/>
      <c r="X7" s="326"/>
      <c r="Y7" s="314"/>
      <c r="Z7" s="327" t="s">
        <v>88</v>
      </c>
      <c r="AA7" s="327" t="s">
        <v>87</v>
      </c>
      <c r="AB7" s="327" t="s">
        <v>89</v>
      </c>
    </row>
    <row r="8" spans="1:38" x14ac:dyDescent="0.2">
      <c r="A8" s="954"/>
      <c r="B8" s="1329">
        <v>1</v>
      </c>
      <c r="C8" s="1323">
        <f t="shared" ref="C8:C39" si="0">RANK(G8,G$8:G$59,0)</f>
        <v>1</v>
      </c>
      <c r="D8" s="604">
        <v>1</v>
      </c>
      <c r="E8" s="951" t="s">
        <v>166</v>
      </c>
      <c r="F8" s="800">
        <v>330</v>
      </c>
      <c r="G8" s="1327">
        <f t="shared" ref="G8:G39" si="1">H8+I8</f>
        <v>330.00452010000004</v>
      </c>
      <c r="H8" s="347">
        <f t="shared" ref="H8:H39" si="2">COUNTIF(J8:V8,40)/1000+COUNTIF(J8:V8,34)/10000+COUNTIF(J8:V8,30)/100000+COUNTIF(J8:V8,26)/1000000+COUNTIF(J8:V8,24)/10000000+COUNTIF(J8:V8,22)/100000000+COUNTIF(J8:V8,20)/1000000000+COUNTIF(J8:V8,18)/10000000000+COUNTIF(J8:V8,16)/100000000000+COUNTIF(J8:V8,14)/1000000000000+COUNTIF(J8:V8,12)/10000000000000+COUNTIF(J8:V8,10)/100000000000000+COUNTIF(J8:V8,8)/1000000000000000+COUNTIF(J8:V8,6)/10000000000000000+COUNTIF(J8:V8,4)/100000000000000000+COUNTIF(J8:V8,2)/1000000000000000000</f>
        <v>4.5201000000100007E-3</v>
      </c>
      <c r="I8" s="346">
        <f t="array" ref="I8">(IF(COUNT(L8,M8,N8,R8,V8)&lt;3,SUM(L8,M8,N8,R8,V8),SUM(LARGE((L8,M8,N8,R8,V8),{1;2;3}))))+(IF(COUNT(K8,P8,Q8,U8)&lt;3,SUM(K8,P8,Q8,U8),SUM(LARGE((K8,P8,Q8,U8),{1;2;3}))))+(IF(COUNT(J8,O8,S8,T8)&lt;3,SUM(J8,O8,S8,T8),SUM(LARGE((J8,O8,S8,T8),{1;2;3}))))</f>
        <v>330</v>
      </c>
      <c r="J8" s="329">
        <v>34</v>
      </c>
      <c r="K8" s="330">
        <v>34</v>
      </c>
      <c r="L8" s="421">
        <v>30</v>
      </c>
      <c r="M8" s="330">
        <v>40</v>
      </c>
      <c r="N8" s="422">
        <v>10</v>
      </c>
      <c r="O8" s="422">
        <v>30</v>
      </c>
      <c r="P8" s="330">
        <v>40</v>
      </c>
      <c r="Q8" s="422">
        <v>24</v>
      </c>
      <c r="R8" s="330">
        <v>40</v>
      </c>
      <c r="S8" s="330">
        <v>34</v>
      </c>
      <c r="T8" s="330">
        <v>34</v>
      </c>
      <c r="U8" s="330">
        <v>34</v>
      </c>
      <c r="V8" s="330">
        <v>40</v>
      </c>
      <c r="W8" s="332">
        <f t="shared" ref="W8:W39" si="3">COUNTIF(J8:V8,"&gt;=0")</f>
        <v>13</v>
      </c>
      <c r="X8" s="332">
        <f t="shared" ref="X8:X39" si="4">COUNTIF(J8:V8,"&gt;=30")</f>
        <v>11</v>
      </c>
      <c r="Y8" s="332">
        <f t="shared" ref="Y8:Y39" si="5">COUNTIF(J8:V8,"=40")</f>
        <v>4</v>
      </c>
      <c r="Z8" s="330">
        <f t="shared" ref="Z8:Z41" si="6">COUNTIF(J8,"=  ")+COUNTIF(M8,"=  ")+COUNTIF(P8,"=  ")+COUNTIF(Q8,"=  ")</f>
        <v>0</v>
      </c>
      <c r="AA8" s="330">
        <f t="shared" ref="AA8:AA41" si="7">COUNTIF(K8,"=  ")+COUNTIF(O8,"=  ")+COUNTIF(S8,"=  ")+COUNTIF(T8,"=  ")</f>
        <v>0</v>
      </c>
      <c r="AB8" s="330">
        <f t="shared" ref="AB8:AB41" si="8">COUNTIF(L8,"=  ")+COUNTIF(N8,"=  ")+COUNTIF(R8,"=  ")+COUNTIF(U8,"=  ")+COUNTIF(V8,"=  ")</f>
        <v>0</v>
      </c>
    </row>
    <row r="9" spans="1:38" x14ac:dyDescent="0.2">
      <c r="A9" s="954"/>
      <c r="B9" s="1329"/>
      <c r="C9" s="1323">
        <f t="shared" si="0"/>
        <v>2</v>
      </c>
      <c r="D9" s="604">
        <v>2</v>
      </c>
      <c r="E9" s="950" t="s">
        <v>155</v>
      </c>
      <c r="F9" s="800">
        <v>308</v>
      </c>
      <c r="G9" s="1327">
        <f t="shared" si="1"/>
        <v>308.00602030200002</v>
      </c>
      <c r="H9" s="347">
        <f t="shared" si="2"/>
        <v>6.0203019999999999E-3</v>
      </c>
      <c r="I9" s="346">
        <f t="array" ref="I9">(IF(COUNT(L9,M9,N9,R9,V9)&lt;3,SUM(L9,M9,N9,R9,V9),SUM(LARGE((L9,M9,N9,R9,V9),{1;2;3}))))+(IF(COUNT(K9,P9,Q9,U9)&lt;3,SUM(K9,P9,Q9,U9),SUM(LARGE((K9,P9,Q9,U9),{1;2;3}))))+(IF(COUNT(J9,O9,S9,T9)&lt;3,SUM(J9,O9,S9,T9),SUM(LARGE((J9,O9,S9,T9),{1;2;3}))))</f>
        <v>308</v>
      </c>
      <c r="J9" s="421">
        <v>40</v>
      </c>
      <c r="K9" s="330">
        <v>40</v>
      </c>
      <c r="L9" s="421">
        <v>20</v>
      </c>
      <c r="M9" s="422">
        <v>24</v>
      </c>
      <c r="N9" s="330">
        <v>30</v>
      </c>
      <c r="O9" s="330">
        <v>40</v>
      </c>
      <c r="P9" s="422">
        <v>20</v>
      </c>
      <c r="Q9" s="330">
        <v>30</v>
      </c>
      <c r="R9" s="330">
        <v>24</v>
      </c>
      <c r="S9" s="330">
        <v>40</v>
      </c>
      <c r="T9" s="330">
        <v>40</v>
      </c>
      <c r="U9" s="330">
        <v>40</v>
      </c>
      <c r="V9" s="330">
        <v>24</v>
      </c>
      <c r="W9" s="331">
        <f t="shared" si="3"/>
        <v>13</v>
      </c>
      <c r="X9" s="332">
        <f t="shared" si="4"/>
        <v>8</v>
      </c>
      <c r="Y9" s="332">
        <f t="shared" si="5"/>
        <v>6</v>
      </c>
      <c r="Z9" s="330">
        <f t="shared" si="6"/>
        <v>0</v>
      </c>
      <c r="AA9" s="330">
        <f t="shared" si="7"/>
        <v>0</v>
      </c>
      <c r="AB9" s="330">
        <f t="shared" si="8"/>
        <v>0</v>
      </c>
    </row>
    <row r="10" spans="1:38" x14ac:dyDescent="0.2">
      <c r="A10" s="954"/>
      <c r="B10" s="1329"/>
      <c r="C10" s="1323">
        <f t="shared" si="0"/>
        <v>3</v>
      </c>
      <c r="D10" s="604">
        <v>3</v>
      </c>
      <c r="E10" s="536" t="s">
        <v>156</v>
      </c>
      <c r="F10" s="800">
        <v>276</v>
      </c>
      <c r="G10" s="1327">
        <f t="shared" si="1"/>
        <v>276.00301421099999</v>
      </c>
      <c r="H10" s="347">
        <f t="shared" si="2"/>
        <v>3.0142110000000001E-3</v>
      </c>
      <c r="I10" s="346">
        <f t="array" ref="I10">(IF(COUNT(L10,M10,N10,R10,V10)&lt;3,SUM(L10,M10,N10,R10,V10),SUM(LARGE((L10,M10,N10,R10,V10),{1;2;3}))))+(IF(COUNT(K10,P10,Q10,U10)&lt;3,SUM(K10,P10,Q10,U10),SUM(LARGE((K10,P10,Q10,U10),{1;2;3}))))+(IF(COUNT(J10,O10,S10,T10)&lt;3,SUM(J10,O10,S10,T10),SUM(LARGE((J10,O10,S10,T10),{1;2;3}))))</f>
        <v>276</v>
      </c>
      <c r="J10" s="329">
        <v>40</v>
      </c>
      <c r="K10" s="330">
        <v>26</v>
      </c>
      <c r="L10" s="329">
        <v>22</v>
      </c>
      <c r="M10" s="330">
        <v>26</v>
      </c>
      <c r="N10" s="422">
        <v>17</v>
      </c>
      <c r="O10" s="330">
        <v>40</v>
      </c>
      <c r="P10" s="330">
        <v>30</v>
      </c>
      <c r="Q10" s="330">
        <v>26</v>
      </c>
      <c r="R10" s="422">
        <v>20</v>
      </c>
      <c r="S10" s="330">
        <v>40</v>
      </c>
      <c r="T10" s="422">
        <v>24</v>
      </c>
      <c r="U10" s="422">
        <v>24</v>
      </c>
      <c r="V10" s="330">
        <v>26</v>
      </c>
      <c r="W10" s="332">
        <f t="shared" si="3"/>
        <v>13</v>
      </c>
      <c r="X10" s="332">
        <f t="shared" si="4"/>
        <v>4</v>
      </c>
      <c r="Y10" s="332">
        <f t="shared" si="5"/>
        <v>3</v>
      </c>
      <c r="Z10" s="330">
        <f t="shared" si="6"/>
        <v>0</v>
      </c>
      <c r="AA10" s="330">
        <f t="shared" si="7"/>
        <v>0</v>
      </c>
      <c r="AB10" s="330">
        <f t="shared" si="8"/>
        <v>0</v>
      </c>
    </row>
    <row r="11" spans="1:38" x14ac:dyDescent="0.2">
      <c r="A11" s="954"/>
      <c r="B11" s="1329"/>
      <c r="C11" s="1323">
        <f t="shared" si="0"/>
        <v>4</v>
      </c>
      <c r="D11" s="604">
        <v>4</v>
      </c>
      <c r="E11" s="139" t="s">
        <v>161</v>
      </c>
      <c r="F11" s="800">
        <v>274</v>
      </c>
      <c r="G11" s="1327">
        <f t="shared" si="1"/>
        <v>274.00320110210998</v>
      </c>
      <c r="H11" s="347">
        <f t="shared" si="2"/>
        <v>3.2011021099999999E-3</v>
      </c>
      <c r="I11" s="346">
        <f t="array" ref="I11">(IF(COUNT(L11,M11,N11,R11,V11)&lt;3,SUM(L11,M11,N11,R11,V11),SUM(LARGE((L11,M11,N11,R11,V11),{1;2;3}))))+(IF(COUNT(K11,P11,Q11,U11)&lt;3,SUM(K11,P11,Q11,U11),SUM(LARGE((K11,P11,Q11,U11),{1;2;3}))))+(IF(COUNT(J11,O11,S11,T11)&lt;3,SUM(J11,O11,S11,T11),SUM(LARGE((J11,O11,S11,T11),{1;2;3}))))</f>
        <v>274</v>
      </c>
      <c r="J11" s="421">
        <v>18</v>
      </c>
      <c r="K11" s="422">
        <v>20</v>
      </c>
      <c r="L11" s="421" t="s">
        <v>251</v>
      </c>
      <c r="M11" s="330">
        <v>16</v>
      </c>
      <c r="N11" s="422">
        <v>1</v>
      </c>
      <c r="O11" s="330">
        <v>26</v>
      </c>
      <c r="P11" s="330">
        <v>24</v>
      </c>
      <c r="Q11" s="330">
        <v>34</v>
      </c>
      <c r="R11" s="330">
        <v>34</v>
      </c>
      <c r="S11" s="330">
        <v>40</v>
      </c>
      <c r="T11" s="330">
        <v>40</v>
      </c>
      <c r="U11" s="330">
        <v>40</v>
      </c>
      <c r="V11" s="330">
        <v>20</v>
      </c>
      <c r="W11" s="332">
        <f t="shared" si="3"/>
        <v>12</v>
      </c>
      <c r="X11" s="332">
        <f t="shared" si="4"/>
        <v>5</v>
      </c>
      <c r="Y11" s="332">
        <f t="shared" si="5"/>
        <v>3</v>
      </c>
      <c r="Z11" s="330">
        <f t="shared" si="6"/>
        <v>0</v>
      </c>
      <c r="AA11" s="330">
        <f t="shared" si="7"/>
        <v>0</v>
      </c>
      <c r="AB11" s="330">
        <f t="shared" si="8"/>
        <v>1</v>
      </c>
    </row>
    <row r="12" spans="1:38" x14ac:dyDescent="0.2">
      <c r="A12" s="954"/>
      <c r="B12" s="1329"/>
      <c r="C12" s="1323">
        <f t="shared" si="0"/>
        <v>5</v>
      </c>
      <c r="D12" s="604">
        <v>5</v>
      </c>
      <c r="E12" s="653" t="s">
        <v>162</v>
      </c>
      <c r="F12" s="800">
        <v>258</v>
      </c>
      <c r="G12" s="1327">
        <f t="shared" si="1"/>
        <v>258.00151011010001</v>
      </c>
      <c r="H12" s="347">
        <f t="shared" si="2"/>
        <v>1.510110100002E-3</v>
      </c>
      <c r="I12" s="346">
        <f t="array" ref="I12">(IF(COUNT(L12,M12,N12,R12,V12)&lt;3,SUM(L12,M12,N12,R12,V12),SUM(LARGE((L12,M12,N12,R12,V12),{1;2;3}))))+(IF(COUNT(K12,P12,Q12,U12)&lt;3,SUM(K12,P12,Q12,U12),SUM(LARGE((K12,P12,Q12,U12),{1;2;3}))))+(IF(COUNT(J12,O12,S12,T12)&lt;3,SUM(J12,O12,S12,T12),SUM(LARGE((J12,O12,S12,T12),{1;2;3}))))</f>
        <v>258</v>
      </c>
      <c r="J12" s="329">
        <v>34</v>
      </c>
      <c r="K12" s="329">
        <v>34</v>
      </c>
      <c r="L12" s="422">
        <v>8</v>
      </c>
      <c r="M12" s="330">
        <v>22</v>
      </c>
      <c r="N12" s="422">
        <v>1</v>
      </c>
      <c r="O12" s="422">
        <v>30</v>
      </c>
      <c r="P12" s="329">
        <v>40</v>
      </c>
      <c r="Q12" s="422">
        <v>24</v>
      </c>
      <c r="R12" s="330">
        <v>8</v>
      </c>
      <c r="S12" s="330">
        <v>34</v>
      </c>
      <c r="T12" s="330">
        <v>34</v>
      </c>
      <c r="U12" s="330">
        <v>34</v>
      </c>
      <c r="V12" s="330">
        <v>18</v>
      </c>
      <c r="W12" s="332">
        <f t="shared" si="3"/>
        <v>13</v>
      </c>
      <c r="X12" s="332">
        <f t="shared" si="4"/>
        <v>7</v>
      </c>
      <c r="Y12" s="332">
        <f t="shared" si="5"/>
        <v>1</v>
      </c>
      <c r="Z12" s="330">
        <f t="shared" si="6"/>
        <v>0</v>
      </c>
      <c r="AA12" s="330">
        <f t="shared" si="7"/>
        <v>0</v>
      </c>
      <c r="AB12" s="330">
        <f t="shared" si="8"/>
        <v>0</v>
      </c>
      <c r="AL12" s="949"/>
    </row>
    <row r="13" spans="1:38" x14ac:dyDescent="0.2">
      <c r="A13" s="954"/>
      <c r="B13" s="1329"/>
      <c r="C13" s="1323">
        <f t="shared" si="0"/>
        <v>6</v>
      </c>
      <c r="D13" s="604">
        <v>6</v>
      </c>
      <c r="E13" s="653" t="s">
        <v>157</v>
      </c>
      <c r="F13" s="800">
        <v>228</v>
      </c>
      <c r="G13" s="1327">
        <f t="shared" si="1"/>
        <v>228.00012230100111</v>
      </c>
      <c r="H13" s="347">
        <f t="shared" si="2"/>
        <v>1.2230100110999998E-4</v>
      </c>
      <c r="I13" s="346">
        <f t="array" ref="I13">(IF(COUNT(L13,M13,N13,R13,V13)&lt;3,SUM(L13,M13,N13,R13,V13),SUM(LARGE((L13,M13,N13,R13,V13),{1;2;3}))))+(IF(COUNT(K13,P13,Q13,U13)&lt;3,SUM(K13,P13,Q13,U13),SUM(LARGE((K13,P13,Q13,U13),{1;2;3}))))+(IF(COUNT(J13,O13,S13,T13)&lt;3,SUM(J13,O13,S13,T13),SUM(LARGE((J13,O13,S13,T13),{1;2;3}))))</f>
        <v>228</v>
      </c>
      <c r="J13" s="329">
        <v>30</v>
      </c>
      <c r="K13" s="330">
        <v>26</v>
      </c>
      <c r="L13" s="329">
        <v>24</v>
      </c>
      <c r="M13" s="330">
        <v>20</v>
      </c>
      <c r="N13" s="422">
        <v>12</v>
      </c>
      <c r="O13" s="330">
        <v>34</v>
      </c>
      <c r="P13" s="329">
        <v>30</v>
      </c>
      <c r="Q13" s="330">
        <v>26</v>
      </c>
      <c r="R13" s="422">
        <v>10</v>
      </c>
      <c r="S13" s="422" t="s">
        <v>251</v>
      </c>
      <c r="T13" s="330">
        <v>24</v>
      </c>
      <c r="U13" s="422">
        <v>24</v>
      </c>
      <c r="V13" s="330">
        <v>14</v>
      </c>
      <c r="W13" s="332">
        <f t="shared" si="3"/>
        <v>12</v>
      </c>
      <c r="X13" s="332">
        <f t="shared" si="4"/>
        <v>3</v>
      </c>
      <c r="Y13" s="332">
        <f t="shared" si="5"/>
        <v>0</v>
      </c>
      <c r="Z13" s="330">
        <f t="shared" si="6"/>
        <v>0</v>
      </c>
      <c r="AA13" s="330">
        <f t="shared" si="7"/>
        <v>1</v>
      </c>
      <c r="AB13" s="330">
        <f t="shared" si="8"/>
        <v>0</v>
      </c>
    </row>
    <row r="14" spans="1:38" x14ac:dyDescent="0.2">
      <c r="A14" s="1328"/>
      <c r="B14" s="1330"/>
      <c r="C14" s="1323">
        <f t="shared" si="0"/>
        <v>7</v>
      </c>
      <c r="D14" s="604">
        <v>7</v>
      </c>
      <c r="E14" s="653" t="s">
        <v>175</v>
      </c>
      <c r="F14" s="800">
        <v>228</v>
      </c>
      <c r="G14" s="1327">
        <f t="shared" si="1"/>
        <v>228.00011222110999</v>
      </c>
      <c r="H14" s="347">
        <f t="shared" si="2"/>
        <v>1.1222111E-4</v>
      </c>
      <c r="I14" s="346">
        <f t="array" ref="I14">(IF(COUNT(L14,M14,N14,R14,V14)&lt;3,SUM(L14,M14,N14,R14,V14),SUM(LARGE((L14,M14,N14,R14,V14),{1;2;3}))))+(IF(COUNT(K14,P14,Q14,U14)&lt;3,SUM(K14,P14,Q14,U14),SUM(LARGE((K14,P14,Q14,U14),{1;2;3}))))+(IF(COUNT(J14,O14,S14,T14)&lt;3,SUM(J14,O14,S14,T14),SUM(LARGE((J14,O14,S14,T14),{1;2;3}))))</f>
        <v>228</v>
      </c>
      <c r="J14" s="421">
        <v>16</v>
      </c>
      <c r="K14" s="330">
        <v>24</v>
      </c>
      <c r="L14" s="422">
        <v>1</v>
      </c>
      <c r="M14" s="329">
        <v>34</v>
      </c>
      <c r="N14" s="330">
        <v>22</v>
      </c>
      <c r="O14" s="329">
        <v>24</v>
      </c>
      <c r="P14" s="330">
        <v>26</v>
      </c>
      <c r="Q14" s="422" t="s">
        <v>251</v>
      </c>
      <c r="R14" s="422">
        <v>18</v>
      </c>
      <c r="S14" s="330">
        <v>30</v>
      </c>
      <c r="T14" s="330">
        <v>26</v>
      </c>
      <c r="U14" s="330">
        <v>20</v>
      </c>
      <c r="V14" s="330">
        <v>22</v>
      </c>
      <c r="W14" s="332">
        <f t="shared" si="3"/>
        <v>12</v>
      </c>
      <c r="X14" s="332">
        <f t="shared" si="4"/>
        <v>2</v>
      </c>
      <c r="Y14" s="332">
        <f t="shared" si="5"/>
        <v>0</v>
      </c>
      <c r="Z14" s="330">
        <f t="shared" si="6"/>
        <v>1</v>
      </c>
      <c r="AA14" s="330">
        <f t="shared" si="7"/>
        <v>0</v>
      </c>
      <c r="AB14" s="330">
        <f t="shared" si="8"/>
        <v>0</v>
      </c>
    </row>
    <row r="15" spans="1:38" x14ac:dyDescent="0.2">
      <c r="A15" s="954"/>
      <c r="B15" s="1329"/>
      <c r="C15" s="1323">
        <f t="shared" si="0"/>
        <v>8</v>
      </c>
      <c r="D15" s="604">
        <v>8</v>
      </c>
      <c r="E15" s="653" t="s">
        <v>159</v>
      </c>
      <c r="F15" s="800">
        <v>214</v>
      </c>
      <c r="G15" s="1327">
        <f t="shared" si="1"/>
        <v>214.000121100331</v>
      </c>
      <c r="H15" s="347">
        <f t="shared" si="2"/>
        <v>1.2110033100099999E-4</v>
      </c>
      <c r="I15" s="346">
        <f t="array" ref="I15">(IF(COUNT(L15,M15,N15,R15,V15)&lt;3,SUM(L15,M15,N15,R15,V15),SUM(LARGE((L15,M15,N15,R15,V15),{1;2;3}))))+(IF(COUNT(K15,P15,Q15,U15)&lt;3,SUM(K15,P15,Q15,U15),SUM(LARGE((K15,P15,Q15,U15),{1;2;3}))))+(IF(COUNT(J15,O15,S15,T15)&lt;3,SUM(J15,O15,S15,T15),SUM(LARGE((J15,O15,S15,T15),{1;2;3}))))</f>
        <v>214</v>
      </c>
      <c r="J15" s="329">
        <v>24</v>
      </c>
      <c r="K15" s="422">
        <v>16</v>
      </c>
      <c r="L15" s="329">
        <v>18</v>
      </c>
      <c r="M15" s="330">
        <v>18</v>
      </c>
      <c r="N15" s="421">
        <v>8</v>
      </c>
      <c r="O15" s="422">
        <v>16</v>
      </c>
      <c r="P15" s="329">
        <v>34</v>
      </c>
      <c r="Q15" s="330">
        <v>18</v>
      </c>
      <c r="R15" s="421">
        <v>14</v>
      </c>
      <c r="S15" s="330">
        <v>26</v>
      </c>
      <c r="T15" s="330">
        <v>30</v>
      </c>
      <c r="U15" s="330">
        <v>30</v>
      </c>
      <c r="V15" s="330">
        <v>16</v>
      </c>
      <c r="W15" s="332">
        <f t="shared" si="3"/>
        <v>13</v>
      </c>
      <c r="X15" s="332">
        <f t="shared" si="4"/>
        <v>3</v>
      </c>
      <c r="Y15" s="332">
        <f t="shared" si="5"/>
        <v>0</v>
      </c>
      <c r="Z15" s="330">
        <f t="shared" si="6"/>
        <v>0</v>
      </c>
      <c r="AA15" s="330">
        <f t="shared" si="7"/>
        <v>0</v>
      </c>
      <c r="AB15" s="330">
        <f t="shared" si="8"/>
        <v>0</v>
      </c>
    </row>
    <row r="16" spans="1:38" x14ac:dyDescent="0.2">
      <c r="A16" s="954"/>
      <c r="B16" s="1329"/>
      <c r="C16" s="1323">
        <f t="shared" si="0"/>
        <v>9</v>
      </c>
      <c r="D16" s="604">
        <v>9</v>
      </c>
      <c r="E16" s="653" t="s">
        <v>164</v>
      </c>
      <c r="F16" s="800">
        <v>208</v>
      </c>
      <c r="G16" s="1327">
        <f t="shared" si="1"/>
        <v>208.00103111000001</v>
      </c>
      <c r="H16" s="347">
        <f t="shared" si="2"/>
        <v>1.0311100000001E-3</v>
      </c>
      <c r="I16" s="346">
        <f t="array" ref="I16">(IF(COUNT(L16,M16,N16,R16,V16)&lt;3,SUM(L16,M16,N16,R16,V16),SUM(LARGE((L16,M16,N16,R16,V16),{1;2;3}))))+(IF(COUNT(K16,P16,Q16,U16)&lt;3,SUM(K16,P16,Q16,U16),SUM(LARGE((K16,P16,Q16,U16),{1;2;3}))))+(IF(COUNT(J16,O16,S16,T16)&lt;3,SUM(J16,O16,S16,T16),SUM(LARGE((J16,O16,S16,T16),{1;2;3}))))</f>
        <v>208</v>
      </c>
      <c r="J16" s="329">
        <v>30</v>
      </c>
      <c r="K16" s="330">
        <v>30</v>
      </c>
      <c r="L16" s="329">
        <v>6</v>
      </c>
      <c r="M16" s="422" t="s">
        <v>251</v>
      </c>
      <c r="N16" s="330">
        <v>26</v>
      </c>
      <c r="O16" s="422" t="s">
        <v>251</v>
      </c>
      <c r="P16" s="422" t="s">
        <v>251</v>
      </c>
      <c r="Q16" s="330">
        <v>40</v>
      </c>
      <c r="R16" s="330">
        <v>30</v>
      </c>
      <c r="S16" s="330"/>
      <c r="T16" s="330">
        <v>24</v>
      </c>
      <c r="U16" s="330">
        <v>22</v>
      </c>
      <c r="V16" s="422">
        <v>1</v>
      </c>
      <c r="W16" s="332">
        <f t="shared" si="3"/>
        <v>9</v>
      </c>
      <c r="X16" s="332">
        <f t="shared" si="4"/>
        <v>4</v>
      </c>
      <c r="Y16" s="332">
        <f t="shared" si="5"/>
        <v>1</v>
      </c>
      <c r="Z16" s="330">
        <f t="shared" si="6"/>
        <v>2</v>
      </c>
      <c r="AA16" s="330">
        <f t="shared" si="7"/>
        <v>1</v>
      </c>
      <c r="AB16" s="330">
        <f t="shared" si="8"/>
        <v>0</v>
      </c>
    </row>
    <row r="17" spans="1:35" x14ac:dyDescent="0.2">
      <c r="A17" s="954"/>
      <c r="B17" s="1329"/>
      <c r="C17" s="1323">
        <f t="shared" si="0"/>
        <v>10</v>
      </c>
      <c r="D17" s="605">
        <v>10</v>
      </c>
      <c r="E17" s="590" t="s">
        <v>177</v>
      </c>
      <c r="F17" s="800">
        <v>205</v>
      </c>
      <c r="G17" s="1327">
        <f t="shared" si="1"/>
        <v>205.00041000000999</v>
      </c>
      <c r="H17" s="347">
        <f t="shared" si="2"/>
        <v>4.1000001000010008E-4</v>
      </c>
      <c r="I17" s="346">
        <f t="array" ref="I17">(IF(COUNT(L17,M17,N17,R17,V17)&lt;3,SUM(L17,M17,N17,R17,V17),SUM(LARGE((L17,M17,N17,R17,V17),{1;2;3}))))+(IF(COUNT(K17,P17,Q17,U17)&lt;3,SUM(K17,P17,Q17,U17),SUM(LARGE((K17,P17,Q17,U17),{1;2;3}))))+(IF(COUNT(J17,O17,S17,T17)&lt;3,SUM(J17,O17,S17,T17),SUM(LARGE((J17,O17,S17,T17),{1;2;3}))))</f>
        <v>205</v>
      </c>
      <c r="J17" s="329">
        <v>34</v>
      </c>
      <c r="K17" s="330">
        <v>16</v>
      </c>
      <c r="L17" s="329">
        <v>34</v>
      </c>
      <c r="M17" s="421" t="s">
        <v>251</v>
      </c>
      <c r="N17" s="330">
        <v>17</v>
      </c>
      <c r="O17" s="330">
        <v>30</v>
      </c>
      <c r="P17" s="330">
        <v>6</v>
      </c>
      <c r="Q17" s="422" t="s">
        <v>251</v>
      </c>
      <c r="R17" s="421" t="s">
        <v>251</v>
      </c>
      <c r="S17" s="330">
        <v>34</v>
      </c>
      <c r="T17" s="422" t="s">
        <v>251</v>
      </c>
      <c r="U17" s="330"/>
      <c r="V17" s="330">
        <v>34</v>
      </c>
      <c r="W17" s="332">
        <f t="shared" si="3"/>
        <v>8</v>
      </c>
      <c r="X17" s="332">
        <f t="shared" si="4"/>
        <v>5</v>
      </c>
      <c r="Y17" s="332">
        <f t="shared" si="5"/>
        <v>0</v>
      </c>
      <c r="Z17" s="330">
        <f t="shared" si="6"/>
        <v>2</v>
      </c>
      <c r="AA17" s="330">
        <f t="shared" si="7"/>
        <v>1</v>
      </c>
      <c r="AB17" s="330">
        <f t="shared" si="8"/>
        <v>1</v>
      </c>
    </row>
    <row r="18" spans="1:35" x14ac:dyDescent="0.2">
      <c r="A18" s="954"/>
      <c r="B18" s="1329"/>
      <c r="C18" s="1323">
        <f t="shared" si="0"/>
        <v>11</v>
      </c>
      <c r="D18" s="604">
        <v>11</v>
      </c>
      <c r="E18" s="590" t="s">
        <v>160</v>
      </c>
      <c r="F18" s="800">
        <v>197</v>
      </c>
      <c r="G18" s="1327">
        <f t="shared" si="1"/>
        <v>197.0000232110001</v>
      </c>
      <c r="H18" s="347">
        <f t="shared" si="2"/>
        <v>2.3211000100000007E-5</v>
      </c>
      <c r="I18" s="346">
        <f t="array" ref="I18">(IF(COUNT(L18,M18,N18,R18,V18)&lt;3,SUM(L18,M18,N18,R18,V18),SUM(LARGE((L18,M18,N18,R18,V18),{1;2;3}))))+(IF(COUNT(K18,P18,Q18,U18)&lt;3,SUM(K18,P18,Q18,U18),SUM(LARGE((K18,P18,Q18,U18),{1;2;3}))))+(IF(COUNT(J18,O18,S18,T18)&lt;3,SUM(J18,O18,S18,T18),SUM(LARGE((J18,O18,S18,T18),{1;2;3}))))</f>
        <v>197</v>
      </c>
      <c r="J18" s="329">
        <v>26</v>
      </c>
      <c r="K18" s="330">
        <v>24</v>
      </c>
      <c r="L18" s="421">
        <v>1</v>
      </c>
      <c r="M18" s="421" t="s">
        <v>251</v>
      </c>
      <c r="N18" s="329">
        <v>1</v>
      </c>
      <c r="O18" s="422">
        <v>24</v>
      </c>
      <c r="P18" s="330">
        <v>26</v>
      </c>
      <c r="Q18" s="330">
        <v>22</v>
      </c>
      <c r="R18" s="330">
        <v>12</v>
      </c>
      <c r="S18" s="330">
        <v>30</v>
      </c>
      <c r="T18" s="330">
        <v>26</v>
      </c>
      <c r="U18" s="422">
        <v>20</v>
      </c>
      <c r="V18" s="330">
        <v>30</v>
      </c>
      <c r="W18" s="332">
        <f t="shared" si="3"/>
        <v>12</v>
      </c>
      <c r="X18" s="332">
        <f t="shared" si="4"/>
        <v>2</v>
      </c>
      <c r="Y18" s="332">
        <f t="shared" si="5"/>
        <v>0</v>
      </c>
      <c r="Z18" s="330">
        <f t="shared" si="6"/>
        <v>1</v>
      </c>
      <c r="AA18" s="330">
        <f t="shared" si="7"/>
        <v>0</v>
      </c>
      <c r="AB18" s="330">
        <f t="shared" si="8"/>
        <v>0</v>
      </c>
    </row>
    <row r="19" spans="1:35" ht="12.75" customHeight="1" x14ac:dyDescent="0.2">
      <c r="A19" s="954"/>
      <c r="B19" s="1329"/>
      <c r="C19" s="1323">
        <f t="shared" si="0"/>
        <v>12</v>
      </c>
      <c r="D19" s="604">
        <v>12</v>
      </c>
      <c r="E19" s="952" t="s">
        <v>182</v>
      </c>
      <c r="F19" s="800">
        <v>182</v>
      </c>
      <c r="G19" s="1327">
        <f t="shared" si="1"/>
        <v>182.00110120011001</v>
      </c>
      <c r="H19" s="347">
        <f t="shared" si="2"/>
        <v>1.1012001099999999E-3</v>
      </c>
      <c r="I19" s="346">
        <f t="array" ref="I19">(IF(COUNT(L19,M19,N19,R19,V19)&lt;3,SUM(L19,M19,N19,R19,V19),SUM(LARGE((L19,M19,N19,R19,V19),{1;2;3}))))+(IF(COUNT(K19,P19,Q19,U19)&lt;3,SUM(K19,P19,Q19,U19),SUM(LARGE((K19,P19,Q19,U19),{1;2;3}))))+(IF(COUNT(J19,O19,S19,T19)&lt;3,SUM(J19,O19,S19,T19),SUM(LARGE((J19,O19,S19,T19),{1;2;3}))))</f>
        <v>182</v>
      </c>
      <c r="J19" s="329">
        <v>18</v>
      </c>
      <c r="K19" s="422" t="s">
        <v>251</v>
      </c>
      <c r="L19" s="421" t="s">
        <v>251</v>
      </c>
      <c r="M19" s="421" t="s">
        <v>251</v>
      </c>
      <c r="N19" s="329">
        <v>24</v>
      </c>
      <c r="O19" s="330">
        <v>26</v>
      </c>
      <c r="P19" s="329">
        <v>24</v>
      </c>
      <c r="Q19" s="330">
        <v>34</v>
      </c>
      <c r="R19" s="330">
        <v>16</v>
      </c>
      <c r="S19" s="422" t="s">
        <v>251</v>
      </c>
      <c r="T19" s="330">
        <v>40</v>
      </c>
      <c r="U19" s="330"/>
      <c r="V19" s="330"/>
      <c r="W19" s="332">
        <f t="shared" si="3"/>
        <v>7</v>
      </c>
      <c r="X19" s="332">
        <f t="shared" si="4"/>
        <v>2</v>
      </c>
      <c r="Y19" s="332">
        <f t="shared" si="5"/>
        <v>1</v>
      </c>
      <c r="Z19" s="330">
        <f t="shared" si="6"/>
        <v>1</v>
      </c>
      <c r="AA19" s="330">
        <f t="shared" si="7"/>
        <v>2</v>
      </c>
      <c r="AB19" s="330">
        <f t="shared" si="8"/>
        <v>1</v>
      </c>
    </row>
    <row r="20" spans="1:35" ht="12.75" customHeight="1" x14ac:dyDescent="0.2">
      <c r="A20" s="1328"/>
      <c r="B20" s="1330"/>
      <c r="C20" s="1323">
        <f t="shared" si="0"/>
        <v>13</v>
      </c>
      <c r="D20" s="605">
        <v>13</v>
      </c>
      <c r="E20" s="653" t="s">
        <v>167</v>
      </c>
      <c r="F20" s="800">
        <v>174</v>
      </c>
      <c r="G20" s="1327">
        <f t="shared" si="1"/>
        <v>174.000211001011</v>
      </c>
      <c r="H20" s="347">
        <f t="shared" si="2"/>
        <v>2.1100101101000998E-4</v>
      </c>
      <c r="I20" s="346">
        <f t="array" ref="I20">(IF(COUNT(L20,M20,N20,R20,V20)&lt;3,SUM(L20,M20,N20,R20,V20),SUM(LARGE((L20,M20,N20,R20,V20),{1;2;3}))))+(IF(COUNT(K20,P20,Q20,U20)&lt;3,SUM(K20,P20,Q20,U20),SUM(LARGE((K20,P20,Q20,U20),{1;2;3}))))+(IF(COUNT(J20,O20,S20,T20)&lt;3,SUM(J20,O20,S20,T20),SUM(LARGE((J20,O20,S20,T20),{1;2;3}))))</f>
        <v>174</v>
      </c>
      <c r="J20" s="421" t="s">
        <v>251</v>
      </c>
      <c r="K20" s="330">
        <v>20</v>
      </c>
      <c r="L20" s="329">
        <v>4</v>
      </c>
      <c r="M20" s="421" t="s">
        <v>251</v>
      </c>
      <c r="N20" s="421" t="s">
        <v>251</v>
      </c>
      <c r="O20" s="329">
        <v>26</v>
      </c>
      <c r="P20" s="330">
        <v>16</v>
      </c>
      <c r="Q20" s="422">
        <v>14</v>
      </c>
      <c r="R20" s="330"/>
      <c r="S20" s="330">
        <v>34</v>
      </c>
      <c r="T20" s="330">
        <v>34</v>
      </c>
      <c r="U20" s="330">
        <v>30</v>
      </c>
      <c r="V20" s="330">
        <v>10</v>
      </c>
      <c r="W20" s="332">
        <f t="shared" si="3"/>
        <v>9</v>
      </c>
      <c r="X20" s="332">
        <f t="shared" si="4"/>
        <v>3</v>
      </c>
      <c r="Y20" s="332">
        <f t="shared" si="5"/>
        <v>0</v>
      </c>
      <c r="Z20" s="330">
        <f t="shared" si="6"/>
        <v>2</v>
      </c>
      <c r="AA20" s="330">
        <f t="shared" si="7"/>
        <v>0</v>
      </c>
      <c r="AB20" s="330">
        <f t="shared" si="8"/>
        <v>1</v>
      </c>
    </row>
    <row r="21" spans="1:35" ht="12.75" customHeight="1" x14ac:dyDescent="0.2">
      <c r="A21" s="1328"/>
      <c r="B21" s="1330"/>
      <c r="C21" s="1323">
        <f t="shared" si="0"/>
        <v>14</v>
      </c>
      <c r="D21" s="605">
        <v>14</v>
      </c>
      <c r="E21" s="653" t="s">
        <v>170</v>
      </c>
      <c r="F21" s="800">
        <v>166</v>
      </c>
      <c r="G21" s="1327">
        <f t="shared" si="1"/>
        <v>166.00101101101001</v>
      </c>
      <c r="H21" s="347">
        <f t="shared" si="2"/>
        <v>1.0110110100001997E-3</v>
      </c>
      <c r="I21" s="346">
        <f t="array" ref="I21">(IF(COUNT(L21,M21,N21,R21,V21)&lt;3,SUM(L21,M21,N21,R21,V21),SUM(LARGE((L21,M21,N21,R21,V21),{1;2;3}))))+(IF(COUNT(K21,P21,Q21,U21)&lt;3,SUM(K21,P21,Q21,U21),SUM(LARGE((K21,P21,Q21,U21),{1;2;3}))))+(IF(COUNT(J21,O21,S21,T21)&lt;3,SUM(J21,O21,S21,T21),SUM(LARGE((J21,O21,S21,T21),{1;2;3}))))</f>
        <v>166</v>
      </c>
      <c r="J21" s="329">
        <v>20</v>
      </c>
      <c r="K21" s="330">
        <v>40</v>
      </c>
      <c r="L21" s="421" t="s">
        <v>251</v>
      </c>
      <c r="M21" s="329">
        <v>30</v>
      </c>
      <c r="N21" s="329">
        <v>6</v>
      </c>
      <c r="O21" s="329">
        <v>22</v>
      </c>
      <c r="P21" s="330">
        <v>16</v>
      </c>
      <c r="Q21" s="422" t="s">
        <v>251</v>
      </c>
      <c r="R21" s="421" t="s">
        <v>251</v>
      </c>
      <c r="S21" s="422" t="s">
        <v>251</v>
      </c>
      <c r="T21" s="330"/>
      <c r="U21" s="330">
        <v>26</v>
      </c>
      <c r="V21" s="330">
        <v>6</v>
      </c>
      <c r="W21" s="332">
        <f t="shared" si="3"/>
        <v>8</v>
      </c>
      <c r="X21" s="332">
        <f t="shared" si="4"/>
        <v>2</v>
      </c>
      <c r="Y21" s="332">
        <f t="shared" si="5"/>
        <v>1</v>
      </c>
      <c r="Z21" s="330">
        <f t="shared" si="6"/>
        <v>1</v>
      </c>
      <c r="AA21" s="330">
        <f t="shared" si="7"/>
        <v>1</v>
      </c>
      <c r="AB21" s="330">
        <f t="shared" si="8"/>
        <v>2</v>
      </c>
    </row>
    <row r="22" spans="1:35" ht="12.75" customHeight="1" x14ac:dyDescent="0.2">
      <c r="A22" s="954"/>
      <c r="B22" s="1329"/>
      <c r="C22" s="1323">
        <f t="shared" si="0"/>
        <v>15</v>
      </c>
      <c r="D22" s="604">
        <v>15</v>
      </c>
      <c r="E22" s="590" t="s">
        <v>168</v>
      </c>
      <c r="F22" s="800">
        <v>160</v>
      </c>
      <c r="G22" s="1327">
        <f t="shared" si="1"/>
        <v>160.000001131001</v>
      </c>
      <c r="H22" s="347">
        <f t="shared" si="2"/>
        <v>1.1310010100000001E-6</v>
      </c>
      <c r="I22" s="346">
        <f t="array" ref="I22">(IF(COUNT(L22,M22,N22,R22,V22)&lt;3,SUM(L22,M22,N22,R22,V22),SUM(LARGE((L22,M22,N22,R22,V22),{1;2;3}))))+(IF(COUNT(K22,P22,Q22,U22)&lt;3,SUM(K22,P22,Q22,U22),SUM(LARGE((K22,P22,Q22,U22),{1;2;3}))))+(IF(COUNT(J22,O22,S22,T22)&lt;3,SUM(J22,O22,S22,T22),SUM(LARGE((J22,O22,S22,T22),{1;2;3}))))</f>
        <v>160</v>
      </c>
      <c r="J22" s="329">
        <v>20</v>
      </c>
      <c r="K22" s="422" t="s">
        <v>251</v>
      </c>
      <c r="L22" s="329">
        <v>10</v>
      </c>
      <c r="M22" s="421" t="s">
        <v>251</v>
      </c>
      <c r="N22" s="330">
        <v>14</v>
      </c>
      <c r="O22" s="330">
        <v>22</v>
      </c>
      <c r="P22" s="330"/>
      <c r="Q22" s="330">
        <v>22</v>
      </c>
      <c r="R22" s="330">
        <v>22</v>
      </c>
      <c r="S22" s="330">
        <v>24</v>
      </c>
      <c r="T22" s="422" t="s">
        <v>251</v>
      </c>
      <c r="U22" s="330">
        <v>26</v>
      </c>
      <c r="V22" s="422" t="s">
        <v>251</v>
      </c>
      <c r="W22" s="332">
        <f t="shared" si="3"/>
        <v>8</v>
      </c>
      <c r="X22" s="332">
        <f t="shared" si="4"/>
        <v>0</v>
      </c>
      <c r="Y22" s="332">
        <f t="shared" si="5"/>
        <v>0</v>
      </c>
      <c r="Z22" s="330">
        <f t="shared" si="6"/>
        <v>1</v>
      </c>
      <c r="AA22" s="330">
        <f t="shared" si="7"/>
        <v>2</v>
      </c>
      <c r="AB22" s="330">
        <f t="shared" si="8"/>
        <v>1</v>
      </c>
    </row>
    <row r="23" spans="1:35" ht="12.75" customHeight="1" x14ac:dyDescent="0.2">
      <c r="A23" s="954">
        <v>1</v>
      </c>
      <c r="B23" s="1329"/>
      <c r="C23" s="1323">
        <f t="shared" si="0"/>
        <v>16</v>
      </c>
      <c r="D23" s="604">
        <v>16</v>
      </c>
      <c r="E23" s="953" t="s">
        <v>171</v>
      </c>
      <c r="F23" s="800">
        <v>149.5</v>
      </c>
      <c r="G23" s="1327">
        <f t="shared" si="1"/>
        <v>149.50112000000101</v>
      </c>
      <c r="H23" s="347">
        <f t="shared" si="2"/>
        <v>1.1200000010000001E-3</v>
      </c>
      <c r="I23" s="346">
        <f t="array" ref="I23">(IF(COUNT(L23,M23,N23,R23,V23)&lt;3,SUM(L23,M23,N23,R23,V23),SUM(LARGE((L23,M23,N23,R23,V23),{1;2;3}))))+(IF(COUNT(K23,P23,Q23,U23)&lt;3,SUM(K23,P23,Q23,U23),SUM(LARGE((K23,P23,Q23,U23),{1;2;3}))))+(IF(COUNT(J23,O23,S23,T23)&lt;3,SUM(J23,O23,S23,T23),SUM(LARGE((J23,O23,S23,T23),{1;2;3}))))</f>
        <v>149.5</v>
      </c>
      <c r="J23" s="329">
        <v>30</v>
      </c>
      <c r="K23" s="330">
        <v>30</v>
      </c>
      <c r="L23" s="329">
        <v>14</v>
      </c>
      <c r="M23" s="421" t="s">
        <v>251</v>
      </c>
      <c r="N23" s="329">
        <v>1.5</v>
      </c>
      <c r="O23" s="330">
        <v>34</v>
      </c>
      <c r="P23" s="422" t="s">
        <v>251</v>
      </c>
      <c r="Q23" s="330">
        <v>40</v>
      </c>
      <c r="R23" s="421" t="s">
        <v>251</v>
      </c>
      <c r="S23" s="422" t="s">
        <v>251</v>
      </c>
      <c r="T23" s="330"/>
      <c r="U23" s="330"/>
      <c r="V23" s="330"/>
      <c r="W23" s="332">
        <f t="shared" si="3"/>
        <v>6</v>
      </c>
      <c r="X23" s="332">
        <f t="shared" si="4"/>
        <v>4</v>
      </c>
      <c r="Y23" s="332">
        <f t="shared" si="5"/>
        <v>1</v>
      </c>
      <c r="Z23" s="330">
        <f t="shared" si="6"/>
        <v>2</v>
      </c>
      <c r="AA23" s="330">
        <f t="shared" si="7"/>
        <v>1</v>
      </c>
      <c r="AB23" s="330">
        <f t="shared" si="8"/>
        <v>1</v>
      </c>
    </row>
    <row r="24" spans="1:35" ht="12.75" customHeight="1" x14ac:dyDescent="0.2">
      <c r="A24" s="954"/>
      <c r="B24" s="1329"/>
      <c r="C24" s="1323">
        <f t="shared" si="0"/>
        <v>17</v>
      </c>
      <c r="D24" s="604">
        <v>17</v>
      </c>
      <c r="E24" s="153" t="s">
        <v>158</v>
      </c>
      <c r="F24" s="800">
        <v>140</v>
      </c>
      <c r="G24" s="1327">
        <f t="shared" si="1"/>
        <v>140.00021010009999</v>
      </c>
      <c r="H24" s="347">
        <f t="shared" si="2"/>
        <v>2.1010010000000002E-4</v>
      </c>
      <c r="I24" s="346">
        <f t="array" ref="I24">(IF(COUNT(L24,M24,N24,R24,V24)&lt;3,SUM(L24,M24,N24,R24,V24),SUM(LARGE((L24,M24,N24,R24,V24),{1;2;3}))))+(IF(COUNT(K24,P24,Q24,U24)&lt;3,SUM(K24,P24,Q24,U24),SUM(LARGE((K24,P24,Q24,U24),{1;2;3}))))+(IF(COUNT(J24,O24,S24,T24)&lt;3,SUM(J24,O24,S24,T24),SUM(LARGE((J24,O24,S24,T24),{1;2;3}))))</f>
        <v>140</v>
      </c>
      <c r="J24" s="329">
        <v>24</v>
      </c>
      <c r="K24" s="422" t="s">
        <v>251</v>
      </c>
      <c r="L24" s="421" t="s">
        <v>251</v>
      </c>
      <c r="M24" s="421" t="s">
        <v>251</v>
      </c>
      <c r="N24" s="330">
        <v>34</v>
      </c>
      <c r="O24" s="422" t="s">
        <v>251</v>
      </c>
      <c r="P24" s="330">
        <v>34</v>
      </c>
      <c r="Q24" s="330">
        <v>18</v>
      </c>
      <c r="R24" s="329"/>
      <c r="S24" s="329"/>
      <c r="T24" s="330">
        <v>30</v>
      </c>
      <c r="U24" s="330"/>
      <c r="V24" s="330"/>
      <c r="W24" s="332">
        <f t="shared" si="3"/>
        <v>5</v>
      </c>
      <c r="X24" s="332">
        <f t="shared" si="4"/>
        <v>3</v>
      </c>
      <c r="Y24" s="332">
        <f t="shared" si="5"/>
        <v>0</v>
      </c>
      <c r="Z24" s="330">
        <f t="shared" si="6"/>
        <v>1</v>
      </c>
      <c r="AA24" s="330">
        <f t="shared" si="7"/>
        <v>2</v>
      </c>
      <c r="AB24" s="330">
        <f t="shared" si="8"/>
        <v>1</v>
      </c>
    </row>
    <row r="25" spans="1:35" s="333" customFormat="1" ht="12.75" customHeight="1" x14ac:dyDescent="0.2">
      <c r="A25" s="954"/>
      <c r="B25" s="1329"/>
      <c r="C25" s="1323">
        <f t="shared" si="0"/>
        <v>18</v>
      </c>
      <c r="D25" s="605">
        <v>18</v>
      </c>
      <c r="E25" s="653" t="s">
        <v>172</v>
      </c>
      <c r="F25" s="800">
        <v>132</v>
      </c>
      <c r="G25" s="1327">
        <f t="shared" si="1"/>
        <v>132.00101100101</v>
      </c>
      <c r="H25" s="347">
        <f t="shared" si="2"/>
        <v>1.0110010099999998E-3</v>
      </c>
      <c r="I25" s="346">
        <f t="array" ref="I25">(IF(COUNT(L25,M25,N25,R25,V25)&lt;3,SUM(L25,M25,N25,R25,V25),SUM(LARGE((L25,M25,N25,R25,V25),{1;2;3}))))+(IF(COUNT(K25,P25,Q25,U25)&lt;3,SUM(K25,P25,Q25,U25),SUM(LARGE((K25,P25,Q25,U25),{1;2;3}))))+(IF(COUNT(J25,O25,S25,T25)&lt;3,SUM(J25,O25,S25,T25),SUM(LARGE((J25,O25,S25,T25),{1;2;3}))))</f>
        <v>132</v>
      </c>
      <c r="J25" s="421" t="s">
        <v>251</v>
      </c>
      <c r="K25" s="422" t="s">
        <v>251</v>
      </c>
      <c r="L25" s="329">
        <v>16</v>
      </c>
      <c r="M25" s="421" t="s">
        <v>251</v>
      </c>
      <c r="N25" s="421" t="s">
        <v>251</v>
      </c>
      <c r="O25" s="329">
        <v>40</v>
      </c>
      <c r="P25" s="330">
        <v>20</v>
      </c>
      <c r="Q25" s="330">
        <v>30</v>
      </c>
      <c r="R25" s="330">
        <v>26</v>
      </c>
      <c r="S25" s="330"/>
      <c r="T25" s="330"/>
      <c r="U25" s="330"/>
      <c r="V25" s="330"/>
      <c r="W25" s="332">
        <f t="shared" si="3"/>
        <v>5</v>
      </c>
      <c r="X25" s="332">
        <f t="shared" si="4"/>
        <v>2</v>
      </c>
      <c r="Y25" s="332">
        <f t="shared" si="5"/>
        <v>1</v>
      </c>
      <c r="Z25" s="330">
        <f t="shared" si="6"/>
        <v>2</v>
      </c>
      <c r="AA25" s="330">
        <f t="shared" si="7"/>
        <v>1</v>
      </c>
      <c r="AB25" s="330">
        <f t="shared" si="8"/>
        <v>1</v>
      </c>
      <c r="AF25" s="308"/>
      <c r="AG25" s="308"/>
      <c r="AH25" s="308"/>
      <c r="AI25" s="308"/>
    </row>
    <row r="26" spans="1:35" s="333" customFormat="1" ht="12.75" customHeight="1" x14ac:dyDescent="0.2">
      <c r="A26" s="954"/>
      <c r="B26" s="1329"/>
      <c r="C26" s="1323">
        <f t="shared" si="0"/>
        <v>19</v>
      </c>
      <c r="D26" s="604">
        <v>19</v>
      </c>
      <c r="E26" s="653" t="s">
        <v>169</v>
      </c>
      <c r="F26" s="800">
        <v>119</v>
      </c>
      <c r="G26" s="1327">
        <f t="shared" si="1"/>
        <v>119.00001112000001</v>
      </c>
      <c r="H26" s="347">
        <f t="shared" si="2"/>
        <v>1.1120000010100002E-5</v>
      </c>
      <c r="I26" s="346">
        <f t="array" ref="I26">(IF(COUNT(L26,M26,N26,R26,V26)&lt;3,SUM(L26,M26,N26,R26,V26),SUM(LARGE((L26,M26,N26,R26,V26),{1;2;3}))))+(IF(COUNT(K26,P26,Q26,U26)&lt;3,SUM(K26,P26,Q26,U26),SUM(LARGE((K26,P26,Q26,U26),{1;2;3}))))+(IF(COUNT(J26,O26,S26,T26)&lt;3,SUM(J26,O26,S26,T26),SUM(LARGE((J26,O26,S26,T26),{1;2;3}))))</f>
        <v>119</v>
      </c>
      <c r="J26" s="421">
        <v>22</v>
      </c>
      <c r="K26" s="422" t="s">
        <v>251</v>
      </c>
      <c r="L26" s="329">
        <v>26</v>
      </c>
      <c r="M26" s="421" t="s">
        <v>251</v>
      </c>
      <c r="N26" s="330">
        <v>1</v>
      </c>
      <c r="O26" s="330">
        <v>24</v>
      </c>
      <c r="P26" s="329"/>
      <c r="Q26" s="329">
        <v>10</v>
      </c>
      <c r="R26" s="329">
        <v>6</v>
      </c>
      <c r="S26" s="329">
        <v>30</v>
      </c>
      <c r="T26" s="330">
        <v>22</v>
      </c>
      <c r="U26" s="330"/>
      <c r="V26" s="422" t="s">
        <v>251</v>
      </c>
      <c r="W26" s="332">
        <f t="shared" si="3"/>
        <v>8</v>
      </c>
      <c r="X26" s="332">
        <f t="shared" si="4"/>
        <v>1</v>
      </c>
      <c r="Y26" s="332">
        <f t="shared" si="5"/>
        <v>0</v>
      </c>
      <c r="Z26" s="330">
        <f t="shared" si="6"/>
        <v>1</v>
      </c>
      <c r="AA26" s="330">
        <f t="shared" si="7"/>
        <v>1</v>
      </c>
      <c r="AB26" s="330">
        <f t="shared" si="8"/>
        <v>1</v>
      </c>
      <c r="AF26" s="308"/>
      <c r="AG26" s="308"/>
      <c r="AH26" s="308"/>
      <c r="AI26" s="308"/>
    </row>
    <row r="27" spans="1:35" ht="12.75" customHeight="1" x14ac:dyDescent="0.2">
      <c r="A27" s="954">
        <v>2</v>
      </c>
      <c r="B27" s="1329"/>
      <c r="C27" s="1323">
        <f t="shared" si="0"/>
        <v>20</v>
      </c>
      <c r="D27" s="605">
        <v>20</v>
      </c>
      <c r="E27" s="957" t="s">
        <v>313</v>
      </c>
      <c r="F27" s="800">
        <v>118</v>
      </c>
      <c r="G27" s="1327">
        <f t="shared" si="1"/>
        <v>118.00000000123001</v>
      </c>
      <c r="H27" s="347">
        <f t="shared" si="2"/>
        <v>1.2300011E-9</v>
      </c>
      <c r="I27" s="346">
        <f t="array" ref="I27">(IF(COUNT(L27,M27,N27,R27,V27)&lt;3,SUM(L27,M27,N27,R27,V27),SUM(LARGE((L27,M27,N27,R27,V27),{1;2;3}))))+(IF(COUNT(K27,P27,Q27,U27)&lt;3,SUM(K27,P27,Q27,U27),SUM(LARGE((K27,P27,Q27,U27),{1;2;3}))))+(IF(COUNT(J27,O27,S27,T27)&lt;3,SUM(J27,O27,S27,T27),SUM(LARGE((J27,O27,S27,T27),{1;2;3}))))</f>
        <v>118</v>
      </c>
      <c r="J27" s="329">
        <v>16</v>
      </c>
      <c r="K27" s="330">
        <v>18</v>
      </c>
      <c r="L27" s="421" t="s">
        <v>251</v>
      </c>
      <c r="M27" s="421" t="s">
        <v>251</v>
      </c>
      <c r="N27" s="329">
        <v>20</v>
      </c>
      <c r="O27" s="330">
        <v>18</v>
      </c>
      <c r="P27" s="330">
        <v>6</v>
      </c>
      <c r="Q27" s="330">
        <v>16</v>
      </c>
      <c r="R27" s="329"/>
      <c r="S27" s="422" t="s">
        <v>251</v>
      </c>
      <c r="T27" s="330">
        <v>16</v>
      </c>
      <c r="U27" s="422" t="s">
        <v>251</v>
      </c>
      <c r="V27" s="330">
        <v>8</v>
      </c>
      <c r="W27" s="332">
        <f t="shared" si="3"/>
        <v>8</v>
      </c>
      <c r="X27" s="332">
        <f t="shared" si="4"/>
        <v>0</v>
      </c>
      <c r="Y27" s="332">
        <f t="shared" si="5"/>
        <v>0</v>
      </c>
      <c r="Z27" s="330">
        <f t="shared" si="6"/>
        <v>1</v>
      </c>
      <c r="AA27" s="330">
        <f t="shared" si="7"/>
        <v>1</v>
      </c>
      <c r="AB27" s="330">
        <f t="shared" si="8"/>
        <v>2</v>
      </c>
    </row>
    <row r="28" spans="1:35" s="333" customFormat="1" ht="12.75" customHeight="1" x14ac:dyDescent="0.2">
      <c r="A28" s="954"/>
      <c r="B28" s="1329"/>
      <c r="C28" s="1323">
        <f t="shared" si="0"/>
        <v>21</v>
      </c>
      <c r="D28" s="605">
        <v>21</v>
      </c>
      <c r="E28" s="590" t="s">
        <v>183</v>
      </c>
      <c r="F28" s="800">
        <v>104</v>
      </c>
      <c r="G28" s="1327">
        <f t="shared" si="1"/>
        <v>104.00100000000231</v>
      </c>
      <c r="H28" s="347">
        <f t="shared" si="2"/>
        <v>1.0000000023000011E-3</v>
      </c>
      <c r="I28" s="346">
        <f t="array" ref="I28">(IF(COUNT(L28,M28,N28,R28,V28)&lt;3,SUM(L28,M28,N28,R28,V28),SUM(LARGE((L28,M28,N28,R28,V28),{1;2;3}))))+(IF(COUNT(K28,P28,Q28,U28)&lt;3,SUM(K28,P28,Q28,U28),SUM(LARGE((K28,P28,Q28,U28),{1;2;3}))))+(IF(COUNT(J28,O28,S28,T28)&lt;3,SUM(J28,O28,S28,T28),SUM(LARGE((J28,O28,S28,T28),{1;2;3}))))</f>
        <v>104</v>
      </c>
      <c r="J28" s="329">
        <v>14</v>
      </c>
      <c r="K28" s="422" t="s">
        <v>251</v>
      </c>
      <c r="L28" s="330">
        <v>12</v>
      </c>
      <c r="M28" s="421" t="s">
        <v>251</v>
      </c>
      <c r="N28" s="330">
        <v>40</v>
      </c>
      <c r="O28" s="422" t="s">
        <v>251</v>
      </c>
      <c r="P28" s="330">
        <v>14</v>
      </c>
      <c r="Q28" s="330">
        <v>12</v>
      </c>
      <c r="R28" s="422">
        <v>2</v>
      </c>
      <c r="S28" s="330"/>
      <c r="T28" s="330"/>
      <c r="U28" s="330"/>
      <c r="V28" s="330">
        <v>12</v>
      </c>
      <c r="W28" s="332">
        <f t="shared" si="3"/>
        <v>7</v>
      </c>
      <c r="X28" s="332">
        <f t="shared" si="4"/>
        <v>1</v>
      </c>
      <c r="Y28" s="332">
        <f t="shared" si="5"/>
        <v>1</v>
      </c>
      <c r="Z28" s="330">
        <f t="shared" si="6"/>
        <v>1</v>
      </c>
      <c r="AA28" s="330">
        <f t="shared" si="7"/>
        <v>2</v>
      </c>
      <c r="AB28" s="330">
        <f t="shared" si="8"/>
        <v>0</v>
      </c>
      <c r="AF28" s="308"/>
      <c r="AG28" s="308"/>
      <c r="AH28" s="308"/>
      <c r="AI28" s="308"/>
    </row>
    <row r="29" spans="1:35" ht="12.75" customHeight="1" x14ac:dyDescent="0.2">
      <c r="A29" s="954">
        <v>3</v>
      </c>
      <c r="B29" s="1329"/>
      <c r="C29" s="1323">
        <f t="shared" si="0"/>
        <v>22</v>
      </c>
      <c r="D29" s="604">
        <v>22</v>
      </c>
      <c r="E29" s="328" t="s">
        <v>178</v>
      </c>
      <c r="F29" s="800">
        <v>94</v>
      </c>
      <c r="G29" s="1327">
        <f t="shared" si="1"/>
        <v>94.000002011000007</v>
      </c>
      <c r="H29" s="347">
        <f t="shared" si="2"/>
        <v>2.0109999999999999E-6</v>
      </c>
      <c r="I29" s="346">
        <f t="array" ref="I29">(IF(COUNT(L29,M29,N29,R29,V29)&lt;3,SUM(L29,M29,N29,R29,V29),SUM(LARGE((L29,M29,N29,R29,V29),{1;2;3}))))+(IF(COUNT(K29,P29,Q29,U29)&lt;3,SUM(K29,P29,Q29,U29),SUM(LARGE((K29,P29,Q29,U29),{1;2;3}))))+(IF(COUNT(J29,O29,S29,T29)&lt;3,SUM(J29,O29,S29,T29),SUM(LARGE((J29,O29,S29,T29),{1;2;3}))))</f>
        <v>94</v>
      </c>
      <c r="J29" s="329">
        <v>26</v>
      </c>
      <c r="K29" s="422" t="s">
        <v>251</v>
      </c>
      <c r="L29" s="421" t="s">
        <v>251</v>
      </c>
      <c r="M29" s="421" t="s">
        <v>251</v>
      </c>
      <c r="N29" s="330"/>
      <c r="O29" s="422" t="s">
        <v>251</v>
      </c>
      <c r="P29" s="329">
        <v>22</v>
      </c>
      <c r="Q29" s="330">
        <v>20</v>
      </c>
      <c r="R29" s="330"/>
      <c r="S29" s="330">
        <v>26</v>
      </c>
      <c r="T29" s="330"/>
      <c r="U29" s="330"/>
      <c r="V29" s="330"/>
      <c r="W29" s="332">
        <f t="shared" si="3"/>
        <v>4</v>
      </c>
      <c r="X29" s="332">
        <f t="shared" si="4"/>
        <v>0</v>
      </c>
      <c r="Y29" s="332">
        <f t="shared" si="5"/>
        <v>0</v>
      </c>
      <c r="Z29" s="330">
        <f t="shared" si="6"/>
        <v>1</v>
      </c>
      <c r="AA29" s="330">
        <f t="shared" si="7"/>
        <v>2</v>
      </c>
      <c r="AB29" s="330">
        <f t="shared" si="8"/>
        <v>1</v>
      </c>
    </row>
    <row r="30" spans="1:35" ht="12.75" customHeight="1" x14ac:dyDescent="0.2">
      <c r="A30" s="954"/>
      <c r="B30" s="1329"/>
      <c r="C30" s="1323">
        <f t="shared" si="0"/>
        <v>22</v>
      </c>
      <c r="D30" s="604">
        <v>22</v>
      </c>
      <c r="E30" s="139" t="s">
        <v>163</v>
      </c>
      <c r="F30" s="800">
        <v>94</v>
      </c>
      <c r="G30" s="1327">
        <f t="shared" si="1"/>
        <v>94.000002011000007</v>
      </c>
      <c r="H30" s="347">
        <f t="shared" si="2"/>
        <v>2.0109999999999999E-6</v>
      </c>
      <c r="I30" s="346">
        <f t="array" ref="I30">(IF(COUNT(L30,M30,N30,R30,V30)&lt;3,SUM(L30,M30,N30,R30,V30),SUM(LARGE((L30,M30,N30,R30,V30),{1;2;3}))))+(IF(COUNT(K30,P30,Q30,U30)&lt;3,SUM(K30,P30,Q30,U30),SUM(LARGE((K30,P30,Q30,U30),{1;2;3}))))+(IF(COUNT(J30,O30,S30,T30)&lt;3,SUM(J30,O30,S30,T30),SUM(LARGE((J30,O30,S30,T30),{1;2;3}))))</f>
        <v>94</v>
      </c>
      <c r="J30" s="329">
        <v>26</v>
      </c>
      <c r="K30" s="422" t="s">
        <v>251</v>
      </c>
      <c r="L30" s="421" t="s">
        <v>251</v>
      </c>
      <c r="M30" s="421" t="s">
        <v>251</v>
      </c>
      <c r="N30" s="330"/>
      <c r="O30" s="422" t="s">
        <v>251</v>
      </c>
      <c r="P30" s="330">
        <v>22</v>
      </c>
      <c r="Q30" s="330">
        <v>20</v>
      </c>
      <c r="R30" s="330"/>
      <c r="S30" s="330">
        <v>26</v>
      </c>
      <c r="T30" s="330"/>
      <c r="U30" s="330"/>
      <c r="V30" s="330"/>
      <c r="W30" s="332">
        <f t="shared" si="3"/>
        <v>4</v>
      </c>
      <c r="X30" s="332">
        <f t="shared" si="4"/>
        <v>0</v>
      </c>
      <c r="Y30" s="332">
        <f t="shared" si="5"/>
        <v>0</v>
      </c>
      <c r="Z30" s="330">
        <f t="shared" si="6"/>
        <v>1</v>
      </c>
      <c r="AA30" s="330">
        <f t="shared" si="7"/>
        <v>2</v>
      </c>
      <c r="AB30" s="330">
        <f t="shared" si="8"/>
        <v>1</v>
      </c>
    </row>
    <row r="31" spans="1:35" ht="12.75" customHeight="1" x14ac:dyDescent="0.2">
      <c r="A31" s="954"/>
      <c r="B31" s="1329"/>
      <c r="C31" s="1323">
        <f t="shared" si="0"/>
        <v>24</v>
      </c>
      <c r="D31" s="604">
        <v>24</v>
      </c>
      <c r="E31" s="327" t="s">
        <v>314</v>
      </c>
      <c r="F31" s="800">
        <v>94</v>
      </c>
      <c r="G31" s="1327">
        <f t="shared" si="1"/>
        <v>94.000000000230003</v>
      </c>
      <c r="H31" s="347">
        <f t="shared" si="2"/>
        <v>2.3000011000000001E-10</v>
      </c>
      <c r="I31" s="346">
        <f t="array" ref="I31">(IF(COUNT(L31,M31,N31,R31,V31)&lt;3,SUM(L31,M31,N31,R31,V31),SUM(LARGE((L31,M31,N31,R31,V31),{1;2;3}))))+(IF(COUNT(K31,P31,Q31,U31)&lt;3,SUM(K31,P31,Q31,U31),SUM(LARGE((K31,P31,Q31,U31),{1;2;3}))))+(IF(COUNT(J31,O31,S31,T31)&lt;3,SUM(J31,O31,S31,T31),SUM(LARGE((J31,O31,S31,T31),{1;2;3}))))</f>
        <v>94</v>
      </c>
      <c r="J31" s="329">
        <v>16</v>
      </c>
      <c r="K31" s="330">
        <v>18</v>
      </c>
      <c r="L31" s="421" t="s">
        <v>251</v>
      </c>
      <c r="M31" s="421" t="s">
        <v>251</v>
      </c>
      <c r="N31" s="329">
        <v>4</v>
      </c>
      <c r="O31" s="329">
        <v>18</v>
      </c>
      <c r="P31" s="329">
        <v>6</v>
      </c>
      <c r="Q31" s="330">
        <v>16</v>
      </c>
      <c r="R31" s="330"/>
      <c r="S31" s="422" t="s">
        <v>251</v>
      </c>
      <c r="T31" s="330">
        <v>16</v>
      </c>
      <c r="U31" s="422" t="s">
        <v>251</v>
      </c>
      <c r="V31" s="330"/>
      <c r="W31" s="332">
        <f t="shared" si="3"/>
        <v>7</v>
      </c>
      <c r="X31" s="332">
        <f t="shared" si="4"/>
        <v>0</v>
      </c>
      <c r="Y31" s="332">
        <f t="shared" si="5"/>
        <v>0</v>
      </c>
      <c r="Z31" s="330">
        <f t="shared" si="6"/>
        <v>1</v>
      </c>
      <c r="AA31" s="330">
        <f t="shared" si="7"/>
        <v>1</v>
      </c>
      <c r="AB31" s="330">
        <f t="shared" si="8"/>
        <v>2</v>
      </c>
    </row>
    <row r="32" spans="1:35" s="333" customFormat="1" ht="12.75" customHeight="1" x14ac:dyDescent="0.2">
      <c r="A32" s="1328"/>
      <c r="B32" s="1330"/>
      <c r="C32" s="1323">
        <f t="shared" si="0"/>
        <v>25</v>
      </c>
      <c r="D32" s="605">
        <v>25</v>
      </c>
      <c r="E32" s="653" t="s">
        <v>174</v>
      </c>
      <c r="F32" s="800">
        <v>91</v>
      </c>
      <c r="G32" s="1327">
        <f t="shared" si="1"/>
        <v>91.000100110000005</v>
      </c>
      <c r="H32" s="347">
        <f t="shared" si="2"/>
        <v>1.0011000000011001E-4</v>
      </c>
      <c r="I32" s="346">
        <f t="array" ref="I32">(IF(COUNT(L32,M32,N32,R32,V32)&lt;3,SUM(L32,M32,N32,R32,V32),SUM(LARGE((L32,M32,N32,R32,V32),{1;2;3}))))+(IF(COUNT(K32,P32,Q32,U32)&lt;3,SUM(K32,P32,Q32,U32),SUM(LARGE((K32,P32,Q32,U32),{1;2;3}))))+(IF(COUNT(J32,O32,S32,T32)&lt;3,SUM(J32,O32,S32,T32),SUM(LARGE((J32,O32,S32,T32),{1;2;3}))))</f>
        <v>91</v>
      </c>
      <c r="J32" s="421" t="s">
        <v>251</v>
      </c>
      <c r="K32" s="330">
        <v>22</v>
      </c>
      <c r="L32" s="421" t="s">
        <v>251</v>
      </c>
      <c r="M32" s="421" t="s">
        <v>251</v>
      </c>
      <c r="N32" s="329">
        <v>1</v>
      </c>
      <c r="O32" s="329">
        <v>34</v>
      </c>
      <c r="P32" s="330">
        <v>6</v>
      </c>
      <c r="Q32" s="422" t="s">
        <v>251</v>
      </c>
      <c r="R32" s="330"/>
      <c r="S32" s="330">
        <v>24</v>
      </c>
      <c r="T32" s="330"/>
      <c r="U32" s="330"/>
      <c r="V32" s="330">
        <v>4</v>
      </c>
      <c r="W32" s="332">
        <f t="shared" si="3"/>
        <v>6</v>
      </c>
      <c r="X32" s="332">
        <f t="shared" si="4"/>
        <v>1</v>
      </c>
      <c r="Y32" s="332">
        <f t="shared" si="5"/>
        <v>0</v>
      </c>
      <c r="Z32" s="330">
        <f t="shared" si="6"/>
        <v>3</v>
      </c>
      <c r="AA32" s="330">
        <f t="shared" si="7"/>
        <v>0</v>
      </c>
      <c r="AB32" s="330">
        <f t="shared" si="8"/>
        <v>1</v>
      </c>
      <c r="AF32" s="308"/>
      <c r="AG32" s="308"/>
      <c r="AH32" s="308"/>
      <c r="AI32" s="308"/>
    </row>
    <row r="33" spans="1:35" s="333" customFormat="1" ht="12.75" customHeight="1" x14ac:dyDescent="0.2">
      <c r="A33" s="1328"/>
      <c r="B33" s="1330"/>
      <c r="C33" s="1323">
        <f t="shared" si="0"/>
        <v>26</v>
      </c>
      <c r="D33" s="605">
        <v>26</v>
      </c>
      <c r="E33" s="590" t="s">
        <v>52</v>
      </c>
      <c r="F33" s="800">
        <v>86</v>
      </c>
      <c r="G33" s="1327">
        <f t="shared" si="1"/>
        <v>86.000001000102998</v>
      </c>
      <c r="H33" s="347">
        <f t="shared" si="2"/>
        <v>1.000103E-6</v>
      </c>
      <c r="I33" s="346">
        <f t="array" ref="I33">(IF(COUNT(L33,M33,N33,R33,V33)&lt;3,SUM(L33,M33,N33,R33,V33),SUM(LARGE((L33,M33,N33,R33,V33),{1;2;3}))))+(IF(COUNT(K33,P33,Q33,U33)&lt;3,SUM(K33,P33,Q33,U33),SUM(LARGE((K33,P33,Q33,U33),{1;2;3}))))+(IF(COUNT(J33,O33,S33,T33)&lt;3,SUM(J33,O33,S33,T33),SUM(LARGE((J33,O33,S33,T33),{1;2;3}))))</f>
        <v>86</v>
      </c>
      <c r="J33" s="329">
        <v>14</v>
      </c>
      <c r="K33" s="422" t="s">
        <v>251</v>
      </c>
      <c r="L33" s="421" t="s">
        <v>251</v>
      </c>
      <c r="M33" s="421" t="s">
        <v>251</v>
      </c>
      <c r="N33" s="329"/>
      <c r="O33" s="329">
        <v>18</v>
      </c>
      <c r="P33" s="330">
        <v>14</v>
      </c>
      <c r="Q33" s="330">
        <v>14</v>
      </c>
      <c r="R33" s="330"/>
      <c r="S33" s="422" t="s">
        <v>251</v>
      </c>
      <c r="T33" s="330">
        <v>26</v>
      </c>
      <c r="U33" s="330"/>
      <c r="V33" s="330"/>
      <c r="W33" s="332">
        <f t="shared" si="3"/>
        <v>5</v>
      </c>
      <c r="X33" s="332">
        <f t="shared" si="4"/>
        <v>0</v>
      </c>
      <c r="Y33" s="332">
        <f t="shared" si="5"/>
        <v>0</v>
      </c>
      <c r="Z33" s="330">
        <f t="shared" si="6"/>
        <v>1</v>
      </c>
      <c r="AA33" s="330">
        <f t="shared" si="7"/>
        <v>2</v>
      </c>
      <c r="AB33" s="330">
        <f t="shared" si="8"/>
        <v>1</v>
      </c>
      <c r="AF33" s="308"/>
      <c r="AG33" s="308"/>
      <c r="AH33" s="308"/>
      <c r="AI33" s="308"/>
    </row>
    <row r="34" spans="1:35" s="333" customFormat="1" ht="12.75" customHeight="1" x14ac:dyDescent="0.2">
      <c r="A34" s="1328"/>
      <c r="B34" s="1330"/>
      <c r="C34" s="1323">
        <f t="shared" si="0"/>
        <v>27</v>
      </c>
      <c r="D34" s="605">
        <v>27</v>
      </c>
      <c r="E34" s="653" t="s">
        <v>176</v>
      </c>
      <c r="F34" s="800">
        <v>75.5</v>
      </c>
      <c r="G34" s="1327">
        <f t="shared" si="1"/>
        <v>75.500000120999999</v>
      </c>
      <c r="H34" s="347">
        <f t="shared" si="2"/>
        <v>1.2100000009999998E-7</v>
      </c>
      <c r="I34" s="346">
        <f t="array" ref="I34">(IF(COUNT(L34,M34,N34,R34,V34)&lt;3,SUM(L34,M34,N34,R34,V34),SUM(LARGE((L34,M34,N34,R34,V34),{1;2;3}))))+(IF(COUNT(K34,P34,Q34,U34)&lt;3,SUM(K34,P34,Q34,U34),SUM(LARGE((K34,P34,Q34,U34),{1;2;3}))))+(IF(COUNT(J34,O34,S34,T34)&lt;3,SUM(J34,O34,S34,T34),SUM(LARGE((J34,O34,S34,T34),{1;2;3}))))</f>
        <v>75.5</v>
      </c>
      <c r="J34" s="421">
        <v>20</v>
      </c>
      <c r="K34" s="422" t="s">
        <v>251</v>
      </c>
      <c r="L34" s="421" t="s">
        <v>251</v>
      </c>
      <c r="M34" s="421" t="s">
        <v>251</v>
      </c>
      <c r="N34" s="330">
        <v>1.5</v>
      </c>
      <c r="O34" s="330">
        <v>22</v>
      </c>
      <c r="P34" s="330">
        <v>6</v>
      </c>
      <c r="Q34" s="330"/>
      <c r="R34" s="330"/>
      <c r="S34" s="330">
        <v>24</v>
      </c>
      <c r="T34" s="330">
        <v>22</v>
      </c>
      <c r="U34" s="330"/>
      <c r="V34" s="330"/>
      <c r="W34" s="332">
        <f t="shared" si="3"/>
        <v>6</v>
      </c>
      <c r="X34" s="332">
        <f t="shared" si="4"/>
        <v>0</v>
      </c>
      <c r="Y34" s="332">
        <f t="shared" si="5"/>
        <v>0</v>
      </c>
      <c r="Z34" s="330">
        <f t="shared" si="6"/>
        <v>1</v>
      </c>
      <c r="AA34" s="330">
        <f t="shared" si="7"/>
        <v>1</v>
      </c>
      <c r="AB34" s="330">
        <f t="shared" si="8"/>
        <v>1</v>
      </c>
      <c r="AF34" s="308"/>
      <c r="AG34" s="308"/>
      <c r="AH34" s="308"/>
      <c r="AI34" s="308"/>
    </row>
    <row r="35" spans="1:35" ht="12.75" customHeight="1" x14ac:dyDescent="0.2">
      <c r="A35" s="954"/>
      <c r="B35" s="1329"/>
      <c r="C35" s="1323">
        <f t="shared" si="0"/>
        <v>28</v>
      </c>
      <c r="D35" s="604">
        <v>28</v>
      </c>
      <c r="E35" s="653" t="s">
        <v>173</v>
      </c>
      <c r="F35" s="800">
        <v>54</v>
      </c>
      <c r="G35" s="1327">
        <f t="shared" si="1"/>
        <v>54.001000000000012</v>
      </c>
      <c r="H35" s="347">
        <f t="shared" si="2"/>
        <v>1.00000000001001E-3</v>
      </c>
      <c r="I35" s="346">
        <f t="array" ref="I35">(IF(COUNT(L35,M35,N35,R35,V35)&lt;3,SUM(L35,M35,N35,R35,V35),SUM(LARGE((L35,M35,N35,R35,V35),{1;2;3}))))+(IF(COUNT(K35,P35,Q35,U35)&lt;3,SUM(K35,P35,Q35,U35),SUM(LARGE((K35,P35,Q35,U35),{1;2;3}))))+(IF(COUNT(J35,O35,S35,T35)&lt;3,SUM(J35,O35,S35,T35),SUM(LARGE((J35,O35,S35,T35),{1;2;3}))))</f>
        <v>54</v>
      </c>
      <c r="J35" s="421" t="s">
        <v>251</v>
      </c>
      <c r="K35" s="422" t="s">
        <v>251</v>
      </c>
      <c r="L35" s="329">
        <v>40</v>
      </c>
      <c r="M35" s="421" t="s">
        <v>251</v>
      </c>
      <c r="N35" s="421" t="s">
        <v>251</v>
      </c>
      <c r="O35" s="330"/>
      <c r="P35" s="329"/>
      <c r="Q35" s="330">
        <v>10</v>
      </c>
      <c r="R35" s="330">
        <v>4</v>
      </c>
      <c r="S35" s="330"/>
      <c r="T35" s="329"/>
      <c r="U35" s="330"/>
      <c r="V35" s="329"/>
      <c r="W35" s="332">
        <f t="shared" si="3"/>
        <v>3</v>
      </c>
      <c r="X35" s="332">
        <f t="shared" si="4"/>
        <v>1</v>
      </c>
      <c r="Y35" s="332">
        <f t="shared" si="5"/>
        <v>1</v>
      </c>
      <c r="Z35" s="330">
        <f t="shared" si="6"/>
        <v>2</v>
      </c>
      <c r="AA35" s="330">
        <f t="shared" si="7"/>
        <v>1</v>
      </c>
      <c r="AB35" s="330">
        <f t="shared" si="8"/>
        <v>1</v>
      </c>
    </row>
    <row r="36" spans="1:35" ht="12.75" customHeight="1" x14ac:dyDescent="0.2">
      <c r="A36" s="1328"/>
      <c r="B36" s="1330"/>
      <c r="C36" s="1323">
        <f t="shared" si="0"/>
        <v>29</v>
      </c>
      <c r="D36" s="605">
        <v>29</v>
      </c>
      <c r="E36" s="327" t="s">
        <v>353</v>
      </c>
      <c r="F36" s="800">
        <v>49</v>
      </c>
      <c r="G36" s="1327">
        <f t="shared" si="1"/>
        <v>49.0000000010101</v>
      </c>
      <c r="H36" s="347">
        <f t="shared" si="2"/>
        <v>1.0101000000000001E-9</v>
      </c>
      <c r="I36" s="346">
        <f t="array" ref="I36">(IF(COUNT(L36,M36,N36,R36,V36)&lt;3,SUM(L36,M36,N36,R36,V36),SUM(LARGE((L36,M36,N36,R36,V36),{1;2;3}))))+(IF(COUNT(K36,P36,Q36,U36)&lt;3,SUM(K36,P36,Q36,U36),SUM(LARGE((K36,P36,Q36,U36),{1;2;3}))))+(IF(COUNT(J36,O36,S36,T36)&lt;3,SUM(J36,O36,S36,T36),SUM(LARGE((J36,O36,S36,T36),{1;2;3}))))</f>
        <v>49</v>
      </c>
      <c r="J36" s="421" t="s">
        <v>251</v>
      </c>
      <c r="K36" s="422" t="s">
        <v>251</v>
      </c>
      <c r="L36" s="421" t="s">
        <v>251</v>
      </c>
      <c r="M36" s="421" t="s">
        <v>251</v>
      </c>
      <c r="N36" s="329">
        <v>1</v>
      </c>
      <c r="O36" s="329">
        <v>16</v>
      </c>
      <c r="P36" s="330">
        <v>12</v>
      </c>
      <c r="Q36" s="330"/>
      <c r="R36" s="330"/>
      <c r="S36" s="330"/>
      <c r="T36" s="330">
        <v>20</v>
      </c>
      <c r="U36" s="330"/>
      <c r="V36" s="330"/>
      <c r="W36" s="332">
        <f t="shared" si="3"/>
        <v>4</v>
      </c>
      <c r="X36" s="332">
        <f t="shared" si="4"/>
        <v>0</v>
      </c>
      <c r="Y36" s="332">
        <f t="shared" si="5"/>
        <v>0</v>
      </c>
      <c r="Z36" s="330">
        <f t="shared" si="6"/>
        <v>2</v>
      </c>
      <c r="AA36" s="330">
        <f t="shared" si="7"/>
        <v>1</v>
      </c>
      <c r="AB36" s="330">
        <f t="shared" si="8"/>
        <v>1</v>
      </c>
    </row>
    <row r="37" spans="1:35" ht="12.75" customHeight="1" x14ac:dyDescent="0.2">
      <c r="A37" s="954"/>
      <c r="B37" s="1329"/>
      <c r="C37" s="1323">
        <f t="shared" si="0"/>
        <v>30</v>
      </c>
      <c r="D37" s="605">
        <v>30</v>
      </c>
      <c r="E37" s="139" t="s">
        <v>179</v>
      </c>
      <c r="F37" s="800">
        <v>46</v>
      </c>
      <c r="G37" s="1327">
        <f t="shared" si="1"/>
        <v>46.000000020000002</v>
      </c>
      <c r="H37" s="347">
        <f t="shared" si="2"/>
        <v>2E-8</v>
      </c>
      <c r="I37" s="346">
        <f t="array" ref="I37">(IF(COUNT(L37,M37,N37,R37,V37)&lt;3,SUM(L37,M37,N37,R37,V37),SUM(LARGE((L37,M37,N37,R37,V37),{1;2;3}))))+(IF(COUNT(K37,P37,Q37,U37)&lt;3,SUM(K37,P37,Q37,U37),SUM(LARGE((K37,P37,Q37,U37),{1;2;3}))))+(IF(COUNT(J37,O37,S37,T37)&lt;3,SUM(J37,O37,S37,T37),SUM(LARGE((J37,O37,S37,T37),{1;2;3}))))</f>
        <v>46</v>
      </c>
      <c r="J37" s="329">
        <v>22</v>
      </c>
      <c r="K37" s="422" t="s">
        <v>251</v>
      </c>
      <c r="L37" s="421" t="s">
        <v>251</v>
      </c>
      <c r="M37" s="421" t="s">
        <v>251</v>
      </c>
      <c r="N37" s="329">
        <v>1</v>
      </c>
      <c r="O37" s="422" t="s">
        <v>251</v>
      </c>
      <c r="P37" s="330"/>
      <c r="Q37" s="330"/>
      <c r="R37" s="330">
        <v>1</v>
      </c>
      <c r="S37" s="330"/>
      <c r="T37" s="330">
        <v>22</v>
      </c>
      <c r="U37" s="330"/>
      <c r="V37" s="330"/>
      <c r="W37" s="332">
        <f t="shared" si="3"/>
        <v>4</v>
      </c>
      <c r="X37" s="332">
        <f t="shared" si="4"/>
        <v>0</v>
      </c>
      <c r="Y37" s="332">
        <f t="shared" si="5"/>
        <v>0</v>
      </c>
      <c r="Z37" s="330">
        <f t="shared" si="6"/>
        <v>1</v>
      </c>
      <c r="AA37" s="330">
        <f t="shared" si="7"/>
        <v>2</v>
      </c>
      <c r="AB37" s="330">
        <f t="shared" si="8"/>
        <v>1</v>
      </c>
    </row>
    <row r="38" spans="1:35" ht="12.75" customHeight="1" x14ac:dyDescent="0.2">
      <c r="A38" s="1328"/>
      <c r="B38" s="1330"/>
      <c r="C38" s="1323">
        <f t="shared" si="0"/>
        <v>31</v>
      </c>
      <c r="D38" s="605">
        <v>31</v>
      </c>
      <c r="E38" s="327" t="s">
        <v>350</v>
      </c>
      <c r="F38" s="800">
        <v>45</v>
      </c>
      <c r="G38" s="1327">
        <f t="shared" si="1"/>
        <v>45.000000000200004</v>
      </c>
      <c r="H38" s="347">
        <f t="shared" si="2"/>
        <v>2.0000100000000002E-10</v>
      </c>
      <c r="I38" s="346">
        <f t="array" ref="I38">(IF(COUNT(L38,M38,N38,R38,V38)&lt;3,SUM(L38,M38,N38,R38,V38),SUM(LARGE((L38,M38,N38,R38,V38),{1;2;3}))))+(IF(COUNT(K38,P38,Q38,U38)&lt;3,SUM(K38,P38,Q38,U38),SUM(LARGE((K38,P38,Q38,U38),{1;2;3}))))+(IF(COUNT(J38,O38,S38,T38)&lt;3,SUM(J38,O38,S38,T38),SUM(LARGE((J38,O38,S38,T38),{1;2;3}))))</f>
        <v>45</v>
      </c>
      <c r="J38" s="421" t="s">
        <v>251</v>
      </c>
      <c r="K38" s="422" t="s">
        <v>251</v>
      </c>
      <c r="L38" s="421" t="s">
        <v>251</v>
      </c>
      <c r="M38" s="421" t="s">
        <v>251</v>
      </c>
      <c r="N38" s="329">
        <v>1</v>
      </c>
      <c r="O38" s="329"/>
      <c r="P38" s="330">
        <v>18</v>
      </c>
      <c r="Q38" s="330">
        <v>8</v>
      </c>
      <c r="R38" s="330"/>
      <c r="S38" s="330"/>
      <c r="T38" s="330">
        <v>18</v>
      </c>
      <c r="U38" s="330"/>
      <c r="V38" s="330"/>
      <c r="W38" s="332">
        <f t="shared" si="3"/>
        <v>4</v>
      </c>
      <c r="X38" s="332">
        <f t="shared" si="4"/>
        <v>0</v>
      </c>
      <c r="Y38" s="332">
        <f t="shared" si="5"/>
        <v>0</v>
      </c>
      <c r="Z38" s="330">
        <f t="shared" si="6"/>
        <v>2</v>
      </c>
      <c r="AA38" s="330">
        <f t="shared" si="7"/>
        <v>1</v>
      </c>
      <c r="AB38" s="330">
        <f t="shared" si="8"/>
        <v>1</v>
      </c>
    </row>
    <row r="39" spans="1:35" ht="12.75" customHeight="1" x14ac:dyDescent="0.2">
      <c r="A39" s="954"/>
      <c r="B39" s="1329"/>
      <c r="C39" s="1323">
        <f t="shared" si="0"/>
        <v>31</v>
      </c>
      <c r="D39" s="605">
        <v>31</v>
      </c>
      <c r="E39" s="327" t="s">
        <v>404</v>
      </c>
      <c r="F39" s="800">
        <v>45</v>
      </c>
      <c r="G39" s="1327">
        <f t="shared" si="1"/>
        <v>45.000000000200004</v>
      </c>
      <c r="H39" s="347">
        <f t="shared" si="2"/>
        <v>2.0000100000000002E-10</v>
      </c>
      <c r="I39" s="346">
        <f t="array" ref="I39">(IF(COUNT(L39,M39,N39,R39,V39)&lt;3,SUM(L39,M39,N39,R39,V39),SUM(LARGE((L39,M39,N39,R39,V39),{1;2;3}))))+(IF(COUNT(K39,P39,Q39,U39)&lt;3,SUM(K39,P39,Q39,U39),SUM(LARGE((K39,P39,Q39,U39),{1;2;3}))))+(IF(COUNT(J39,O39,S39,T39)&lt;3,SUM(J39,O39,S39,T39),SUM(LARGE((J39,O39,S39,T39),{1;2;3}))))</f>
        <v>45</v>
      </c>
      <c r="J39" s="421" t="s">
        <v>251</v>
      </c>
      <c r="K39" s="422" t="s">
        <v>251</v>
      </c>
      <c r="L39" s="421" t="s">
        <v>251</v>
      </c>
      <c r="M39" s="421" t="s">
        <v>251</v>
      </c>
      <c r="N39" s="330">
        <v>1</v>
      </c>
      <c r="O39" s="329"/>
      <c r="P39" s="330">
        <v>18</v>
      </c>
      <c r="Q39" s="329">
        <v>8</v>
      </c>
      <c r="R39" s="330"/>
      <c r="S39" s="329"/>
      <c r="T39" s="329">
        <v>18</v>
      </c>
      <c r="U39" s="330"/>
      <c r="V39" s="329"/>
      <c r="W39" s="332">
        <f t="shared" si="3"/>
        <v>4</v>
      </c>
      <c r="X39" s="332">
        <f t="shared" si="4"/>
        <v>0</v>
      </c>
      <c r="Y39" s="332">
        <f t="shared" si="5"/>
        <v>0</v>
      </c>
      <c r="Z39" s="330">
        <f t="shared" si="6"/>
        <v>2</v>
      </c>
      <c r="AA39" s="330">
        <f t="shared" si="7"/>
        <v>1</v>
      </c>
      <c r="AB39" s="330">
        <f t="shared" si="8"/>
        <v>1</v>
      </c>
    </row>
    <row r="40" spans="1:35" ht="12.75" customHeight="1" x14ac:dyDescent="0.2">
      <c r="A40" s="954">
        <v>4</v>
      </c>
      <c r="B40" s="1329"/>
      <c r="C40" s="1323">
        <f t="shared" ref="C40:C59" si="9">RANK(G40,G$8:G$59,0)</f>
        <v>33</v>
      </c>
      <c r="D40" s="604">
        <v>33</v>
      </c>
      <c r="E40" s="953" t="s">
        <v>165</v>
      </c>
      <c r="F40" s="800">
        <v>41</v>
      </c>
      <c r="G40" s="1327">
        <f t="shared" ref="G40:G59" si="10">H40+I40</f>
        <v>41.000999999999998</v>
      </c>
      <c r="H40" s="347">
        <f t="shared" ref="H40:H59" si="11">COUNTIF(J40:V40,40)/1000+COUNTIF(J40:V40,34)/10000+COUNTIF(J40:V40,30)/100000+COUNTIF(J40:V40,26)/1000000+COUNTIF(J40:V40,24)/10000000+COUNTIF(J40:V40,22)/100000000+COUNTIF(J40:V40,20)/1000000000+COUNTIF(J40:V40,18)/10000000000+COUNTIF(J40:V40,16)/100000000000+COUNTIF(J40:V40,14)/1000000000000+COUNTIF(J40:V40,12)/10000000000000+COUNTIF(J40:V40,10)/100000000000000+COUNTIF(J40:V40,8)/1000000000000000+COUNTIF(J40:V40,6)/10000000000000000+COUNTIF(J40:V40,4)/100000000000000000+COUNTIF(J40:V40,2)/1000000000000000000</f>
        <v>1E-3</v>
      </c>
      <c r="I40" s="346">
        <f t="array" ref="I40">(IF(COUNT(L40,M40,N40,R40,V40)&lt;3,SUM(L40,M40,N40,R40,V40),SUM(LARGE((L40,M40,N40,R40,V40),{1;2;3}))))+(IF(COUNT(K40,P40,Q40,U40)&lt;3,SUM(K40,P40,Q40,U40),SUM(LARGE((K40,P40,Q40,U40),{1;2;3}))))+(IF(COUNT(J40,O40,S40,T40)&lt;3,SUM(J40,O40,S40,T40),SUM(LARGE((J40,O40,S40,T40),{1;2;3}))))</f>
        <v>41</v>
      </c>
      <c r="J40" s="329">
        <v>40</v>
      </c>
      <c r="K40" s="422" t="s">
        <v>251</v>
      </c>
      <c r="L40" s="421" t="s">
        <v>251</v>
      </c>
      <c r="M40" s="421" t="s">
        <v>251</v>
      </c>
      <c r="N40" s="330">
        <v>1</v>
      </c>
      <c r="O40" s="422" t="s">
        <v>251</v>
      </c>
      <c r="P40" s="329"/>
      <c r="Q40" s="330"/>
      <c r="R40" s="330"/>
      <c r="S40" s="330"/>
      <c r="T40" s="330"/>
      <c r="U40" s="330"/>
      <c r="V40" s="330"/>
      <c r="W40" s="331">
        <f t="shared" ref="W40:W59" si="12">COUNTIF(J40:V40,"&gt;=0")</f>
        <v>2</v>
      </c>
      <c r="X40" s="332">
        <f t="shared" ref="X40:X59" si="13">COUNTIF(J40:V40,"&gt;=30")</f>
        <v>1</v>
      </c>
      <c r="Y40" s="332">
        <f t="shared" ref="Y40:Y59" si="14">COUNTIF(J40:V40,"=40")</f>
        <v>1</v>
      </c>
      <c r="Z40" s="330">
        <f t="shared" si="6"/>
        <v>1</v>
      </c>
      <c r="AA40" s="330">
        <f t="shared" si="7"/>
        <v>2</v>
      </c>
      <c r="AB40" s="330">
        <f t="shared" si="8"/>
        <v>1</v>
      </c>
    </row>
    <row r="41" spans="1:35" ht="12.75" customHeight="1" x14ac:dyDescent="0.2">
      <c r="A41" s="1328"/>
      <c r="B41" s="1330"/>
      <c r="C41" s="1323">
        <f t="shared" si="9"/>
        <v>34</v>
      </c>
      <c r="D41" s="605">
        <v>34</v>
      </c>
      <c r="E41" s="327" t="s">
        <v>354</v>
      </c>
      <c r="F41" s="800">
        <v>41</v>
      </c>
      <c r="G41" s="1327">
        <f t="shared" si="10"/>
        <v>41.000000100009999</v>
      </c>
      <c r="H41" s="347">
        <f t="shared" si="11"/>
        <v>1.0000999999999999E-7</v>
      </c>
      <c r="I41" s="346">
        <f t="array" ref="I41">(IF(COUNT(L41,M41,N41,R41,V41)&lt;3,SUM(L41,M41,N41,R41,V41),SUM(LARGE((L41,M41,N41,R41,V41),{1;2;3}))))+(IF(COUNT(K41,P41,Q41,U41)&lt;3,SUM(K41,P41,Q41,U41),SUM(LARGE((K41,P41,Q41,U41),{1;2;3}))))+(IF(COUNT(J41,O41,S41,T41)&lt;3,SUM(J41,O41,S41,T41),SUM(LARGE((J41,O41,S41,T41),{1;2;3}))))</f>
        <v>41</v>
      </c>
      <c r="J41" s="421" t="s">
        <v>251</v>
      </c>
      <c r="K41" s="422" t="s">
        <v>251</v>
      </c>
      <c r="L41" s="421" t="s">
        <v>251</v>
      </c>
      <c r="M41" s="421" t="s">
        <v>251</v>
      </c>
      <c r="N41" s="329">
        <v>1</v>
      </c>
      <c r="O41" s="330">
        <v>16</v>
      </c>
      <c r="P41" s="330"/>
      <c r="Q41" s="330"/>
      <c r="R41" s="330"/>
      <c r="S41" s="330"/>
      <c r="T41" s="330">
        <v>24</v>
      </c>
      <c r="U41" s="330"/>
      <c r="V41" s="330"/>
      <c r="W41" s="332">
        <f t="shared" si="12"/>
        <v>3</v>
      </c>
      <c r="X41" s="332">
        <f t="shared" si="13"/>
        <v>0</v>
      </c>
      <c r="Y41" s="332">
        <f t="shared" si="14"/>
        <v>0</v>
      </c>
      <c r="Z41" s="330">
        <f t="shared" si="6"/>
        <v>2</v>
      </c>
      <c r="AA41" s="330">
        <f t="shared" si="7"/>
        <v>1</v>
      </c>
      <c r="AB41" s="330">
        <f t="shared" si="8"/>
        <v>1</v>
      </c>
    </row>
    <row r="42" spans="1:35" ht="12.75" customHeight="1" x14ac:dyDescent="0.2">
      <c r="A42" s="954"/>
      <c r="B42" s="1329"/>
      <c r="C42" s="1323">
        <f t="shared" si="9"/>
        <v>35</v>
      </c>
      <c r="D42" s="605">
        <v>35</v>
      </c>
      <c r="E42" s="327" t="s">
        <v>355</v>
      </c>
      <c r="F42" s="800">
        <v>40</v>
      </c>
      <c r="G42" s="1327">
        <f t="shared" si="10"/>
        <v>40.00001000000001</v>
      </c>
      <c r="H42" s="347">
        <f t="shared" si="11"/>
        <v>1.0000000010000001E-5</v>
      </c>
      <c r="I42" s="346">
        <f t="array" ref="I42">(IF(COUNT(L42,M42,N42,R42,V42)&lt;3,SUM(L42,M42,N42,R42,V42),SUM(LARGE((L42,M42,N42,R42,V42),{1;2;3}))))+(IF(COUNT(K42,P42,Q42,U42)&lt;3,SUM(K42,P42,Q42,U42),SUM(LARGE((K42,P42,Q42,U42),{1;2;3}))))+(IF(COUNT(J42,O42,S42,T42)&lt;3,SUM(J42,O42,S42,T42),SUM(LARGE((J42,O42,S42,T42),{1;2;3}))))</f>
        <v>40</v>
      </c>
      <c r="J42" s="421" t="s">
        <v>251</v>
      </c>
      <c r="K42" s="422" t="s">
        <v>251</v>
      </c>
      <c r="L42" s="421" t="s">
        <v>251</v>
      </c>
      <c r="M42" s="421" t="s">
        <v>251</v>
      </c>
      <c r="N42" s="330"/>
      <c r="O42" s="329"/>
      <c r="P42" s="330">
        <v>10</v>
      </c>
      <c r="Q42" s="329"/>
      <c r="R42" s="330"/>
      <c r="S42" s="329"/>
      <c r="T42" s="329">
        <v>30</v>
      </c>
      <c r="U42" s="330"/>
      <c r="V42" s="329"/>
      <c r="W42" s="332">
        <f t="shared" si="12"/>
        <v>2</v>
      </c>
      <c r="X42" s="332">
        <f t="shared" si="13"/>
        <v>1</v>
      </c>
      <c r="Y42" s="332">
        <f t="shared" si="14"/>
        <v>0</v>
      </c>
      <c r="Z42" s="330"/>
      <c r="AA42" s="330"/>
      <c r="AB42" s="330"/>
    </row>
    <row r="43" spans="1:35" ht="12.75" customHeight="1" x14ac:dyDescent="0.2">
      <c r="A43" s="1328"/>
      <c r="B43" s="1330"/>
      <c r="C43" s="1323">
        <f t="shared" si="9"/>
        <v>36</v>
      </c>
      <c r="D43" s="605">
        <v>36</v>
      </c>
      <c r="E43" s="327" t="s">
        <v>348</v>
      </c>
      <c r="F43" s="800">
        <v>33</v>
      </c>
      <c r="G43" s="1327">
        <f t="shared" si="10"/>
        <v>33.000000001000103</v>
      </c>
      <c r="H43" s="347">
        <f t="shared" si="11"/>
        <v>1.0001000000000001E-9</v>
      </c>
      <c r="I43" s="346">
        <f t="array" ref="I43">(IF(COUNT(L43,M43,N43,R43,V43)&lt;3,SUM(L43,M43,N43,R43,V43),SUM(LARGE((L43,M43,N43,R43,V43),{1;2;3}))))+(IF(COUNT(K43,P43,Q43,U43)&lt;3,SUM(K43,P43,Q43,U43),SUM(LARGE((K43,P43,Q43,U43),{1;2;3}))))+(IF(COUNT(J43,O43,S43,T43)&lt;3,SUM(J43,O43,S43,T43),SUM(LARGE((J43,O43,S43,T43),{1;2;3}))))</f>
        <v>33</v>
      </c>
      <c r="J43" s="421" t="s">
        <v>251</v>
      </c>
      <c r="K43" s="422" t="s">
        <v>251</v>
      </c>
      <c r="L43" s="421" t="s">
        <v>251</v>
      </c>
      <c r="M43" s="421" t="s">
        <v>251</v>
      </c>
      <c r="N43" s="329">
        <v>1</v>
      </c>
      <c r="O43" s="329"/>
      <c r="P43" s="330">
        <v>12</v>
      </c>
      <c r="Q43" s="330"/>
      <c r="R43" s="330"/>
      <c r="S43" s="330"/>
      <c r="T43" s="330">
        <v>20</v>
      </c>
      <c r="U43" s="330"/>
      <c r="V43" s="330"/>
      <c r="W43" s="332">
        <f t="shared" si="12"/>
        <v>3</v>
      </c>
      <c r="X43" s="332">
        <f t="shared" si="13"/>
        <v>0</v>
      </c>
      <c r="Y43" s="332">
        <f t="shared" si="14"/>
        <v>0</v>
      </c>
      <c r="Z43" s="330">
        <f t="shared" ref="Z43:Z49" si="15">COUNTIF(J43,"=  ")+COUNTIF(M43,"=  ")+COUNTIF(P43,"=  ")+COUNTIF(Q43,"=  ")</f>
        <v>2</v>
      </c>
      <c r="AA43" s="330">
        <f t="shared" ref="AA43:AA49" si="16">COUNTIF(K43,"=  ")+COUNTIF(O43,"=  ")+COUNTIF(S43,"=  ")+COUNTIF(T43,"=  ")</f>
        <v>1</v>
      </c>
      <c r="AB43" s="330">
        <f t="shared" ref="AB43:AB49" si="17">COUNTIF(L43,"=  ")+COUNTIF(N43,"=  ")+COUNTIF(R43,"=  ")+COUNTIF(U43,"=  ")+COUNTIF(V43,"=  ")</f>
        <v>1</v>
      </c>
    </row>
    <row r="44" spans="1:35" ht="12.75" customHeight="1" x14ac:dyDescent="0.2">
      <c r="A44" s="954"/>
      <c r="B44" s="1331">
        <v>2</v>
      </c>
      <c r="C44" s="1323">
        <f t="shared" si="9"/>
        <v>37</v>
      </c>
      <c r="D44" s="605">
        <v>37</v>
      </c>
      <c r="E44" s="895" t="s">
        <v>351</v>
      </c>
      <c r="F44" s="800">
        <v>29</v>
      </c>
      <c r="G44" s="1327">
        <f t="shared" si="10"/>
        <v>29.000000000100009</v>
      </c>
      <c r="H44" s="347">
        <f t="shared" si="11"/>
        <v>1.0001E-10</v>
      </c>
      <c r="I44" s="346">
        <f t="array" ref="I44">(IF(COUNT(L44,M44,N44,R44,V44)&lt;3,SUM(L44,M44,N44,R44,V44),SUM(LARGE((L44,M44,N44,R44,V44),{1;2;3}))))+(IF(COUNT(K44,P44,Q44,U44)&lt;3,SUM(K44,P44,Q44,U44),SUM(LARGE((K44,P44,Q44,U44),{1;2;3}))))+(IF(COUNT(J44,O44,S44,T44)&lt;3,SUM(J44,O44,S44,T44),SUM(LARGE((J44,O44,S44,T44),{1;2;3}))))</f>
        <v>29</v>
      </c>
      <c r="J44" s="421" t="s">
        <v>251</v>
      </c>
      <c r="K44" s="422" t="s">
        <v>251</v>
      </c>
      <c r="L44" s="421" t="s">
        <v>251</v>
      </c>
      <c r="M44" s="421" t="s">
        <v>251</v>
      </c>
      <c r="N44" s="330">
        <v>1</v>
      </c>
      <c r="O44" s="330"/>
      <c r="P44" s="330">
        <v>10</v>
      </c>
      <c r="Q44" s="330"/>
      <c r="R44" s="330"/>
      <c r="S44" s="330"/>
      <c r="T44" s="330">
        <v>18</v>
      </c>
      <c r="U44" s="330"/>
      <c r="V44" s="330"/>
      <c r="W44" s="332">
        <f t="shared" si="12"/>
        <v>3</v>
      </c>
      <c r="X44" s="332">
        <f t="shared" si="13"/>
        <v>0</v>
      </c>
      <c r="Y44" s="332">
        <f t="shared" si="14"/>
        <v>0</v>
      </c>
      <c r="Z44" s="330">
        <f t="shared" si="15"/>
        <v>2</v>
      </c>
      <c r="AA44" s="330">
        <f t="shared" si="16"/>
        <v>1</v>
      </c>
      <c r="AB44" s="330">
        <f t="shared" si="17"/>
        <v>1</v>
      </c>
    </row>
    <row r="45" spans="1:35" ht="12.75" customHeight="1" x14ac:dyDescent="0.2">
      <c r="A45" s="954">
        <v>5</v>
      </c>
      <c r="B45" s="1329"/>
      <c r="C45" s="1323">
        <f t="shared" si="9"/>
        <v>38</v>
      </c>
      <c r="D45" s="605">
        <v>38</v>
      </c>
      <c r="E45" s="955" t="s">
        <v>332</v>
      </c>
      <c r="F45" s="800">
        <v>28</v>
      </c>
      <c r="G45" s="1327">
        <f t="shared" si="10"/>
        <v>28.000000000001101</v>
      </c>
      <c r="H45" s="347">
        <f t="shared" si="11"/>
        <v>1.1E-12</v>
      </c>
      <c r="I45" s="346">
        <f t="array" ref="I45">(IF(COUNT(L45,M45,N45,R45,V45)&lt;3,SUM(L45,M45,N45,R45,V45),SUM(LARGE((L45,M45,N45,R45,V45),{1;2;3}))))+(IF(COUNT(K45,P45,Q45,U45)&lt;3,SUM(K45,P45,Q45,U45),SUM(LARGE((K45,P45,Q45,U45),{1;2;3}))))+(IF(COUNT(J45,O45,S45,T45)&lt;3,SUM(J45,O45,S45,T45),SUM(LARGE((J45,O45,S45,T45),{1;2;3}))))</f>
        <v>28</v>
      </c>
      <c r="J45" s="329">
        <v>14</v>
      </c>
      <c r="K45" s="422" t="s">
        <v>251</v>
      </c>
      <c r="L45" s="421" t="s">
        <v>251</v>
      </c>
      <c r="M45" s="421" t="s">
        <v>251</v>
      </c>
      <c r="N45" s="330">
        <v>1</v>
      </c>
      <c r="O45" s="422" t="s">
        <v>251</v>
      </c>
      <c r="P45" s="330"/>
      <c r="Q45" s="330">
        <v>12</v>
      </c>
      <c r="R45" s="330">
        <v>1</v>
      </c>
      <c r="S45" s="330"/>
      <c r="T45" s="330"/>
      <c r="U45" s="330"/>
      <c r="V45" s="330"/>
      <c r="W45" s="332">
        <f t="shared" si="12"/>
        <v>4</v>
      </c>
      <c r="X45" s="332">
        <f t="shared" si="13"/>
        <v>0</v>
      </c>
      <c r="Y45" s="332">
        <f t="shared" si="14"/>
        <v>0</v>
      </c>
      <c r="Z45" s="330">
        <f t="shared" si="15"/>
        <v>1</v>
      </c>
      <c r="AA45" s="330">
        <f t="shared" si="16"/>
        <v>2</v>
      </c>
      <c r="AB45" s="330">
        <f t="shared" si="17"/>
        <v>1</v>
      </c>
    </row>
    <row r="46" spans="1:35" ht="12.75" customHeight="1" x14ac:dyDescent="0.2">
      <c r="A46" s="1328">
        <v>6</v>
      </c>
      <c r="B46" s="1330"/>
      <c r="C46" s="1323">
        <f t="shared" si="9"/>
        <v>39</v>
      </c>
      <c r="D46" s="604">
        <v>39</v>
      </c>
      <c r="E46" s="953" t="s">
        <v>184</v>
      </c>
      <c r="F46" s="800">
        <v>27</v>
      </c>
      <c r="G46" s="1327">
        <f t="shared" si="10"/>
        <v>27.000000100000001</v>
      </c>
      <c r="H46" s="347">
        <f t="shared" si="11"/>
        <v>1.00000000001E-7</v>
      </c>
      <c r="I46" s="346">
        <f t="array" ref="I46">(IF(COUNT(L46,M46,N46,R46,V46)&lt;3,SUM(L46,M46,N46,R46,V46),SUM(LARGE((L46,M46,N46,R46,V46),{1;2;3}))))+(IF(COUNT(K46,P46,Q46,U46)&lt;3,SUM(K46,P46,Q46,U46),SUM(LARGE((K46,P46,Q46,U46),{1;2;3}))))+(IF(COUNT(J46,O46,S46,T46)&lt;3,SUM(J46,O46,S46,T46),SUM(LARGE((J46,O46,S46,T46),{1;2;3}))))</f>
        <v>27</v>
      </c>
      <c r="J46" s="329">
        <v>24</v>
      </c>
      <c r="K46" s="422" t="s">
        <v>251</v>
      </c>
      <c r="L46" s="329">
        <v>2</v>
      </c>
      <c r="M46" s="421" t="s">
        <v>251</v>
      </c>
      <c r="N46" s="330">
        <v>1</v>
      </c>
      <c r="O46" s="422" t="s">
        <v>251</v>
      </c>
      <c r="P46" s="329"/>
      <c r="Q46" s="330"/>
      <c r="R46" s="421" t="s">
        <v>251</v>
      </c>
      <c r="S46" s="330"/>
      <c r="T46" s="330"/>
      <c r="U46" s="330"/>
      <c r="V46" s="330"/>
      <c r="W46" s="332">
        <f t="shared" si="12"/>
        <v>3</v>
      </c>
      <c r="X46" s="332">
        <f t="shared" si="13"/>
        <v>0</v>
      </c>
      <c r="Y46" s="332">
        <f t="shared" si="14"/>
        <v>0</v>
      </c>
      <c r="Z46" s="330">
        <f t="shared" si="15"/>
        <v>1</v>
      </c>
      <c r="AA46" s="330">
        <f t="shared" si="16"/>
        <v>2</v>
      </c>
      <c r="AB46" s="330">
        <f t="shared" si="17"/>
        <v>1</v>
      </c>
    </row>
    <row r="47" spans="1:35" ht="12.75" customHeight="1" x14ac:dyDescent="0.2">
      <c r="A47" s="1328"/>
      <c r="B47" s="1330"/>
      <c r="C47" s="1323">
        <f t="shared" si="9"/>
        <v>40</v>
      </c>
      <c r="D47" s="605">
        <v>40</v>
      </c>
      <c r="E47" s="327" t="s">
        <v>397</v>
      </c>
      <c r="F47" s="800">
        <v>27</v>
      </c>
      <c r="G47" s="1327">
        <f t="shared" si="10"/>
        <v>27.000000001</v>
      </c>
      <c r="H47" s="347">
        <f t="shared" si="11"/>
        <v>1.0000001000000001E-9</v>
      </c>
      <c r="I47" s="346">
        <f t="array" ref="I47">(IF(COUNT(L47,M47,N47,R47,V47)&lt;3,SUM(L47,M47,N47,R47,V47),SUM(LARGE((L47,M47,N47,R47,V47),{1;2;3}))))+(IF(COUNT(K47,P47,Q47,U47)&lt;3,SUM(K47,P47,Q47,U47),SUM(LARGE((K47,P47,Q47,U47),{1;2;3}))))+(IF(COUNT(J47,O47,S47,T47)&lt;3,SUM(J47,O47,S47,T47),SUM(LARGE((J47,O47,S47,T47),{1;2;3}))))</f>
        <v>27</v>
      </c>
      <c r="J47" s="421" t="s">
        <v>251</v>
      </c>
      <c r="K47" s="422" t="s">
        <v>251</v>
      </c>
      <c r="L47" s="421" t="s">
        <v>251</v>
      </c>
      <c r="M47" s="421" t="s">
        <v>251</v>
      </c>
      <c r="N47" s="329">
        <v>1</v>
      </c>
      <c r="O47" s="329"/>
      <c r="P47" s="330">
        <v>6</v>
      </c>
      <c r="Q47" s="330"/>
      <c r="R47" s="330"/>
      <c r="S47" s="330"/>
      <c r="T47" s="330">
        <v>20</v>
      </c>
      <c r="U47" s="330"/>
      <c r="V47" s="330"/>
      <c r="W47" s="332">
        <f t="shared" si="12"/>
        <v>3</v>
      </c>
      <c r="X47" s="332">
        <f t="shared" si="13"/>
        <v>0</v>
      </c>
      <c r="Y47" s="332">
        <f t="shared" si="14"/>
        <v>0</v>
      </c>
      <c r="Z47" s="330">
        <f t="shared" si="15"/>
        <v>2</v>
      </c>
      <c r="AA47" s="330">
        <f t="shared" si="16"/>
        <v>1</v>
      </c>
      <c r="AB47" s="330">
        <f t="shared" si="17"/>
        <v>1</v>
      </c>
    </row>
    <row r="48" spans="1:35" ht="12.75" customHeight="1" x14ac:dyDescent="0.2">
      <c r="A48" s="954">
        <v>7</v>
      </c>
      <c r="B48" s="1329"/>
      <c r="C48" s="1323">
        <f t="shared" si="9"/>
        <v>41</v>
      </c>
      <c r="D48" s="604">
        <v>41</v>
      </c>
      <c r="E48" s="954" t="s">
        <v>387</v>
      </c>
      <c r="F48" s="800">
        <v>23</v>
      </c>
      <c r="G48" s="1327">
        <f t="shared" si="10"/>
        <v>23.000000010000001</v>
      </c>
      <c r="H48" s="347">
        <f t="shared" si="11"/>
        <v>1E-8</v>
      </c>
      <c r="I48" s="346">
        <f t="array" ref="I48">(IF(COUNT(L48,M48,N48,R48,V48)&lt;3,SUM(L48,M48,N48,R48,V48),SUM(LARGE((L48,M48,N48,R48,V48),{1;2;3}))))+(IF(COUNT(K48,P48,Q48,U48)&lt;3,SUM(K48,P48,Q48,U48),SUM(LARGE((K48,P48,Q48,U48),{1;2;3}))))+(IF(COUNT(J48,O48,S48,T48)&lt;3,SUM(J48,O48,S48,T48),SUM(LARGE((J48,O48,S48,T48),{1;2;3}))))</f>
        <v>23</v>
      </c>
      <c r="J48" s="330">
        <v>22</v>
      </c>
      <c r="K48" s="422" t="s">
        <v>251</v>
      </c>
      <c r="L48" s="421" t="s">
        <v>251</v>
      </c>
      <c r="M48" s="421" t="s">
        <v>251</v>
      </c>
      <c r="N48" s="329">
        <v>1</v>
      </c>
      <c r="O48" s="422" t="s">
        <v>251</v>
      </c>
      <c r="P48" s="329"/>
      <c r="Q48" s="330"/>
      <c r="R48" s="330"/>
      <c r="S48" s="330"/>
      <c r="T48" s="330"/>
      <c r="U48" s="330"/>
      <c r="V48" s="330"/>
      <c r="W48" s="332">
        <f t="shared" si="12"/>
        <v>2</v>
      </c>
      <c r="X48" s="332">
        <f t="shared" si="13"/>
        <v>0</v>
      </c>
      <c r="Y48" s="332">
        <f t="shared" si="14"/>
        <v>0</v>
      </c>
      <c r="Z48" s="330">
        <f t="shared" si="15"/>
        <v>1</v>
      </c>
      <c r="AA48" s="330">
        <f t="shared" si="16"/>
        <v>2</v>
      </c>
      <c r="AB48" s="330">
        <f t="shared" si="17"/>
        <v>1</v>
      </c>
    </row>
    <row r="49" spans="1:28" ht="12.75" customHeight="1" x14ac:dyDescent="0.2">
      <c r="A49" s="1328"/>
      <c r="B49" s="1330"/>
      <c r="C49" s="1323">
        <f t="shared" si="9"/>
        <v>42</v>
      </c>
      <c r="D49" s="605">
        <v>42</v>
      </c>
      <c r="E49" s="327" t="s">
        <v>374</v>
      </c>
      <c r="F49" s="800">
        <v>22</v>
      </c>
      <c r="G49" s="1327">
        <f t="shared" si="10"/>
        <v>22.000000010000001</v>
      </c>
      <c r="H49" s="347">
        <f t="shared" si="11"/>
        <v>1E-8</v>
      </c>
      <c r="I49" s="346">
        <f t="array" ref="I49">(IF(COUNT(L49,M49,N49,R49,V49)&lt;3,SUM(L49,M49,N49,R49,V49),SUM(LARGE((L49,M49,N49,R49,V49),{1;2;3}))))+(IF(COUNT(K49,P49,Q49,U49)&lt;3,SUM(K49,P49,Q49,U49),SUM(LARGE((K49,P49,Q49,U49),{1;2;3}))))+(IF(COUNT(J49,O49,S49,T49)&lt;3,SUM(J49,O49,S49,T49),SUM(LARGE((J49,O49,S49,T49),{1;2;3}))))</f>
        <v>22</v>
      </c>
      <c r="J49" s="421" t="s">
        <v>251</v>
      </c>
      <c r="K49" s="330">
        <v>22</v>
      </c>
      <c r="L49" s="421" t="s">
        <v>251</v>
      </c>
      <c r="M49" s="421" t="s">
        <v>251</v>
      </c>
      <c r="N49" s="329"/>
      <c r="O49" s="329"/>
      <c r="P49" s="422" t="s">
        <v>251</v>
      </c>
      <c r="Q49" s="330"/>
      <c r="R49" s="330"/>
      <c r="S49" s="330"/>
      <c r="T49" s="330"/>
      <c r="U49" s="330"/>
      <c r="V49" s="330"/>
      <c r="W49" s="332">
        <f t="shared" si="12"/>
        <v>1</v>
      </c>
      <c r="X49" s="332">
        <f t="shared" si="13"/>
        <v>0</v>
      </c>
      <c r="Y49" s="332">
        <f t="shared" si="14"/>
        <v>0</v>
      </c>
      <c r="Z49" s="330">
        <f t="shared" si="15"/>
        <v>3</v>
      </c>
      <c r="AA49" s="330">
        <f t="shared" si="16"/>
        <v>0</v>
      </c>
      <c r="AB49" s="330">
        <f t="shared" si="17"/>
        <v>1</v>
      </c>
    </row>
    <row r="50" spans="1:28" ht="12.75" customHeight="1" x14ac:dyDescent="0.2">
      <c r="A50" s="954"/>
      <c r="B50" s="1329"/>
      <c r="C50" s="1323">
        <f t="shared" si="9"/>
        <v>42</v>
      </c>
      <c r="D50" s="605">
        <v>42</v>
      </c>
      <c r="E50" s="653" t="s">
        <v>181</v>
      </c>
      <c r="F50" s="800">
        <v>22</v>
      </c>
      <c r="G50" s="1327">
        <f t="shared" si="10"/>
        <v>22.000000010000001</v>
      </c>
      <c r="H50" s="347">
        <f t="shared" si="11"/>
        <v>1E-8</v>
      </c>
      <c r="I50" s="346">
        <f t="array" ref="I50">(IF(COUNT(L50,M50,N50,R50,V50)&lt;3,SUM(L50,M50,N50,R50,V50),SUM(LARGE((L50,M50,N50,R50,V50),{1;2;3}))))+(IF(COUNT(K50,P50,Q50,U50)&lt;3,SUM(K50,P50,Q50,U50),SUM(LARGE((K50,P50,Q50,U50),{1;2;3}))))+(IF(COUNT(J50,O50,S50,T50)&lt;3,SUM(J50,O50,S50,T50),SUM(LARGE((J50,O50,S50,T50),{1;2;3}))))</f>
        <v>22</v>
      </c>
      <c r="J50" s="421" t="s">
        <v>251</v>
      </c>
      <c r="K50" s="422" t="s">
        <v>251</v>
      </c>
      <c r="L50" s="421" t="s">
        <v>251</v>
      </c>
      <c r="M50" s="421" t="s">
        <v>251</v>
      </c>
      <c r="N50" s="330"/>
      <c r="O50" s="329"/>
      <c r="P50" s="330"/>
      <c r="Q50" s="329"/>
      <c r="R50" s="330"/>
      <c r="S50" s="329"/>
      <c r="T50" s="329"/>
      <c r="U50" s="330">
        <v>22</v>
      </c>
      <c r="V50" s="329"/>
      <c r="W50" s="332">
        <f t="shared" si="12"/>
        <v>1</v>
      </c>
      <c r="X50" s="332">
        <f t="shared" si="13"/>
        <v>0</v>
      </c>
      <c r="Y50" s="332">
        <f t="shared" si="14"/>
        <v>0</v>
      </c>
      <c r="Z50" s="330"/>
      <c r="AA50" s="330"/>
      <c r="AB50" s="330"/>
    </row>
    <row r="51" spans="1:28" ht="12.75" customHeight="1" x14ac:dyDescent="0.2">
      <c r="A51" s="1328">
        <v>8</v>
      </c>
      <c r="B51" s="1330"/>
      <c r="C51" s="1323">
        <f t="shared" si="9"/>
        <v>44</v>
      </c>
      <c r="D51" s="605">
        <v>44</v>
      </c>
      <c r="E51" s="954" t="s">
        <v>436</v>
      </c>
      <c r="F51" s="800">
        <v>21</v>
      </c>
      <c r="G51" s="1327">
        <f t="shared" si="10"/>
        <v>21.000000001</v>
      </c>
      <c r="H51" s="347">
        <f t="shared" si="11"/>
        <v>1.0000000000000001E-9</v>
      </c>
      <c r="I51" s="346">
        <f t="array" ref="I51">(IF(COUNT(L51,M51,N51,R51,V51)&lt;3,SUM(L51,M51,N51,R51,V51),SUM(LARGE((L51,M51,N51,R51,V51),{1;2;3}))))+(IF(COUNT(K51,P51,Q51,U51)&lt;3,SUM(K51,P51,Q51,U51),SUM(LARGE((K51,P51,Q51,U51),{1;2;3}))))+(IF(COUNT(J51,O51,S51,T51)&lt;3,SUM(J51,O51,S51,T51),SUM(LARGE((J51,O51,S51,T51),{1;2;3}))))</f>
        <v>21</v>
      </c>
      <c r="J51" s="421" t="s">
        <v>251</v>
      </c>
      <c r="K51" s="422" t="s">
        <v>251</v>
      </c>
      <c r="L51" s="421" t="s">
        <v>251</v>
      </c>
      <c r="M51" s="421" t="s">
        <v>251</v>
      </c>
      <c r="N51" s="329">
        <v>1</v>
      </c>
      <c r="O51" s="329"/>
      <c r="P51" s="330"/>
      <c r="Q51" s="330"/>
      <c r="R51" s="330"/>
      <c r="S51" s="330"/>
      <c r="T51" s="330">
        <v>20</v>
      </c>
      <c r="U51" s="330"/>
      <c r="V51" s="330"/>
      <c r="W51" s="332">
        <f t="shared" si="12"/>
        <v>2</v>
      </c>
      <c r="X51" s="332">
        <f t="shared" si="13"/>
        <v>0</v>
      </c>
      <c r="Y51" s="332">
        <f t="shared" si="14"/>
        <v>0</v>
      </c>
      <c r="Z51" s="330">
        <f>COUNTIF(J51,"=  ")+COUNTIF(M51,"=  ")+COUNTIF(P51,"=  ")+COUNTIF(Q51,"=  ")</f>
        <v>2</v>
      </c>
      <c r="AA51" s="330">
        <f>COUNTIF(K51,"=  ")+COUNTIF(O51,"=  ")+COUNTIF(S51,"=  ")+COUNTIF(T51,"=  ")</f>
        <v>1</v>
      </c>
      <c r="AB51" s="330">
        <f>COUNTIF(L51,"=  ")+COUNTIF(N51,"=  ")+COUNTIF(R51,"=  ")+COUNTIF(U51,"=  ")+COUNTIF(V51,"=  ")</f>
        <v>1</v>
      </c>
    </row>
    <row r="52" spans="1:28" ht="12.75" customHeight="1" x14ac:dyDescent="0.2">
      <c r="A52" s="954">
        <v>9</v>
      </c>
      <c r="B52" s="1329"/>
      <c r="C52" s="1323">
        <f t="shared" si="9"/>
        <v>45</v>
      </c>
      <c r="D52" s="605">
        <v>45</v>
      </c>
      <c r="E52" s="956" t="s">
        <v>704</v>
      </c>
      <c r="F52" s="800">
        <v>20</v>
      </c>
      <c r="G52" s="1327">
        <f t="shared" si="10"/>
        <v>20.000000001</v>
      </c>
      <c r="H52" s="347">
        <f t="shared" si="11"/>
        <v>1.0000000000000001E-9</v>
      </c>
      <c r="I52" s="346">
        <f t="array" ref="I52">(IF(COUNT(L52,M52,N52,R52,V52)&lt;3,SUM(L52,M52,N52,R52,V52),SUM(LARGE((L52,M52,N52,R52,V52),{1;2;3}))))+(IF(COUNT(K52,P52,Q52,U52)&lt;3,SUM(K52,P52,Q52,U52),SUM(LARGE((K52,P52,Q52,U52),{1;2;3}))))+(IF(COUNT(J52,O52,S52,T52)&lt;3,SUM(J52,O52,S52,T52),SUM(LARGE((J52,O52,S52,T52),{1;2;3}))))</f>
        <v>20</v>
      </c>
      <c r="J52" s="421" t="s">
        <v>251</v>
      </c>
      <c r="K52" s="422" t="s">
        <v>251</v>
      </c>
      <c r="L52" s="421" t="s">
        <v>251</v>
      </c>
      <c r="M52" s="421" t="s">
        <v>251</v>
      </c>
      <c r="N52" s="330"/>
      <c r="O52" s="329">
        <v>20</v>
      </c>
      <c r="P52" s="330"/>
      <c r="Q52" s="329"/>
      <c r="R52" s="330"/>
      <c r="S52" s="329"/>
      <c r="T52" s="329"/>
      <c r="U52" s="330"/>
      <c r="V52" s="329"/>
      <c r="W52" s="332">
        <f t="shared" si="12"/>
        <v>1</v>
      </c>
      <c r="X52" s="332">
        <f t="shared" si="13"/>
        <v>0</v>
      </c>
      <c r="Y52" s="332">
        <f t="shared" si="14"/>
        <v>0</v>
      </c>
      <c r="Z52" s="330"/>
      <c r="AA52" s="330"/>
      <c r="AB52" s="330"/>
    </row>
    <row r="53" spans="1:28" ht="12.75" customHeight="1" x14ac:dyDescent="0.2">
      <c r="A53" s="954"/>
      <c r="B53" s="1329"/>
      <c r="C53" s="1323">
        <f t="shared" si="9"/>
        <v>45</v>
      </c>
      <c r="D53" s="605">
        <v>45</v>
      </c>
      <c r="E53" s="320" t="s">
        <v>569</v>
      </c>
      <c r="F53" s="800">
        <v>20</v>
      </c>
      <c r="G53" s="1327">
        <f t="shared" si="10"/>
        <v>20.000000001</v>
      </c>
      <c r="H53" s="347">
        <f t="shared" si="11"/>
        <v>1.0000000000000001E-9</v>
      </c>
      <c r="I53" s="346">
        <f t="array" ref="I53">(IF(COUNT(L53,M53,N53,R53,V53)&lt;3,SUM(L53,M53,N53,R53,V53),SUM(LARGE((L53,M53,N53,R53,V53),{1;2;3}))))+(IF(COUNT(K53,P53,Q53,U53)&lt;3,SUM(K53,P53,Q53,U53),SUM(LARGE((K53,P53,Q53,U53),{1;2;3}))))+(IF(COUNT(J53,O53,S53,T53)&lt;3,SUM(J53,O53,S53,T53),SUM(LARGE((J53,O53,S53,T53),{1;2;3}))))</f>
        <v>20</v>
      </c>
      <c r="J53" s="421" t="s">
        <v>251</v>
      </c>
      <c r="K53" s="422" t="s">
        <v>251</v>
      </c>
      <c r="L53" s="421" t="s">
        <v>251</v>
      </c>
      <c r="M53" s="421" t="s">
        <v>251</v>
      </c>
      <c r="N53" s="330"/>
      <c r="O53" s="329">
        <v>20</v>
      </c>
      <c r="P53" s="330"/>
      <c r="Q53" s="329"/>
      <c r="R53" s="330"/>
      <c r="S53" s="329"/>
      <c r="T53" s="329"/>
      <c r="U53" s="330"/>
      <c r="V53" s="329"/>
      <c r="W53" s="332">
        <f t="shared" si="12"/>
        <v>1</v>
      </c>
      <c r="X53" s="332">
        <f t="shared" si="13"/>
        <v>0</v>
      </c>
      <c r="Y53" s="332">
        <f t="shared" si="14"/>
        <v>0</v>
      </c>
      <c r="Z53" s="330"/>
      <c r="AA53" s="330"/>
      <c r="AB53" s="330"/>
    </row>
    <row r="54" spans="1:28" ht="12.75" customHeight="1" x14ac:dyDescent="0.2">
      <c r="A54" s="954"/>
      <c r="B54" s="1329"/>
      <c r="C54" s="1323">
        <f t="shared" si="9"/>
        <v>45</v>
      </c>
      <c r="D54" s="605">
        <v>45</v>
      </c>
      <c r="E54" s="320" t="s">
        <v>568</v>
      </c>
      <c r="F54" s="800">
        <v>20</v>
      </c>
      <c r="G54" s="1327">
        <f t="shared" si="10"/>
        <v>20.000000001</v>
      </c>
      <c r="H54" s="347">
        <f t="shared" si="11"/>
        <v>1.0000000000000001E-9</v>
      </c>
      <c r="I54" s="346">
        <f t="array" ref="I54">(IF(COUNT(L54,M54,N54,R54,V54)&lt;3,SUM(L54,M54,N54,R54,V54),SUM(LARGE((L54,M54,N54,R54,V54),{1;2;3}))))+(IF(COUNT(K54,P54,Q54,U54)&lt;3,SUM(K54,P54,Q54,U54),SUM(LARGE((K54,P54,Q54,U54),{1;2;3}))))+(IF(COUNT(J54,O54,S54,T54)&lt;3,SUM(J54,O54,S54,T54),SUM(LARGE((J54,O54,S54,T54),{1;2;3}))))</f>
        <v>20</v>
      </c>
      <c r="J54" s="421" t="s">
        <v>251</v>
      </c>
      <c r="K54" s="422" t="s">
        <v>251</v>
      </c>
      <c r="L54" s="421" t="s">
        <v>251</v>
      </c>
      <c r="M54" s="421" t="s">
        <v>251</v>
      </c>
      <c r="N54" s="330"/>
      <c r="O54" s="329">
        <v>20</v>
      </c>
      <c r="P54" s="330"/>
      <c r="Q54" s="329"/>
      <c r="R54" s="330"/>
      <c r="S54" s="329"/>
      <c r="T54" s="329"/>
      <c r="U54" s="330"/>
      <c r="V54" s="329"/>
      <c r="W54" s="332">
        <f t="shared" si="12"/>
        <v>1</v>
      </c>
      <c r="X54" s="332">
        <f t="shared" si="13"/>
        <v>0</v>
      </c>
      <c r="Y54" s="332">
        <f t="shared" si="14"/>
        <v>0</v>
      </c>
      <c r="Z54" s="330"/>
      <c r="AA54" s="330"/>
      <c r="AB54" s="330"/>
    </row>
    <row r="55" spans="1:28" ht="12.75" customHeight="1" x14ac:dyDescent="0.2">
      <c r="A55" s="1328">
        <v>10</v>
      </c>
      <c r="B55" s="1330"/>
      <c r="C55" s="1323">
        <f t="shared" si="9"/>
        <v>48</v>
      </c>
      <c r="D55" s="604">
        <v>48</v>
      </c>
      <c r="E55" s="956" t="s">
        <v>331</v>
      </c>
      <c r="F55" s="800">
        <v>18</v>
      </c>
      <c r="G55" s="1327">
        <f t="shared" si="10"/>
        <v>18.000000000099998</v>
      </c>
      <c r="H55" s="347">
        <f t="shared" si="11"/>
        <v>1E-10</v>
      </c>
      <c r="I55" s="346">
        <f t="array" ref="I55">(IF(COUNT(L55,M55,N55,R55,V55)&lt;3,SUM(L55,M55,N55,R55,V55),SUM(LARGE((L55,M55,N55,R55,V55),{1;2;3}))))+(IF(COUNT(K55,P55,Q55,U55)&lt;3,SUM(K55,P55,Q55,U55),SUM(LARGE((K55,P55,Q55,U55),{1;2;3}))))+(IF(COUNT(J55,O55,S55,T55)&lt;3,SUM(J55,O55,S55,T55),SUM(LARGE((J55,O55,S55,T55),{1;2;3}))))</f>
        <v>18</v>
      </c>
      <c r="J55" s="329">
        <v>18</v>
      </c>
      <c r="K55" s="422" t="s">
        <v>251</v>
      </c>
      <c r="L55" s="421" t="s">
        <v>251</v>
      </c>
      <c r="M55" s="421" t="s">
        <v>251</v>
      </c>
      <c r="N55" s="330"/>
      <c r="O55" s="422" t="s">
        <v>251</v>
      </c>
      <c r="P55" s="330"/>
      <c r="Q55" s="330"/>
      <c r="R55" s="330"/>
      <c r="S55" s="330"/>
      <c r="T55" s="330"/>
      <c r="U55" s="330"/>
      <c r="V55" s="330"/>
      <c r="W55" s="332">
        <f t="shared" si="12"/>
        <v>1</v>
      </c>
      <c r="X55" s="332">
        <f t="shared" si="13"/>
        <v>0</v>
      </c>
      <c r="Y55" s="332">
        <f t="shared" si="14"/>
        <v>0</v>
      </c>
      <c r="Z55" s="330">
        <f>COUNTIF(J55,"=  ")+COUNTIF(M55,"=  ")+COUNTIF(P55,"=  ")+COUNTIF(Q55,"=  ")</f>
        <v>1</v>
      </c>
      <c r="AA55" s="330">
        <f>COUNTIF(K55,"=  ")+COUNTIF(O55,"=  ")+COUNTIF(S55,"=  ")+COUNTIF(T55,"=  ")</f>
        <v>2</v>
      </c>
      <c r="AB55" s="330">
        <f>COUNTIF(L55,"=  ")+COUNTIF(N55,"=  ")+COUNTIF(R55,"=  ")+COUNTIF(U55,"=  ")+COUNTIF(V55,"=  ")</f>
        <v>1</v>
      </c>
    </row>
    <row r="56" spans="1:28" ht="12.75" customHeight="1" x14ac:dyDescent="0.2">
      <c r="A56" s="954">
        <v>11</v>
      </c>
      <c r="B56" s="1329"/>
      <c r="C56" s="1323">
        <f t="shared" si="9"/>
        <v>49</v>
      </c>
      <c r="D56" s="605">
        <v>49</v>
      </c>
      <c r="E56" s="954" t="s">
        <v>626</v>
      </c>
      <c r="F56" s="800">
        <v>18</v>
      </c>
      <c r="G56" s="1327">
        <f t="shared" si="10"/>
        <v>18.000000000010001</v>
      </c>
      <c r="H56" s="347">
        <f t="shared" si="11"/>
        <v>1.0000001E-11</v>
      </c>
      <c r="I56" s="346">
        <f t="array" ref="I56">(IF(COUNT(L56,M56,N56,R56,V56)&lt;3,SUM(L56,M56,N56,R56,V56),SUM(LARGE((L56,M56,N56,R56,V56),{1;2;3}))))+(IF(COUNT(K56,P56,Q56,U56)&lt;3,SUM(K56,P56,Q56,U56),SUM(LARGE((K56,P56,Q56,U56),{1;2;3}))))+(IF(COUNT(J56,O56,S56,T56)&lt;3,SUM(J56,O56,S56,T56),SUM(LARGE((J56,O56,S56,T56),{1;2;3}))))</f>
        <v>18</v>
      </c>
      <c r="J56" s="421" t="s">
        <v>251</v>
      </c>
      <c r="K56" s="422" t="s">
        <v>251</v>
      </c>
      <c r="L56" s="421" t="s">
        <v>251</v>
      </c>
      <c r="M56" s="421" t="s">
        <v>251</v>
      </c>
      <c r="N56" s="330"/>
      <c r="O56" s="329"/>
      <c r="P56" s="330"/>
      <c r="Q56" s="329"/>
      <c r="R56" s="330"/>
      <c r="S56" s="329"/>
      <c r="T56" s="329">
        <v>16</v>
      </c>
      <c r="U56" s="330"/>
      <c r="V56" s="329">
        <v>2</v>
      </c>
      <c r="W56" s="332">
        <f t="shared" si="12"/>
        <v>2</v>
      </c>
      <c r="X56" s="332">
        <f t="shared" si="13"/>
        <v>0</v>
      </c>
      <c r="Y56" s="332">
        <f t="shared" si="14"/>
        <v>0</v>
      </c>
      <c r="Z56" s="330"/>
      <c r="AA56" s="330"/>
      <c r="AB56" s="330"/>
    </row>
    <row r="57" spans="1:28" ht="12.75" customHeight="1" x14ac:dyDescent="0.2">
      <c r="A57" s="954"/>
      <c r="B57" s="1329"/>
      <c r="C57" s="1323">
        <f t="shared" si="9"/>
        <v>50</v>
      </c>
      <c r="D57" s="604">
        <v>50</v>
      </c>
      <c r="E57" s="327" t="s">
        <v>457</v>
      </c>
      <c r="F57" s="800">
        <v>1</v>
      </c>
      <c r="G57" s="1327">
        <f t="shared" si="10"/>
        <v>1</v>
      </c>
      <c r="H57" s="347">
        <f t="shared" si="11"/>
        <v>0</v>
      </c>
      <c r="I57" s="346">
        <f t="array" ref="I57">(IF(COUNT(L57,M57,N57,R57,V57)&lt;3,SUM(L57,M57,N57,R57,V57),SUM(LARGE((L57,M57,N57,R57,V57),{1;2;3}))))+(IF(COUNT(K57,P57,Q57,U57)&lt;3,SUM(K57,P57,Q57,U57),SUM(LARGE((K57,P57,Q57,U57),{1;2;3}))))+(IF(COUNT(J57,O57,S57,T57)&lt;3,SUM(J57,O57,S57,T57),SUM(LARGE((J57,O57,S57,T57),{1;2;3}))))</f>
        <v>1</v>
      </c>
      <c r="J57" s="421" t="s">
        <v>251</v>
      </c>
      <c r="K57" s="422" t="s">
        <v>251</v>
      </c>
      <c r="L57" s="421" t="s">
        <v>251</v>
      </c>
      <c r="M57" s="421" t="s">
        <v>251</v>
      </c>
      <c r="N57" s="329">
        <v>1</v>
      </c>
      <c r="O57" s="330"/>
      <c r="P57" s="330"/>
      <c r="Q57" s="330"/>
      <c r="R57" s="330"/>
      <c r="S57" s="329"/>
      <c r="T57" s="330"/>
      <c r="U57" s="330"/>
      <c r="V57" s="330"/>
      <c r="W57" s="332">
        <f t="shared" si="12"/>
        <v>1</v>
      </c>
      <c r="X57" s="332">
        <f t="shared" si="13"/>
        <v>0</v>
      </c>
      <c r="Y57" s="332">
        <f t="shared" si="14"/>
        <v>0</v>
      </c>
      <c r="Z57" s="330">
        <f>COUNTIF(J57,"=  ")+COUNTIF(M57,"=  ")+COUNTIF(P57,"=  ")+COUNTIF(Q57,"=  ")</f>
        <v>2</v>
      </c>
      <c r="AA57" s="330">
        <f>COUNTIF(K57,"=  ")+COUNTIF(O57,"=  ")+COUNTIF(S57,"=  ")+COUNTIF(T57,"=  ")</f>
        <v>1</v>
      </c>
      <c r="AB57" s="330">
        <f>COUNTIF(L57,"=  ")+COUNTIF(N57,"=  ")+COUNTIF(R57,"=  ")+COUNTIF(U57,"=  ")+COUNTIF(V57,"=  ")</f>
        <v>1</v>
      </c>
    </row>
    <row r="58" spans="1:28" ht="12.75" customHeight="1" x14ac:dyDescent="0.2">
      <c r="A58" s="954"/>
      <c r="B58" s="1329"/>
      <c r="C58" s="1323">
        <f t="shared" si="9"/>
        <v>50</v>
      </c>
      <c r="D58" s="604">
        <v>50</v>
      </c>
      <c r="E58" s="327" t="s">
        <v>396</v>
      </c>
      <c r="F58" s="800">
        <v>1</v>
      </c>
      <c r="G58" s="1327">
        <f t="shared" si="10"/>
        <v>1</v>
      </c>
      <c r="H58" s="347">
        <f t="shared" si="11"/>
        <v>0</v>
      </c>
      <c r="I58" s="346">
        <f t="array" ref="I58">(IF(COUNT(L58,M58,N58,R58,V58)&lt;3,SUM(L58,M58,N58,R58,V58),SUM(LARGE((L58,M58,N58,R58,V58),{1;2;3}))))+(IF(COUNT(K58,P58,Q58,U58)&lt;3,SUM(K58,P58,Q58,U58),SUM(LARGE((K58,P58,Q58,U58),{1;2;3}))))+(IF(COUNT(J58,O58,S58,T58)&lt;3,SUM(J58,O58,S58,T58),SUM(LARGE((J58,O58,S58,T58),{1;2;3}))))</f>
        <v>1</v>
      </c>
      <c r="J58" s="421" t="s">
        <v>251</v>
      </c>
      <c r="K58" s="422" t="s">
        <v>251</v>
      </c>
      <c r="L58" s="421" t="s">
        <v>251</v>
      </c>
      <c r="M58" s="421" t="s">
        <v>251</v>
      </c>
      <c r="N58" s="329">
        <v>1</v>
      </c>
      <c r="O58" s="330"/>
      <c r="P58" s="330"/>
      <c r="Q58" s="330"/>
      <c r="R58" s="330"/>
      <c r="S58" s="330"/>
      <c r="T58" s="330"/>
      <c r="U58" s="330"/>
      <c r="V58" s="330"/>
      <c r="W58" s="332">
        <f t="shared" si="12"/>
        <v>1</v>
      </c>
      <c r="X58" s="332">
        <f t="shared" si="13"/>
        <v>0</v>
      </c>
      <c r="Y58" s="332">
        <f t="shared" si="14"/>
        <v>0</v>
      </c>
      <c r="Z58" s="330">
        <f>COUNTIF(J58,"=  ")+COUNTIF(M58,"=  ")+COUNTIF(P58,"=  ")+COUNTIF(Q58,"=  ")</f>
        <v>2</v>
      </c>
      <c r="AA58" s="330">
        <f>COUNTIF(K58,"=  ")+COUNTIF(O58,"=  ")+COUNTIF(S58,"=  ")+COUNTIF(T58,"=  ")</f>
        <v>1</v>
      </c>
      <c r="AB58" s="330">
        <f>COUNTIF(L58,"=  ")+COUNTIF(N58,"=  ")+COUNTIF(R58,"=  ")+COUNTIF(U58,"=  ")+COUNTIF(V58,"=  ")</f>
        <v>1</v>
      </c>
    </row>
    <row r="59" spans="1:28" ht="12.75" customHeight="1" x14ac:dyDescent="0.2">
      <c r="A59" s="1328"/>
      <c r="B59" s="1330"/>
      <c r="C59" s="1323">
        <f t="shared" si="9"/>
        <v>50</v>
      </c>
      <c r="D59" s="605">
        <v>50</v>
      </c>
      <c r="E59" s="327" t="s">
        <v>456</v>
      </c>
      <c r="F59" s="800">
        <v>1</v>
      </c>
      <c r="G59" s="1327">
        <f t="shared" si="10"/>
        <v>1</v>
      </c>
      <c r="H59" s="347">
        <f t="shared" si="11"/>
        <v>0</v>
      </c>
      <c r="I59" s="346">
        <f t="array" ref="I59">(IF(COUNT(L59,M59,N59,R59,V59)&lt;3,SUM(L59,M59,N59,R59,V59),SUM(LARGE((L59,M59,N59,R59,V59),{1;2;3}))))+(IF(COUNT(K59,P59,Q59,U59)&lt;3,SUM(K59,P59,Q59,U59),SUM(LARGE((K59,P59,Q59,U59),{1;2;3}))))+(IF(COUNT(J59,O59,S59,T59)&lt;3,SUM(J59,O59,S59,T59),SUM(LARGE((J59,O59,S59,T59),{1;2;3}))))</f>
        <v>1</v>
      </c>
      <c r="J59" s="421" t="s">
        <v>251</v>
      </c>
      <c r="K59" s="422" t="s">
        <v>251</v>
      </c>
      <c r="L59" s="421" t="s">
        <v>251</v>
      </c>
      <c r="M59" s="421" t="s">
        <v>251</v>
      </c>
      <c r="N59" s="329">
        <v>1</v>
      </c>
      <c r="O59" s="330"/>
      <c r="P59" s="330"/>
      <c r="Q59" s="330"/>
      <c r="R59" s="330"/>
      <c r="S59" s="330"/>
      <c r="T59" s="330"/>
      <c r="U59" s="330"/>
      <c r="V59" s="330"/>
      <c r="W59" s="332">
        <f t="shared" si="12"/>
        <v>1</v>
      </c>
      <c r="X59" s="332">
        <f t="shared" si="13"/>
        <v>0</v>
      </c>
      <c r="Y59" s="332">
        <f t="shared" si="14"/>
        <v>0</v>
      </c>
      <c r="Z59" s="330">
        <f>COUNTIF(J59,"=  ")+COUNTIF(M59,"=  ")+COUNTIF(P59,"=  ")+COUNTIF(Q59,"=  ")</f>
        <v>2</v>
      </c>
      <c r="AA59" s="330">
        <f>COUNTIF(K59,"=  ")+COUNTIF(O59,"=  ")+COUNTIF(S59,"=  ")+COUNTIF(T59,"=  ")</f>
        <v>1</v>
      </c>
      <c r="AB59" s="330">
        <f>COUNTIF(L59,"=  ")+COUNTIF(N59,"=  ")+COUNTIF(R59,"=  ")+COUNTIF(U59,"=  ")+COUNTIF(V59,"=  ")</f>
        <v>1</v>
      </c>
    </row>
    <row r="60" spans="1:28" x14ac:dyDescent="0.2">
      <c r="A60" s="610">
        <f>COUNT(A8:A59)</f>
        <v>11</v>
      </c>
      <c r="B60" s="611">
        <f>COUNT(B8:B59)</f>
        <v>2</v>
      </c>
      <c r="C60" s="318"/>
      <c r="D60" s="334">
        <f>COUNT(D8:D59)</f>
        <v>52</v>
      </c>
      <c r="E60" s="335" t="s">
        <v>90</v>
      </c>
      <c r="F60" s="336"/>
      <c r="G60" s="336"/>
      <c r="H60" s="336"/>
      <c r="I60" s="336"/>
      <c r="J60" s="337">
        <f t="shared" ref="J60:V60" si="18">COUNTIF(J8:J59,"&gt;=0")</f>
        <v>30</v>
      </c>
      <c r="K60" s="337">
        <f t="shared" si="18"/>
        <v>18</v>
      </c>
      <c r="L60" s="337">
        <f t="shared" si="18"/>
        <v>18</v>
      </c>
      <c r="M60" s="337">
        <f t="shared" si="18"/>
        <v>9</v>
      </c>
      <c r="N60" s="337">
        <f t="shared" si="18"/>
        <v>38</v>
      </c>
      <c r="O60" s="337">
        <f t="shared" si="18"/>
        <v>27</v>
      </c>
      <c r="P60" s="337">
        <f t="shared" si="18"/>
        <v>30</v>
      </c>
      <c r="Q60" s="337">
        <f t="shared" si="18"/>
        <v>26</v>
      </c>
      <c r="R60" s="337">
        <f t="shared" si="18"/>
        <v>18</v>
      </c>
      <c r="S60" s="337">
        <f t="shared" si="18"/>
        <v>16</v>
      </c>
      <c r="T60" s="337">
        <f t="shared" si="18"/>
        <v>29</v>
      </c>
      <c r="U60" s="337">
        <f t="shared" si="18"/>
        <v>14</v>
      </c>
      <c r="V60" s="337">
        <f t="shared" si="18"/>
        <v>17</v>
      </c>
      <c r="W60" s="318"/>
      <c r="X60" s="338">
        <f>SUM(X8:X59)</f>
        <v>76</v>
      </c>
      <c r="Y60" s="338">
        <f>SUM(Y8:Y59)</f>
        <v>25</v>
      </c>
      <c r="Z60" s="338"/>
      <c r="AA60" s="338"/>
      <c r="AB60" s="338"/>
    </row>
    <row r="61" spans="1:28" x14ac:dyDescent="0.2">
      <c r="A61" s="318"/>
      <c r="B61" s="339"/>
      <c r="C61" s="318"/>
      <c r="D61" s="318"/>
      <c r="E61" s="335" t="s">
        <v>91</v>
      </c>
      <c r="F61" s="336"/>
      <c r="G61" s="336"/>
      <c r="H61" s="336"/>
      <c r="I61" s="336"/>
      <c r="J61" s="150">
        <f>IF((J60/(LEN(J6)-LEN(SUBSTITUTE(J6,"*","")))-0.5)&lt;0,"",J60/(LEN(J6)-LEN(SUBSTITUTE(J6,"*","")))-0.5)</f>
        <v>9.5</v>
      </c>
      <c r="K61" s="150">
        <f>IF((K60/(LEN(K6)-LEN(SUBSTITUTE(K6,"*","")))-0.5)&lt;0,"",K60/(LEN(K6)-LEN(SUBSTITUTE(K6,"*","")))-0.5)</f>
        <v>8.5</v>
      </c>
      <c r="L61" s="150"/>
      <c r="M61" s="150"/>
      <c r="N61" s="150"/>
      <c r="O61" s="150">
        <f>IF((O60/(LEN(O6)-LEN(SUBSTITUTE(O6,"*","")))-0.5)&lt;0,"",O60/(LEN(O6)-LEN(SUBSTITUTE(O6,"*","")))-0.5)</f>
        <v>8.5</v>
      </c>
      <c r="P61" s="150">
        <f>IF((P60/(LEN(P6)-LEN(SUBSTITUTE(P6,"*","")))-0.5)&lt;0,"",P60/(LEN(P6)-LEN(SUBSTITUTE(P6,"*","")))-0.5)</f>
        <v>14.5</v>
      </c>
      <c r="Q61" s="150">
        <f>IF((Q60/(LEN(Q6)-LEN(SUBSTITUTE(Q6,"*","")))-0.5)&lt;0,"",Q60/(LEN(Q6)-LEN(SUBSTITUTE(Q6,"*","")))-0.5)</f>
        <v>12.5</v>
      </c>
      <c r="R61" s="150"/>
      <c r="S61" s="150">
        <f>IF((S60/(LEN(S6)-LEN(SUBSTITUTE(S6,"*","")))-0.5)&lt;0,"",S60/(LEN(S6)-LEN(SUBSTITUTE(S6,"*","")))-0.5)</f>
        <v>4.833333333333333</v>
      </c>
      <c r="T61" s="150">
        <f>IF((T60/(LEN(T6)-LEN(SUBSTITUTE(T6,"*","")))-0.5)&lt;0,"",T60/(LEN(T6)-LEN(SUBSTITUTE(T6,"*","")))-0.5)</f>
        <v>9.1666666666666661</v>
      </c>
      <c r="U61" s="150">
        <f>IF((U60/(LEN(U6)-LEN(SUBSTITUTE(U6,"*","")))-0.5)&lt;0,"",U60/(LEN(U6)-LEN(SUBSTITUTE(U6,"*","")))-0.5)</f>
        <v>6.5</v>
      </c>
      <c r="V61" s="150"/>
      <c r="W61" s="318"/>
      <c r="X61" s="318"/>
      <c r="Y61" s="318"/>
      <c r="Z61" s="318"/>
      <c r="AA61" s="318"/>
      <c r="AB61" s="318"/>
    </row>
    <row r="63" spans="1:28" x14ac:dyDescent="0.2">
      <c r="A63" s="311"/>
      <c r="B63" s="308"/>
      <c r="C63" s="340" t="s">
        <v>186</v>
      </c>
      <c r="E63" s="311"/>
      <c r="F63" s="311"/>
      <c r="G63" s="311"/>
      <c r="H63" s="311"/>
      <c r="I63" s="311"/>
      <c r="V63" s="308"/>
    </row>
    <row r="64" spans="1:28" x14ac:dyDescent="0.2">
      <c r="A64" s="311"/>
      <c r="B64" s="308"/>
      <c r="C64" s="340" t="s">
        <v>187</v>
      </c>
      <c r="E64" s="311"/>
      <c r="F64" s="311"/>
      <c r="G64" s="311"/>
      <c r="H64" s="311"/>
      <c r="I64" s="311"/>
      <c r="V64" s="308"/>
    </row>
    <row r="65" spans="1:22" x14ac:dyDescent="0.2">
      <c r="A65" s="311"/>
      <c r="B65" s="308"/>
      <c r="C65" s="341" t="s">
        <v>188</v>
      </c>
      <c r="E65" s="311"/>
      <c r="F65" s="311"/>
      <c r="G65" s="311"/>
      <c r="H65" s="311"/>
      <c r="I65" s="311"/>
      <c r="V65" s="308"/>
    </row>
    <row r="66" spans="1:22" x14ac:dyDescent="0.2">
      <c r="A66" s="311"/>
      <c r="B66" s="308"/>
      <c r="E66" s="311"/>
      <c r="F66" s="311"/>
      <c r="G66" s="311"/>
      <c r="H66" s="311"/>
      <c r="I66" s="311"/>
      <c r="V66" s="308"/>
    </row>
    <row r="67" spans="1:22" x14ac:dyDescent="0.2">
      <c r="A67" s="311"/>
      <c r="B67" s="308"/>
      <c r="C67" s="342" t="s">
        <v>192</v>
      </c>
      <c r="E67" s="333"/>
      <c r="I67" s="311"/>
      <c r="V67" s="308"/>
    </row>
    <row r="68" spans="1:22" x14ac:dyDescent="0.2">
      <c r="E68" s="308" t="s">
        <v>157</v>
      </c>
      <c r="F68" s="308" t="s">
        <v>173</v>
      </c>
      <c r="N68" s="308" t="s">
        <v>176</v>
      </c>
      <c r="T68" s="308" t="s">
        <v>171</v>
      </c>
    </row>
    <row r="69" spans="1:22" x14ac:dyDescent="0.2">
      <c r="E69" s="308" t="s">
        <v>178</v>
      </c>
      <c r="F69" s="308" t="s">
        <v>180</v>
      </c>
      <c r="N69" s="308" t="s">
        <v>184</v>
      </c>
      <c r="T69" s="308" t="s">
        <v>181</v>
      </c>
    </row>
    <row r="70" spans="1:22" x14ac:dyDescent="0.2">
      <c r="E70" s="308" t="s">
        <v>169</v>
      </c>
      <c r="F70" s="308" t="s">
        <v>189</v>
      </c>
      <c r="N70" s="308" t="s">
        <v>172</v>
      </c>
      <c r="T70" s="308" t="s">
        <v>168</v>
      </c>
    </row>
    <row r="71" spans="1:22" x14ac:dyDescent="0.2">
      <c r="E71" s="308" t="s">
        <v>164</v>
      </c>
      <c r="F71" s="308" t="s">
        <v>155</v>
      </c>
      <c r="N71" s="308" t="s">
        <v>174</v>
      </c>
      <c r="T71" s="308" t="s">
        <v>159</v>
      </c>
    </row>
    <row r="72" spans="1:22" x14ac:dyDescent="0.2">
      <c r="E72" s="308" t="s">
        <v>177</v>
      </c>
      <c r="F72" s="308" t="s">
        <v>185</v>
      </c>
      <c r="N72" s="308" t="s">
        <v>167</v>
      </c>
      <c r="T72" s="308" t="s">
        <v>182</v>
      </c>
    </row>
    <row r="73" spans="1:22" x14ac:dyDescent="0.2">
      <c r="E73" s="308" t="s">
        <v>190</v>
      </c>
      <c r="F73" s="308" t="s">
        <v>162</v>
      </c>
      <c r="N73" s="308" t="s">
        <v>161</v>
      </c>
      <c r="T73" s="308" t="s">
        <v>170</v>
      </c>
    </row>
    <row r="74" spans="1:22" x14ac:dyDescent="0.2">
      <c r="E74" s="308" t="s">
        <v>175</v>
      </c>
      <c r="F74" s="308" t="s">
        <v>156</v>
      </c>
      <c r="N74" s="308" t="s">
        <v>183</v>
      </c>
      <c r="T74" s="308" t="s">
        <v>158</v>
      </c>
    </row>
    <row r="75" spans="1:22" x14ac:dyDescent="0.2">
      <c r="E75" s="308" t="s">
        <v>179</v>
      </c>
      <c r="F75" s="308" t="s">
        <v>52</v>
      </c>
      <c r="N75" s="308" t="s">
        <v>166</v>
      </c>
    </row>
    <row r="76" spans="1:22" x14ac:dyDescent="0.2">
      <c r="E76" s="308" t="s">
        <v>160</v>
      </c>
      <c r="F76" s="308" t="s">
        <v>163</v>
      </c>
      <c r="N76" s="308" t="s">
        <v>165</v>
      </c>
    </row>
  </sheetData>
  <autoFilter ref="W7:AB59"/>
  <sortState ref="A7:AD75">
    <sortCondition descending="1" ref="F8"/>
  </sortState>
  <mergeCells count="3">
    <mergeCell ref="W5:W6"/>
    <mergeCell ref="X5:X6"/>
    <mergeCell ref="Y5:Y6"/>
  </mergeCells>
  <conditionalFormatting sqref="J8:V59">
    <cfRule type="cellIs" dxfId="901" priority="5" stopIfTrue="1" operator="equal">
      <formula>30</formula>
    </cfRule>
    <cfRule type="cellIs" dxfId="900" priority="6" stopIfTrue="1" operator="equal">
      <formula>34</formula>
    </cfRule>
    <cfRule type="cellIs" dxfId="899" priority="7" stopIfTrue="1" operator="equal">
      <formula>40</formula>
    </cfRule>
  </conditionalFormatting>
  <conditionalFormatting sqref="AB8:AB59">
    <cfRule type="cellIs" dxfId="898" priority="2" stopIfTrue="1" operator="equal">
      <formula>2</formula>
    </cfRule>
  </conditionalFormatting>
  <conditionalFormatting sqref="Z8:Z40 Z41:AA59">
    <cfRule type="cellIs" dxfId="897" priority="4" stopIfTrue="1" operator="equal">
      <formula>1</formula>
    </cfRule>
  </conditionalFormatting>
  <conditionalFormatting sqref="AA8:AA40">
    <cfRule type="cellIs" dxfId="896" priority="3" stopIfTrue="1" operator="equal">
      <formula>1</formula>
    </cfRule>
  </conditionalFormatting>
  <conditionalFormatting sqref="J60:V60">
    <cfRule type="top10" dxfId="895" priority="300" stopIfTrue="1" rank="1"/>
  </conditionalFormatting>
  <conditionalFormatting sqref="X8:X59">
    <cfRule type="top10" dxfId="894" priority="313" stopIfTrue="1" rank="1"/>
  </conditionalFormatting>
  <conditionalFormatting sqref="Y8:Y59">
    <cfRule type="top10" dxfId="893" priority="314" stopIfTrue="1" rank="1"/>
  </conditionalFormatting>
  <conditionalFormatting sqref="W8:W59">
    <cfRule type="top10" dxfId="892" priority="315" stopIfTrue="1" rank="1"/>
  </conditionalFormatting>
  <conditionalFormatting sqref="I8:I59">
    <cfRule type="duplicateValues" dxfId="891" priority="316" stopIfTrue="1"/>
  </conditionalFormatting>
  <conditionalFormatting sqref="C8:C59">
    <cfRule type="duplicateValues" dxfId="890" priority="317" stopIfTrue="1"/>
  </conditionalFormatting>
  <conditionalFormatting sqref="E8:E59">
    <cfRule type="duplicateValues" dxfId="889" priority="318" stopIfTrue="1"/>
  </conditionalFormatting>
  <conditionalFormatting sqref="G8:G59">
    <cfRule type="duplicateValues" dxfId="888" priority="319" stopIfTrue="1"/>
  </conditionalFormatting>
  <pageMargins left="0.59055118110236227" right="0.31496062992125984" top="0.59055118110236227" bottom="0.31496062992125984" header="0.39370078740157483" footer="0"/>
  <pageSetup paperSize="9" fitToHeight="0" orientation="portrait" useFirstPageNumber="1" verticalDpi="300" r:id="rId1"/>
  <headerFooter alignWithMargins="0">
    <oddHeader>&amp;R&amp;"Arial,Regular"&amp;9Page &amp;P of &amp;N</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1"/>
  <sheetViews>
    <sheetView showGridLines="0" showRowColHeaders="0" zoomScaleNormal="100" workbookViewId="0">
      <pane ySplit="2" topLeftCell="A3" activePane="bottomLeft" state="frozen"/>
      <selection pane="bottomLeft" activeCell="K1" sqref="K1"/>
    </sheetView>
  </sheetViews>
  <sheetFormatPr defaultRowHeight="12.75" x14ac:dyDescent="0.2"/>
  <cols>
    <col min="1" max="1" width="5.5703125" customWidth="1"/>
    <col min="2" max="2" width="20.42578125" bestFit="1" customWidth="1"/>
    <col min="3" max="3" width="6.7109375" bestFit="1" customWidth="1"/>
    <col min="4" max="5" width="6.7109375" customWidth="1"/>
    <col min="6" max="6" width="6.7109375" bestFit="1" customWidth="1"/>
    <col min="7" max="9" width="6.7109375" customWidth="1"/>
    <col min="11" max="11" width="9.140625" customWidth="1"/>
  </cols>
  <sheetData>
    <row r="1" spans="1:15" x14ac:dyDescent="0.2">
      <c r="A1" s="1" t="str">
        <f>UPPER((Kalend!E5)&amp;" - "&amp;(Kalend!C5)&amp;" - "&amp;(Kalend!D5))</f>
        <v>A - VÄLISHOOAJA AVAVÕISTLUS - ÜKSIK</v>
      </c>
      <c r="G1" s="113" t="str">
        <f>HYPERLINK("#Kalend!I1","Kalender")</f>
        <v>Kalender</v>
      </c>
      <c r="H1" s="2"/>
      <c r="I1" s="113" t="str">
        <f>HYPERLINK("#Reit!G1","Reiting")</f>
        <v>Reiting</v>
      </c>
      <c r="J1" s="2"/>
      <c r="L1" s="152"/>
      <c r="M1" s="152"/>
    </row>
    <row r="2" spans="1:15" x14ac:dyDescent="0.2">
      <c r="A2" s="2" t="str">
        <f>"Toimumisaeg: "&amp;(Kalend!A5)&amp;" kell "&amp;(Kalend!B5)</f>
        <v>Toimumisaeg: E, 01.05.2017 kell 11:00</v>
      </c>
    </row>
    <row r="3" spans="1:15" x14ac:dyDescent="0.2">
      <c r="A3" s="2" t="str">
        <f>"Toimumiskoht: "&amp;(Kalend!F5)</f>
        <v>Toimumiskoht: K-Järve spordihoone</v>
      </c>
    </row>
    <row r="4" spans="1:15" x14ac:dyDescent="0.2">
      <c r="A4" s="2" t="str">
        <f>"Korraldaja: "&amp;(Kalend!G5)</f>
        <v>Korraldaja: K-Järve SHK, Ivar Viljaste</v>
      </c>
    </row>
    <row r="6" spans="1:15" s="436" customFormat="1" x14ac:dyDescent="0.2">
      <c r="A6" s="435" t="s">
        <v>263</v>
      </c>
      <c r="B6" s="435"/>
      <c r="C6" s="429">
        <v>1</v>
      </c>
      <c r="D6" s="429">
        <v>2</v>
      </c>
      <c r="E6" s="429">
        <v>3</v>
      </c>
      <c r="F6" s="429">
        <v>4</v>
      </c>
      <c r="G6" s="429" t="s">
        <v>264</v>
      </c>
      <c r="H6" s="429" t="s">
        <v>145</v>
      </c>
      <c r="L6"/>
      <c r="M6"/>
      <c r="N6"/>
      <c r="O6"/>
    </row>
    <row r="7" spans="1:15" s="436" customFormat="1" x14ac:dyDescent="0.2">
      <c r="A7" s="435">
        <v>1</v>
      </c>
      <c r="B7" s="470" t="s">
        <v>176</v>
      </c>
      <c r="C7" s="437"/>
      <c r="D7" s="438">
        <v>7</v>
      </c>
      <c r="E7" s="438">
        <v>10</v>
      </c>
      <c r="F7" s="438">
        <v>13</v>
      </c>
      <c r="G7" s="471" t="s">
        <v>265</v>
      </c>
      <c r="H7" s="438" t="s">
        <v>266</v>
      </c>
      <c r="L7"/>
      <c r="M7"/>
      <c r="N7"/>
      <c r="O7"/>
    </row>
    <row r="8" spans="1:15" s="436" customFormat="1" x14ac:dyDescent="0.2">
      <c r="A8" s="435">
        <v>2</v>
      </c>
      <c r="B8" s="470" t="s">
        <v>156</v>
      </c>
      <c r="C8" s="438">
        <v>13</v>
      </c>
      <c r="D8" s="437"/>
      <c r="E8" s="438">
        <v>6</v>
      </c>
      <c r="F8" s="438">
        <v>13</v>
      </c>
      <c r="G8" s="472" t="s">
        <v>119</v>
      </c>
      <c r="H8" s="438" t="s">
        <v>267</v>
      </c>
      <c r="L8"/>
      <c r="M8"/>
      <c r="N8"/>
      <c r="O8"/>
    </row>
    <row r="9" spans="1:15" s="436" customFormat="1" x14ac:dyDescent="0.2">
      <c r="A9" s="435">
        <v>3</v>
      </c>
      <c r="B9" s="470" t="s">
        <v>155</v>
      </c>
      <c r="C9" s="438">
        <v>13</v>
      </c>
      <c r="D9" s="439">
        <v>13</v>
      </c>
      <c r="E9" s="437"/>
      <c r="F9" s="438">
        <v>13</v>
      </c>
      <c r="G9" s="472" t="s">
        <v>268</v>
      </c>
      <c r="H9" s="439" t="s">
        <v>269</v>
      </c>
      <c r="L9"/>
      <c r="M9"/>
      <c r="N9"/>
      <c r="O9"/>
    </row>
    <row r="10" spans="1:15" s="436" customFormat="1" x14ac:dyDescent="0.2">
      <c r="A10" s="435">
        <v>4</v>
      </c>
      <c r="B10" s="470" t="s">
        <v>313</v>
      </c>
      <c r="C10" s="438">
        <v>11</v>
      </c>
      <c r="D10" s="438">
        <v>10</v>
      </c>
      <c r="E10" s="438">
        <v>3</v>
      </c>
      <c r="F10" s="437"/>
      <c r="G10" s="472" t="s">
        <v>270</v>
      </c>
      <c r="H10" s="438" t="s">
        <v>120</v>
      </c>
      <c r="L10"/>
      <c r="M10"/>
      <c r="N10"/>
      <c r="O10"/>
    </row>
    <row r="11" spans="1:15" s="436" customFormat="1" x14ac:dyDescent="0.2">
      <c r="L11"/>
      <c r="M11"/>
      <c r="N11"/>
      <c r="O11"/>
    </row>
    <row r="12" spans="1:15" s="436" customFormat="1" x14ac:dyDescent="0.2">
      <c r="A12" s="435" t="s">
        <v>271</v>
      </c>
      <c r="B12" s="435"/>
      <c r="C12" s="429">
        <v>1</v>
      </c>
      <c r="D12" s="429">
        <v>2</v>
      </c>
      <c r="E12" s="429">
        <v>3</v>
      </c>
      <c r="F12" s="429">
        <v>4</v>
      </c>
      <c r="G12" s="429" t="s">
        <v>264</v>
      </c>
      <c r="H12" s="429" t="s">
        <v>145</v>
      </c>
      <c r="L12"/>
      <c r="M12"/>
      <c r="N12"/>
      <c r="O12"/>
    </row>
    <row r="13" spans="1:15" s="436" customFormat="1" x14ac:dyDescent="0.2">
      <c r="A13" s="435">
        <v>1</v>
      </c>
      <c r="B13" s="470" t="s">
        <v>159</v>
      </c>
      <c r="C13" s="437"/>
      <c r="D13" s="438">
        <v>11</v>
      </c>
      <c r="E13" s="438">
        <v>1</v>
      </c>
      <c r="F13" s="438">
        <v>5</v>
      </c>
      <c r="G13" s="472" t="s">
        <v>270</v>
      </c>
      <c r="H13" s="469" t="s">
        <v>120</v>
      </c>
      <c r="L13"/>
      <c r="M13"/>
      <c r="N13"/>
      <c r="O13"/>
    </row>
    <row r="14" spans="1:15" s="436" customFormat="1" x14ac:dyDescent="0.2">
      <c r="A14" s="435">
        <v>2</v>
      </c>
      <c r="B14" s="470" t="s">
        <v>160</v>
      </c>
      <c r="C14" s="438">
        <v>13</v>
      </c>
      <c r="D14" s="437"/>
      <c r="E14" s="438">
        <v>13</v>
      </c>
      <c r="F14" s="438">
        <v>13</v>
      </c>
      <c r="G14" s="472" t="s">
        <v>268</v>
      </c>
      <c r="H14" s="438" t="s">
        <v>269</v>
      </c>
      <c r="L14"/>
      <c r="M14"/>
      <c r="N14"/>
      <c r="O14"/>
    </row>
    <row r="15" spans="1:15" s="436" customFormat="1" x14ac:dyDescent="0.2">
      <c r="A15" s="435">
        <v>3</v>
      </c>
      <c r="B15" s="470" t="s">
        <v>177</v>
      </c>
      <c r="C15" s="438">
        <v>13</v>
      </c>
      <c r="D15" s="439">
        <v>9</v>
      </c>
      <c r="E15" s="437"/>
      <c r="F15" s="438">
        <v>13</v>
      </c>
      <c r="G15" s="472" t="s">
        <v>119</v>
      </c>
      <c r="H15" s="439" t="s">
        <v>267</v>
      </c>
      <c r="L15"/>
      <c r="M15"/>
      <c r="N15"/>
      <c r="O15"/>
    </row>
    <row r="16" spans="1:15" s="436" customFormat="1" x14ac:dyDescent="0.2">
      <c r="A16" s="435">
        <v>4</v>
      </c>
      <c r="B16" s="470" t="s">
        <v>175</v>
      </c>
      <c r="C16" s="438">
        <v>13</v>
      </c>
      <c r="D16" s="438">
        <v>7</v>
      </c>
      <c r="E16" s="438">
        <v>12</v>
      </c>
      <c r="F16" s="437"/>
      <c r="G16" s="472" t="s">
        <v>265</v>
      </c>
      <c r="H16" s="469" t="s">
        <v>266</v>
      </c>
      <c r="L16"/>
      <c r="M16"/>
      <c r="N16"/>
      <c r="O16"/>
    </row>
    <row r="17" spans="1:15" s="436" customFormat="1" x14ac:dyDescent="0.2">
      <c r="L17"/>
      <c r="M17"/>
      <c r="N17"/>
      <c r="O17"/>
    </row>
    <row r="18" spans="1:15" s="436" customFormat="1" x14ac:dyDescent="0.2">
      <c r="A18" s="435" t="s">
        <v>272</v>
      </c>
      <c r="B18" s="435"/>
      <c r="C18" s="429">
        <v>1</v>
      </c>
      <c r="D18" s="429">
        <v>2</v>
      </c>
      <c r="E18" s="429">
        <v>3</v>
      </c>
      <c r="F18" s="429" t="s">
        <v>264</v>
      </c>
      <c r="G18" s="429" t="s">
        <v>145</v>
      </c>
      <c r="L18"/>
      <c r="M18"/>
      <c r="N18"/>
      <c r="O18"/>
    </row>
    <row r="19" spans="1:15" s="436" customFormat="1" x14ac:dyDescent="0.2">
      <c r="A19" s="435">
        <v>1</v>
      </c>
      <c r="B19" s="470" t="s">
        <v>168</v>
      </c>
      <c r="C19" s="437"/>
      <c r="D19" s="438">
        <v>10</v>
      </c>
      <c r="E19" s="438">
        <v>11</v>
      </c>
      <c r="F19" s="472" t="s">
        <v>316</v>
      </c>
      <c r="G19" s="469" t="s">
        <v>266</v>
      </c>
      <c r="L19"/>
      <c r="M19"/>
      <c r="N19"/>
      <c r="O19"/>
    </row>
    <row r="20" spans="1:15" s="436" customFormat="1" x14ac:dyDescent="0.2">
      <c r="A20" s="435">
        <v>2</v>
      </c>
      <c r="B20" s="470" t="s">
        <v>157</v>
      </c>
      <c r="C20" s="438">
        <v>13</v>
      </c>
      <c r="D20" s="437"/>
      <c r="E20" s="438">
        <v>13</v>
      </c>
      <c r="F20" s="472" t="s">
        <v>317</v>
      </c>
      <c r="G20" s="438" t="s">
        <v>269</v>
      </c>
      <c r="L20"/>
      <c r="M20"/>
      <c r="N20"/>
      <c r="O20"/>
    </row>
    <row r="21" spans="1:15" s="436" customFormat="1" x14ac:dyDescent="0.2">
      <c r="A21" s="435">
        <v>3</v>
      </c>
      <c r="B21" s="470" t="s">
        <v>314</v>
      </c>
      <c r="C21" s="438">
        <v>13</v>
      </c>
      <c r="D21" s="439">
        <v>8</v>
      </c>
      <c r="E21" s="437"/>
      <c r="F21" s="472" t="s">
        <v>121</v>
      </c>
      <c r="G21" s="439" t="s">
        <v>267</v>
      </c>
      <c r="L21"/>
      <c r="M21"/>
      <c r="N21"/>
      <c r="O21"/>
    </row>
    <row r="22" spans="1:15" s="436" customFormat="1" x14ac:dyDescent="0.2">
      <c r="L22"/>
      <c r="M22"/>
      <c r="N22"/>
      <c r="O22"/>
    </row>
    <row r="23" spans="1:15" s="436" customFormat="1" x14ac:dyDescent="0.2">
      <c r="A23" s="435" t="s">
        <v>273</v>
      </c>
      <c r="B23" s="435"/>
      <c r="C23" s="429">
        <v>1</v>
      </c>
      <c r="D23" s="429">
        <v>2</v>
      </c>
      <c r="E23" s="429">
        <v>3</v>
      </c>
      <c r="F23" s="429" t="s">
        <v>264</v>
      </c>
      <c r="G23" s="429" t="s">
        <v>145</v>
      </c>
      <c r="L23"/>
      <c r="M23"/>
      <c r="N23"/>
      <c r="O23"/>
    </row>
    <row r="24" spans="1:15" s="436" customFormat="1" x14ac:dyDescent="0.2">
      <c r="A24" s="435">
        <v>1</v>
      </c>
      <c r="B24" s="470" t="s">
        <v>170</v>
      </c>
      <c r="C24" s="437"/>
      <c r="D24" s="440">
        <v>13</v>
      </c>
      <c r="E24" s="440">
        <v>6</v>
      </c>
      <c r="F24" s="471" t="s">
        <v>121</v>
      </c>
      <c r="G24" s="469" t="s">
        <v>269</v>
      </c>
      <c r="H24" s="473" t="s">
        <v>275</v>
      </c>
      <c r="L24"/>
      <c r="M24"/>
      <c r="N24"/>
      <c r="O24"/>
    </row>
    <row r="25" spans="1:15" s="436" customFormat="1" x14ac:dyDescent="0.2">
      <c r="A25" s="435">
        <v>2</v>
      </c>
      <c r="B25" s="474" t="s">
        <v>162</v>
      </c>
      <c r="C25" s="440">
        <v>2</v>
      </c>
      <c r="D25" s="437"/>
      <c r="E25" s="440">
        <v>13</v>
      </c>
      <c r="F25" s="471" t="s">
        <v>121</v>
      </c>
      <c r="G25" s="469" t="s">
        <v>267</v>
      </c>
      <c r="H25" s="473" t="s">
        <v>274</v>
      </c>
      <c r="L25"/>
      <c r="M25"/>
      <c r="N25"/>
      <c r="O25"/>
    </row>
    <row r="26" spans="1:15" s="436" customFormat="1" x14ac:dyDescent="0.2">
      <c r="A26" s="435">
        <v>3</v>
      </c>
      <c r="B26" s="470" t="s">
        <v>184</v>
      </c>
      <c r="C26" s="440">
        <v>13</v>
      </c>
      <c r="D26" s="440">
        <v>4</v>
      </c>
      <c r="E26" s="437"/>
      <c r="F26" s="471" t="s">
        <v>121</v>
      </c>
      <c r="G26" s="439" t="s">
        <v>266</v>
      </c>
      <c r="H26" s="473" t="s">
        <v>274</v>
      </c>
      <c r="L26"/>
      <c r="M26"/>
      <c r="N26"/>
      <c r="O26"/>
    </row>
    <row r="27" spans="1:15" s="436" customFormat="1" x14ac:dyDescent="0.2"/>
    <row r="28" spans="1:15" s="436" customFormat="1" x14ac:dyDescent="0.2">
      <c r="B28" s="441" t="s">
        <v>114</v>
      </c>
      <c r="C28" s="442" t="s">
        <v>276</v>
      </c>
      <c r="D28" s="442" t="s">
        <v>277</v>
      </c>
    </row>
    <row r="29" spans="1:15" s="436" customFormat="1" x14ac:dyDescent="0.2">
      <c r="B29" s="441" t="s">
        <v>115</v>
      </c>
      <c r="C29" s="442" t="s">
        <v>278</v>
      </c>
      <c r="D29" s="442" t="s">
        <v>279</v>
      </c>
    </row>
    <row r="30" spans="1:15" s="436" customFormat="1" x14ac:dyDescent="0.2">
      <c r="B30" s="441" t="s">
        <v>116</v>
      </c>
      <c r="C30" s="442" t="s">
        <v>265</v>
      </c>
      <c r="D30" s="442" t="s">
        <v>280</v>
      </c>
    </row>
    <row r="31" spans="1:15" s="444" customFormat="1" x14ac:dyDescent="0.2">
      <c r="A31" s="443"/>
      <c r="B31" s="441"/>
      <c r="C31" s="442"/>
      <c r="D31" s="442"/>
      <c r="E31" s="442"/>
      <c r="I31" s="442"/>
      <c r="J31" s="445"/>
    </row>
    <row r="32" spans="1:15" s="366" customFormat="1" x14ac:dyDescent="0.2">
      <c r="A32" s="446" t="s">
        <v>281</v>
      </c>
    </row>
    <row r="33" spans="1:11" s="366" customFormat="1" x14ac:dyDescent="0.2">
      <c r="A33" s="446"/>
    </row>
    <row r="34" spans="1:11" s="366" customFormat="1" x14ac:dyDescent="0.2">
      <c r="A34" s="447" t="s">
        <v>290</v>
      </c>
      <c r="B34" s="366" t="s">
        <v>155</v>
      </c>
      <c r="C34" s="452">
        <v>13</v>
      </c>
    </row>
    <row r="35" spans="1:11" s="366" customFormat="1" x14ac:dyDescent="0.2">
      <c r="A35" s="448"/>
      <c r="B35" s="449"/>
      <c r="C35" s="450" t="s">
        <v>155</v>
      </c>
      <c r="D35" s="451"/>
      <c r="F35" s="452">
        <v>13</v>
      </c>
    </row>
    <row r="36" spans="1:11" s="366" customFormat="1" x14ac:dyDescent="0.2">
      <c r="A36" s="447" t="s">
        <v>291</v>
      </c>
      <c r="B36" s="453" t="s">
        <v>314</v>
      </c>
      <c r="C36" s="454">
        <v>6</v>
      </c>
      <c r="E36" s="455"/>
    </row>
    <row r="37" spans="1:11" s="366" customFormat="1" x14ac:dyDescent="0.2">
      <c r="A37" s="448"/>
      <c r="D37" s="456"/>
      <c r="E37" s="457"/>
      <c r="F37" s="366" t="s">
        <v>155</v>
      </c>
      <c r="I37" s="452">
        <v>7</v>
      </c>
    </row>
    <row r="38" spans="1:11" s="366" customFormat="1" x14ac:dyDescent="0.2">
      <c r="A38" s="447" t="s">
        <v>286</v>
      </c>
      <c r="B38" s="458" t="s">
        <v>160</v>
      </c>
      <c r="C38" s="459">
        <v>11</v>
      </c>
      <c r="E38" s="457"/>
      <c r="F38" s="449"/>
      <c r="G38" s="449"/>
      <c r="H38" s="455"/>
    </row>
    <row r="39" spans="1:11" s="366" customFormat="1" x14ac:dyDescent="0.2">
      <c r="A39" s="448"/>
      <c r="B39" s="449"/>
      <c r="C39" s="460" t="s">
        <v>162</v>
      </c>
      <c r="E39" s="461"/>
      <c r="F39" s="459">
        <v>7</v>
      </c>
      <c r="G39" s="456"/>
      <c r="H39" s="457"/>
    </row>
    <row r="40" spans="1:11" s="366" customFormat="1" x14ac:dyDescent="0.2">
      <c r="A40" s="447" t="s">
        <v>288</v>
      </c>
      <c r="B40" s="453" t="s">
        <v>162</v>
      </c>
      <c r="C40" s="466">
        <v>13</v>
      </c>
      <c r="D40" s="449"/>
      <c r="F40" s="456"/>
      <c r="G40" s="456"/>
      <c r="H40" s="457"/>
    </row>
    <row r="41" spans="1:11" s="366" customFormat="1" ht="13.5" thickBot="1" x14ac:dyDescent="0.25">
      <c r="A41" s="448"/>
      <c r="F41" s="456"/>
      <c r="G41" s="456"/>
      <c r="H41" s="457"/>
      <c r="J41" s="366" t="s">
        <v>157</v>
      </c>
    </row>
    <row r="42" spans="1:11" s="366" customFormat="1" x14ac:dyDescent="0.2">
      <c r="A42" s="447" t="s">
        <v>282</v>
      </c>
      <c r="B42" s="366" t="s">
        <v>157</v>
      </c>
      <c r="C42" s="452">
        <v>13</v>
      </c>
      <c r="F42" s="456"/>
      <c r="G42" s="456"/>
      <c r="H42" s="457"/>
      <c r="I42" s="462"/>
      <c r="J42" s="463" t="s">
        <v>287</v>
      </c>
      <c r="K42" s="464"/>
    </row>
    <row r="43" spans="1:11" s="366" customFormat="1" x14ac:dyDescent="0.2">
      <c r="A43" s="448"/>
      <c r="B43" s="449"/>
      <c r="C43" s="450" t="s">
        <v>157</v>
      </c>
      <c r="D43" s="451"/>
      <c r="F43" s="459">
        <v>13</v>
      </c>
      <c r="G43" s="456"/>
      <c r="H43" s="457"/>
    </row>
    <row r="44" spans="1:11" s="366" customFormat="1" ht="13.5" thickBot="1" x14ac:dyDescent="0.25">
      <c r="A44" s="447" t="s">
        <v>283</v>
      </c>
      <c r="B44" s="451" t="s">
        <v>177</v>
      </c>
      <c r="C44" s="454">
        <v>0</v>
      </c>
      <c r="E44" s="455"/>
      <c r="F44" s="456"/>
      <c r="G44" s="456"/>
      <c r="H44" s="457"/>
      <c r="J44" s="465" t="s">
        <v>155</v>
      </c>
      <c r="K44" s="465"/>
    </row>
    <row r="45" spans="1:11" s="366" customFormat="1" x14ac:dyDescent="0.2">
      <c r="A45" s="448"/>
      <c r="D45" s="456"/>
      <c r="E45" s="457"/>
      <c r="F45" s="451" t="s">
        <v>157</v>
      </c>
      <c r="G45" s="451"/>
      <c r="H45" s="461"/>
      <c r="I45" s="452">
        <v>13</v>
      </c>
      <c r="J45" s="463" t="s">
        <v>289</v>
      </c>
    </row>
    <row r="46" spans="1:11" s="366" customFormat="1" x14ac:dyDescent="0.2">
      <c r="A46" s="447" t="s">
        <v>284</v>
      </c>
      <c r="B46" s="366" t="s">
        <v>170</v>
      </c>
      <c r="C46" s="459">
        <v>2</v>
      </c>
      <c r="E46" s="457"/>
    </row>
    <row r="47" spans="1:11" s="366" customFormat="1" x14ac:dyDescent="0.2">
      <c r="A47" s="448"/>
      <c r="B47" s="449"/>
      <c r="C47" s="460" t="s">
        <v>156</v>
      </c>
      <c r="E47" s="461"/>
      <c r="F47" s="452">
        <v>11</v>
      </c>
    </row>
    <row r="48" spans="1:11" s="366" customFormat="1" x14ac:dyDescent="0.2">
      <c r="A48" s="447" t="s">
        <v>285</v>
      </c>
      <c r="B48" s="451" t="s">
        <v>156</v>
      </c>
      <c r="C48" s="466">
        <v>13</v>
      </c>
      <c r="D48" s="449"/>
    </row>
    <row r="49" spans="3:11" s="366" customFormat="1" x14ac:dyDescent="0.2">
      <c r="F49" s="366" t="s">
        <v>162</v>
      </c>
      <c r="I49" s="459">
        <v>12</v>
      </c>
      <c r="J49" s="456"/>
      <c r="K49" s="456"/>
    </row>
    <row r="50" spans="3:11" s="366" customFormat="1" ht="13.5" thickBot="1" x14ac:dyDescent="0.25">
      <c r="F50" s="449"/>
      <c r="G50" s="449"/>
      <c r="H50" s="455"/>
      <c r="I50" s="465"/>
      <c r="J50" s="465" t="s">
        <v>156</v>
      </c>
      <c r="K50" s="465"/>
    </row>
    <row r="51" spans="3:11" s="366" customFormat="1" x14ac:dyDescent="0.2">
      <c r="F51" s="451" t="s">
        <v>156</v>
      </c>
      <c r="G51" s="451"/>
      <c r="H51" s="461"/>
      <c r="I51" s="452">
        <v>13</v>
      </c>
      <c r="J51" s="467" t="s">
        <v>292</v>
      </c>
      <c r="K51" s="456"/>
    </row>
    <row r="52" spans="3:11" s="366" customFormat="1" x14ac:dyDescent="0.2">
      <c r="J52" s="456"/>
      <c r="K52" s="456"/>
    </row>
    <row r="53" spans="3:11" s="366" customFormat="1" ht="13.5" thickBot="1" x14ac:dyDescent="0.25">
      <c r="G53" s="456"/>
      <c r="H53" s="456"/>
      <c r="J53" s="465" t="s">
        <v>162</v>
      </c>
      <c r="K53" s="465"/>
    </row>
    <row r="54" spans="3:11" s="366" customFormat="1" x14ac:dyDescent="0.2">
      <c r="C54" s="366" t="s">
        <v>314</v>
      </c>
      <c r="F54" s="452">
        <v>7</v>
      </c>
      <c r="J54" s="468" t="s">
        <v>293</v>
      </c>
    </row>
    <row r="55" spans="3:11" s="366" customFormat="1" x14ac:dyDescent="0.2">
      <c r="C55" s="449"/>
      <c r="D55" s="449"/>
      <c r="E55" s="455"/>
      <c r="F55" s="450" t="s">
        <v>160</v>
      </c>
      <c r="G55" s="451"/>
      <c r="H55" s="451"/>
      <c r="I55" s="452">
        <v>7</v>
      </c>
    </row>
    <row r="56" spans="3:11" s="366" customFormat="1" x14ac:dyDescent="0.2">
      <c r="C56" s="451" t="s">
        <v>160</v>
      </c>
      <c r="D56" s="451"/>
      <c r="E56" s="461"/>
      <c r="F56" s="454">
        <v>13</v>
      </c>
      <c r="H56" s="457"/>
    </row>
    <row r="57" spans="3:11" s="366" customFormat="1" ht="13.5" thickBot="1" x14ac:dyDescent="0.25">
      <c r="F57" s="456"/>
      <c r="H57" s="457"/>
      <c r="J57" s="366" t="s">
        <v>177</v>
      </c>
    </row>
    <row r="58" spans="3:11" s="366" customFormat="1" x14ac:dyDescent="0.2">
      <c r="C58" s="366" t="s">
        <v>177</v>
      </c>
      <c r="F58" s="459">
        <v>13</v>
      </c>
      <c r="H58" s="457"/>
      <c r="I58" s="462"/>
      <c r="J58" s="463" t="s">
        <v>294</v>
      </c>
      <c r="K58" s="464"/>
    </row>
    <row r="59" spans="3:11" s="366" customFormat="1" x14ac:dyDescent="0.2">
      <c r="C59" s="449"/>
      <c r="D59" s="449"/>
      <c r="E59" s="455"/>
      <c r="F59" s="460" t="s">
        <v>177</v>
      </c>
      <c r="H59" s="461"/>
      <c r="I59" s="459">
        <v>13</v>
      </c>
    </row>
    <row r="60" spans="3:11" s="366" customFormat="1" ht="13.5" thickBot="1" x14ac:dyDescent="0.25">
      <c r="C60" s="451" t="s">
        <v>170</v>
      </c>
      <c r="D60" s="451"/>
      <c r="E60" s="461"/>
      <c r="F60" s="466">
        <v>7</v>
      </c>
      <c r="G60" s="449"/>
      <c r="I60" s="456"/>
      <c r="J60" s="456" t="s">
        <v>160</v>
      </c>
      <c r="K60" s="465"/>
    </row>
    <row r="61" spans="3:11" s="366" customFormat="1" x14ac:dyDescent="0.2">
      <c r="I61" s="456"/>
      <c r="J61" s="463" t="s">
        <v>295</v>
      </c>
      <c r="K61" s="456"/>
    </row>
    <row r="62" spans="3:11" s="366" customFormat="1" x14ac:dyDescent="0.2">
      <c r="F62" s="366" t="s">
        <v>314</v>
      </c>
      <c r="I62" s="459"/>
      <c r="J62" s="456"/>
      <c r="K62" s="456"/>
    </row>
    <row r="63" spans="3:11" s="366" customFormat="1" ht="13.5" thickBot="1" x14ac:dyDescent="0.25">
      <c r="F63" s="449"/>
      <c r="G63" s="449"/>
      <c r="H63" s="455"/>
      <c r="I63" s="465"/>
      <c r="J63" s="465" t="s">
        <v>170</v>
      </c>
      <c r="K63" s="465"/>
    </row>
    <row r="64" spans="3:11" s="366" customFormat="1" x14ac:dyDescent="0.2">
      <c r="F64" s="451" t="s">
        <v>170</v>
      </c>
      <c r="G64" s="451"/>
      <c r="H64" s="461"/>
      <c r="I64" s="452"/>
      <c r="J64" s="467" t="s">
        <v>296</v>
      </c>
      <c r="K64" s="456"/>
    </row>
    <row r="65" spans="1:11" s="366" customFormat="1" x14ac:dyDescent="0.2">
      <c r="J65" s="456"/>
      <c r="K65" s="456"/>
    </row>
    <row r="66" spans="1:11" s="366" customFormat="1" ht="13.5" thickBot="1" x14ac:dyDescent="0.25">
      <c r="J66" s="465" t="s">
        <v>314</v>
      </c>
      <c r="K66" s="465"/>
    </row>
    <row r="67" spans="1:11" s="366" customFormat="1" x14ac:dyDescent="0.2">
      <c r="G67" s="456"/>
      <c r="H67" s="456"/>
      <c r="J67" s="468" t="s">
        <v>297</v>
      </c>
    </row>
    <row r="68" spans="1:11" s="366" customFormat="1" x14ac:dyDescent="0.2">
      <c r="G68" s="456"/>
      <c r="H68" s="456"/>
    </row>
    <row r="69" spans="1:11" s="366" customFormat="1" x14ac:dyDescent="0.2">
      <c r="G69" s="456"/>
      <c r="H69" s="456"/>
    </row>
    <row r="70" spans="1:11" s="366" customFormat="1" x14ac:dyDescent="0.2">
      <c r="G70" s="456"/>
      <c r="H70" s="456"/>
      <c r="J70" s="468"/>
    </row>
    <row r="71" spans="1:11" s="366" customFormat="1" x14ac:dyDescent="0.2">
      <c r="A71" s="446" t="s">
        <v>298</v>
      </c>
    </row>
    <row r="72" spans="1:11" s="366" customFormat="1" x14ac:dyDescent="0.2">
      <c r="A72" s="446"/>
    </row>
    <row r="73" spans="1:11" s="366" customFormat="1" x14ac:dyDescent="0.2">
      <c r="A73" s="447" t="s">
        <v>299</v>
      </c>
      <c r="B73" s="366" t="s">
        <v>168</v>
      </c>
      <c r="C73" s="452">
        <v>13</v>
      </c>
    </row>
    <row r="74" spans="1:11" s="366" customFormat="1" x14ac:dyDescent="0.2">
      <c r="A74" s="448"/>
      <c r="B74" s="449"/>
      <c r="C74" s="450" t="s">
        <v>168</v>
      </c>
      <c r="D74" s="451"/>
      <c r="F74" s="452">
        <v>13</v>
      </c>
    </row>
    <row r="75" spans="1:11" s="366" customFormat="1" x14ac:dyDescent="0.2">
      <c r="A75" s="447"/>
      <c r="B75" s="453" t="s">
        <v>306</v>
      </c>
      <c r="C75" s="454">
        <v>0</v>
      </c>
      <c r="E75" s="455"/>
    </row>
    <row r="76" spans="1:11" s="366" customFormat="1" x14ac:dyDescent="0.2">
      <c r="A76" s="448"/>
      <c r="D76" s="456"/>
      <c r="E76" s="457"/>
      <c r="F76" s="366" t="s">
        <v>168</v>
      </c>
      <c r="I76" s="452">
        <v>12</v>
      </c>
    </row>
    <row r="77" spans="1:11" s="366" customFormat="1" x14ac:dyDescent="0.2">
      <c r="A77" s="447" t="s">
        <v>302</v>
      </c>
      <c r="B77" s="458" t="s">
        <v>175</v>
      </c>
      <c r="C77" s="459">
        <v>13</v>
      </c>
      <c r="E77" s="457"/>
      <c r="F77" s="449"/>
      <c r="G77" s="449"/>
      <c r="H77" s="455"/>
    </row>
    <row r="78" spans="1:11" s="366" customFormat="1" x14ac:dyDescent="0.2">
      <c r="A78" s="448"/>
      <c r="B78" s="449"/>
      <c r="C78" s="460" t="s">
        <v>175</v>
      </c>
      <c r="E78" s="461"/>
      <c r="F78" s="459">
        <v>9</v>
      </c>
      <c r="G78" s="456"/>
      <c r="H78" s="457"/>
    </row>
    <row r="79" spans="1:11" s="366" customFormat="1" x14ac:dyDescent="0.2">
      <c r="A79" s="447" t="s">
        <v>315</v>
      </c>
      <c r="B79" s="453" t="s">
        <v>313</v>
      </c>
      <c r="C79" s="466"/>
      <c r="D79" s="449"/>
      <c r="F79" s="456"/>
      <c r="G79" s="456"/>
      <c r="H79" s="457"/>
    </row>
    <row r="80" spans="1:11" s="366" customFormat="1" ht="13.5" thickBot="1" x14ac:dyDescent="0.25">
      <c r="A80" s="448"/>
      <c r="F80" s="456"/>
      <c r="G80" s="456"/>
      <c r="H80" s="457"/>
      <c r="J80" s="366" t="s">
        <v>176</v>
      </c>
    </row>
    <row r="81" spans="1:11" s="366" customFormat="1" x14ac:dyDescent="0.2">
      <c r="A81" s="447" t="s">
        <v>301</v>
      </c>
      <c r="B81" s="366" t="s">
        <v>184</v>
      </c>
      <c r="C81" s="452">
        <v>13</v>
      </c>
      <c r="F81" s="456"/>
      <c r="G81" s="456"/>
      <c r="H81" s="457"/>
      <c r="I81" s="462"/>
      <c r="J81" s="463" t="s">
        <v>303</v>
      </c>
      <c r="K81" s="464"/>
    </row>
    <row r="82" spans="1:11" s="366" customFormat="1" x14ac:dyDescent="0.2">
      <c r="A82" s="448"/>
      <c r="B82" s="449"/>
      <c r="C82" s="450" t="s">
        <v>184</v>
      </c>
      <c r="D82" s="451"/>
      <c r="F82" s="459">
        <v>5</v>
      </c>
      <c r="G82" s="456"/>
      <c r="H82" s="457"/>
    </row>
    <row r="83" spans="1:11" s="366" customFormat="1" ht="13.5" thickBot="1" x14ac:dyDescent="0.25">
      <c r="A83" s="447" t="s">
        <v>300</v>
      </c>
      <c r="B83" s="451" t="s">
        <v>159</v>
      </c>
      <c r="C83" s="454">
        <v>12</v>
      </c>
      <c r="E83" s="455"/>
      <c r="F83" s="456"/>
      <c r="G83" s="456"/>
      <c r="H83" s="457"/>
      <c r="J83" s="465" t="s">
        <v>168</v>
      </c>
      <c r="K83" s="465"/>
    </row>
    <row r="84" spans="1:11" s="366" customFormat="1" x14ac:dyDescent="0.2">
      <c r="A84" s="448"/>
      <c r="D84" s="456"/>
      <c r="E84" s="457"/>
      <c r="F84" s="451" t="s">
        <v>176</v>
      </c>
      <c r="G84" s="451"/>
      <c r="H84" s="461"/>
      <c r="I84" s="452">
        <v>13</v>
      </c>
      <c r="J84" s="463" t="s">
        <v>304</v>
      </c>
    </row>
    <row r="85" spans="1:11" s="366" customFormat="1" x14ac:dyDescent="0.2">
      <c r="A85" s="447" t="s">
        <v>305</v>
      </c>
      <c r="B85" s="366" t="s">
        <v>176</v>
      </c>
      <c r="C85" s="459">
        <v>13</v>
      </c>
      <c r="E85" s="457"/>
    </row>
    <row r="86" spans="1:11" s="366" customFormat="1" x14ac:dyDescent="0.2">
      <c r="A86" s="448"/>
      <c r="B86" s="449"/>
      <c r="C86" s="460" t="s">
        <v>176</v>
      </c>
      <c r="E86" s="461"/>
      <c r="F86" s="452">
        <v>13</v>
      </c>
    </row>
    <row r="87" spans="1:11" s="366" customFormat="1" x14ac:dyDescent="0.2">
      <c r="A87" s="447"/>
      <c r="B87" s="451" t="s">
        <v>306</v>
      </c>
      <c r="C87" s="466">
        <v>0</v>
      </c>
      <c r="D87" s="449"/>
    </row>
    <row r="88" spans="1:11" s="366" customFormat="1" x14ac:dyDescent="0.2">
      <c r="F88" s="366" t="s">
        <v>175</v>
      </c>
      <c r="I88" s="459">
        <v>0</v>
      </c>
      <c r="J88" s="456"/>
      <c r="K88" s="456"/>
    </row>
    <row r="89" spans="1:11" s="366" customFormat="1" ht="13.5" thickBot="1" x14ac:dyDescent="0.25">
      <c r="F89" s="449"/>
      <c r="G89" s="449"/>
      <c r="H89" s="455"/>
      <c r="I89" s="465"/>
      <c r="J89" s="465" t="s">
        <v>184</v>
      </c>
      <c r="K89" s="465"/>
    </row>
    <row r="90" spans="1:11" s="366" customFormat="1" x14ac:dyDescent="0.2">
      <c r="F90" s="451" t="s">
        <v>184</v>
      </c>
      <c r="G90" s="451"/>
      <c r="H90" s="461"/>
      <c r="I90" s="452">
        <v>13</v>
      </c>
      <c r="J90" s="467" t="s">
        <v>307</v>
      </c>
      <c r="K90" s="456"/>
    </row>
    <row r="91" spans="1:11" s="366" customFormat="1" x14ac:dyDescent="0.2">
      <c r="J91" s="456"/>
      <c r="K91" s="456"/>
    </row>
    <row r="92" spans="1:11" s="366" customFormat="1" ht="13.5" thickBot="1" x14ac:dyDescent="0.25">
      <c r="G92" s="456"/>
      <c r="H92" s="456"/>
      <c r="J92" s="465" t="s">
        <v>175</v>
      </c>
      <c r="K92" s="465"/>
    </row>
    <row r="93" spans="1:11" s="366" customFormat="1" x14ac:dyDescent="0.2">
      <c r="C93" s="366" t="s">
        <v>306</v>
      </c>
      <c r="F93" s="452">
        <v>0</v>
      </c>
      <c r="J93" s="468" t="s">
        <v>308</v>
      </c>
    </row>
    <row r="94" spans="1:11" s="366" customFormat="1" x14ac:dyDescent="0.2">
      <c r="C94" s="449"/>
      <c r="D94" s="449"/>
      <c r="E94" s="455"/>
      <c r="F94" s="450" t="s">
        <v>313</v>
      </c>
      <c r="G94" s="451"/>
      <c r="H94" s="451"/>
      <c r="I94" s="452">
        <v>11</v>
      </c>
    </row>
    <row r="95" spans="1:11" s="366" customFormat="1" x14ac:dyDescent="0.2">
      <c r="C95" s="451" t="s">
        <v>313</v>
      </c>
      <c r="D95" s="451"/>
      <c r="E95" s="461"/>
      <c r="F95" s="454">
        <v>13</v>
      </c>
      <c r="H95" s="457"/>
    </row>
    <row r="96" spans="1:11" s="366" customFormat="1" ht="13.5" thickBot="1" x14ac:dyDescent="0.25">
      <c r="F96" s="456"/>
      <c r="H96" s="457"/>
      <c r="J96" s="366" t="s">
        <v>159</v>
      </c>
    </row>
    <row r="97" spans="1:11" s="366" customFormat="1" x14ac:dyDescent="0.2">
      <c r="C97" s="366" t="s">
        <v>159</v>
      </c>
      <c r="F97" s="459">
        <v>13</v>
      </c>
      <c r="H97" s="457"/>
      <c r="I97" s="462"/>
      <c r="J97" s="463" t="s">
        <v>309</v>
      </c>
      <c r="K97" s="464"/>
    </row>
    <row r="98" spans="1:11" s="366" customFormat="1" x14ac:dyDescent="0.2">
      <c r="C98" s="449"/>
      <c r="D98" s="449"/>
      <c r="E98" s="455"/>
      <c r="F98" s="460" t="s">
        <v>159</v>
      </c>
      <c r="H98" s="461"/>
      <c r="I98" s="459">
        <v>13</v>
      </c>
    </row>
    <row r="99" spans="1:11" s="366" customFormat="1" ht="13.5" thickBot="1" x14ac:dyDescent="0.25">
      <c r="C99" s="451" t="s">
        <v>306</v>
      </c>
      <c r="D99" s="451"/>
      <c r="E99" s="461"/>
      <c r="F99" s="466">
        <v>0</v>
      </c>
      <c r="G99" s="449"/>
      <c r="I99" s="456"/>
      <c r="J99" s="456" t="s">
        <v>313</v>
      </c>
      <c r="K99" s="465"/>
    </row>
    <row r="100" spans="1:11" s="366" customFormat="1" x14ac:dyDescent="0.2">
      <c r="I100" s="456"/>
      <c r="J100" s="463" t="s">
        <v>310</v>
      </c>
      <c r="K100" s="456"/>
    </row>
    <row r="101" spans="1:11" s="366" customFormat="1" x14ac:dyDescent="0.2">
      <c r="F101" s="366" t="s">
        <v>306</v>
      </c>
      <c r="I101" s="459"/>
      <c r="J101" s="456"/>
      <c r="K101" s="456"/>
    </row>
    <row r="102" spans="1:11" s="366" customFormat="1" ht="13.5" thickBot="1" x14ac:dyDescent="0.25">
      <c r="F102" s="449"/>
      <c r="G102" s="449"/>
      <c r="H102" s="455"/>
      <c r="I102" s="465"/>
      <c r="J102" s="465"/>
      <c r="K102" s="465"/>
    </row>
    <row r="103" spans="1:11" s="366" customFormat="1" x14ac:dyDescent="0.2">
      <c r="F103" s="451" t="s">
        <v>306</v>
      </c>
      <c r="G103" s="451"/>
      <c r="H103" s="461"/>
      <c r="I103" s="452"/>
      <c r="J103" s="467" t="s">
        <v>311</v>
      </c>
      <c r="K103" s="456"/>
    </row>
    <row r="104" spans="1:11" s="366" customFormat="1" x14ac:dyDescent="0.2">
      <c r="J104" s="456"/>
      <c r="K104" s="456"/>
    </row>
    <row r="105" spans="1:11" s="366" customFormat="1" ht="13.5" thickBot="1" x14ac:dyDescent="0.25">
      <c r="G105" s="456"/>
      <c r="H105" s="456"/>
      <c r="J105" s="465"/>
      <c r="K105" s="465"/>
    </row>
    <row r="106" spans="1:11" s="366" customFormat="1" x14ac:dyDescent="0.2">
      <c r="G106" s="456"/>
      <c r="H106" s="456"/>
      <c r="J106" s="468" t="s">
        <v>312</v>
      </c>
    </row>
    <row r="108" spans="1:11" x14ac:dyDescent="0.2">
      <c r="A108" s="223">
        <v>1</v>
      </c>
      <c r="B108" s="224" t="s">
        <v>157</v>
      </c>
    </row>
    <row r="109" spans="1:11" x14ac:dyDescent="0.2">
      <c r="A109" s="223">
        <v>2</v>
      </c>
      <c r="B109" s="227" t="s">
        <v>155</v>
      </c>
    </row>
    <row r="110" spans="1:11" x14ac:dyDescent="0.2">
      <c r="A110" s="223">
        <v>3</v>
      </c>
      <c r="B110" s="229" t="s">
        <v>156</v>
      </c>
    </row>
    <row r="111" spans="1:11" x14ac:dyDescent="0.2">
      <c r="A111" s="223">
        <v>4</v>
      </c>
      <c r="B111" s="231" t="s">
        <v>162</v>
      </c>
    </row>
    <row r="112" spans="1:11" x14ac:dyDescent="0.2">
      <c r="A112" s="223">
        <v>5</v>
      </c>
      <c r="B112" s="231" t="s">
        <v>177</v>
      </c>
    </row>
    <row r="113" spans="1:2" x14ac:dyDescent="0.2">
      <c r="A113" s="223">
        <v>6</v>
      </c>
      <c r="B113" s="231" t="s">
        <v>160</v>
      </c>
    </row>
    <row r="114" spans="1:2" x14ac:dyDescent="0.2">
      <c r="A114" s="223">
        <v>7</v>
      </c>
      <c r="B114" s="231" t="s">
        <v>170</v>
      </c>
    </row>
    <row r="115" spans="1:2" x14ac:dyDescent="0.2">
      <c r="A115" s="223">
        <v>8</v>
      </c>
      <c r="B115" s="231" t="s">
        <v>314</v>
      </c>
    </row>
    <row r="116" spans="1:2" x14ac:dyDescent="0.2">
      <c r="A116" s="223">
        <v>9</v>
      </c>
      <c r="B116" s="231" t="s">
        <v>176</v>
      </c>
    </row>
    <row r="117" spans="1:2" x14ac:dyDescent="0.2">
      <c r="A117" s="223">
        <v>10</v>
      </c>
      <c r="B117" s="231" t="s">
        <v>168</v>
      </c>
    </row>
    <row r="118" spans="1:2" x14ac:dyDescent="0.2">
      <c r="A118" s="223">
        <v>11</v>
      </c>
      <c r="B118" s="231" t="s">
        <v>184</v>
      </c>
    </row>
    <row r="119" spans="1:2" x14ac:dyDescent="0.2">
      <c r="A119" s="223">
        <v>12</v>
      </c>
      <c r="B119" s="231" t="s">
        <v>175</v>
      </c>
    </row>
    <row r="120" spans="1:2" x14ac:dyDescent="0.2">
      <c r="A120" s="223">
        <v>13</v>
      </c>
      <c r="B120" s="231" t="s">
        <v>159</v>
      </c>
    </row>
    <row r="121" spans="1:2" x14ac:dyDescent="0.2">
      <c r="A121" s="223">
        <v>14</v>
      </c>
      <c r="B121" s="231" t="s">
        <v>313</v>
      </c>
    </row>
  </sheetData>
  <conditionalFormatting sqref="C7:I17 C22:I22 I18:I21 C18:G21 C23:H26 C67:I103 C27:I64">
    <cfRule type="cellIs" dxfId="887" priority="1" operator="equal">
      <formula>13</formula>
    </cfRule>
  </conditionalFormatting>
  <pageMargins left="0.78740157480314965" right="0.39370078740157483" top="0.78740157480314965" bottom="0.39370078740157483" header="0.59055118110236227" footer="0"/>
  <pageSetup paperSize="9" fitToHeight="0" orientation="portrait" verticalDpi="1200" r:id="rId1"/>
  <headerFooter>
    <oddHeader>&amp;R&amp;9Page &amp;P of &amp;N</oddHeader>
  </headerFooter>
  <rowBreaks count="2" manualBreakCount="2">
    <brk id="30" max="16383" man="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87"/>
  <sheetViews>
    <sheetView showGridLines="0" showRowColHeaders="0" zoomScaleNormal="100" workbookViewId="0">
      <pane ySplit="2" topLeftCell="A3" activePane="bottomLeft" state="frozen"/>
      <selection activeCell="Q1" sqref="Q1"/>
      <selection pane="bottomLeft" activeCell="G1" sqref="G1"/>
    </sheetView>
  </sheetViews>
  <sheetFormatPr defaultColWidth="9.42578125" defaultRowHeight="12.75" x14ac:dyDescent="0.2"/>
  <cols>
    <col min="1" max="1" width="3.28515625" style="2" customWidth="1"/>
    <col min="2" max="2" width="45.140625" style="2" bestFit="1" customWidth="1"/>
    <col min="3" max="3" width="7.28515625" style="2" customWidth="1"/>
    <col min="4" max="4" width="7.42578125" style="2" bestFit="1" customWidth="1"/>
    <col min="5" max="5" width="9.140625" style="2" bestFit="1" customWidth="1"/>
    <col min="6" max="6" width="6.7109375" style="2" bestFit="1" customWidth="1"/>
    <col min="7" max="7" width="5.140625" style="2" bestFit="1" customWidth="1"/>
    <col min="8" max="8" width="6.7109375" style="2" customWidth="1"/>
    <col min="9" max="11" width="9.140625" style="2" customWidth="1"/>
    <col min="12" max="13" width="1.7109375" style="2" customWidth="1"/>
    <col min="14" max="185" width="9.140625" style="2" customWidth="1"/>
    <col min="186" max="16384" width="9.42578125" style="2"/>
  </cols>
  <sheetData>
    <row r="1" spans="1:7" x14ac:dyDescent="0.2">
      <c r="A1" s="1" t="str">
        <f>UPPER((Kalend!E6)&amp;" - "&amp;(Kalend!C6)&amp;" - "&amp;(Kalend!D6))</f>
        <v>1 - K-JÄRVE 16. KV 1. ETAPP - TRIO</v>
      </c>
      <c r="C1" s="113" t="str">
        <f>HYPERLINK("#Kalend!I1","Kalender")</f>
        <v>Kalender</v>
      </c>
      <c r="E1" s="113" t="str">
        <f>HYPERLINK("#Reit!K1","Reiting")</f>
        <v>Reiting</v>
      </c>
    </row>
    <row r="2" spans="1:7" x14ac:dyDescent="0.2">
      <c r="A2" s="2" t="str">
        <f>"Toimumisaeg: "&amp;(Kalend!A6)&amp;" kell "&amp;(Kalend!B6)</f>
        <v>Toimumisaeg: P, 07.05.2017 kell 11:00</v>
      </c>
    </row>
    <row r="3" spans="1:7" x14ac:dyDescent="0.2">
      <c r="A3" s="2" t="str">
        <f>"Toimumiskoht: "&amp;(Kalend!F6)</f>
        <v>Toimumiskoht: K-Järve spordihoone</v>
      </c>
    </row>
    <row r="4" spans="1:7" x14ac:dyDescent="0.2">
      <c r="A4" s="2" t="str">
        <f>"Korraldaja: "&amp;(Kalend!G6)</f>
        <v>Korraldaja: K-Järve SHK, Ivar Viljaste</v>
      </c>
    </row>
    <row r="6" spans="1:7" x14ac:dyDescent="0.2">
      <c r="A6" s="476" t="s">
        <v>255</v>
      </c>
      <c r="B6" s="477"/>
      <c r="C6" s="478" t="s">
        <v>256</v>
      </c>
      <c r="D6" s="479" t="s">
        <v>257</v>
      </c>
      <c r="E6" s="479" t="s">
        <v>258</v>
      </c>
      <c r="F6" s="478" t="s">
        <v>254</v>
      </c>
      <c r="G6" s="478" t="s">
        <v>145</v>
      </c>
    </row>
    <row r="7" spans="1:7" x14ac:dyDescent="0.2">
      <c r="A7" s="479">
        <v>1</v>
      </c>
      <c r="B7" s="482" t="s">
        <v>328</v>
      </c>
      <c r="C7" s="434">
        <v>13</v>
      </c>
      <c r="D7" s="434">
        <v>11</v>
      </c>
      <c r="E7" s="434"/>
      <c r="F7" s="434">
        <v>8</v>
      </c>
      <c r="G7" s="434" t="str">
        <f>IF(AND(COUNTIF(C7:F7,13)=0,COUNT(C7:F7)=2),"IV",IF(AND(COUNTIF(C7:F7,13)=1,COUNT(C7:F7)=3),"III",IF(AND(COUNTIF(C7:F7,13)=2,COUNT(C7:F7)=3),"II",IF(AND(COUNTIF(C7:F7,13)=2,COUNT(C7:F7)=2),"I"))))</f>
        <v>III</v>
      </c>
    </row>
    <row r="8" spans="1:7" x14ac:dyDescent="0.2">
      <c r="A8" s="479">
        <v>2</v>
      </c>
      <c r="B8" s="480" t="s">
        <v>388</v>
      </c>
      <c r="C8" s="434">
        <v>0</v>
      </c>
      <c r="D8" s="434"/>
      <c r="E8" s="434">
        <v>13</v>
      </c>
      <c r="F8" s="434">
        <v>13</v>
      </c>
      <c r="G8" s="434" t="str">
        <f t="shared" ref="G8:G9" si="0">IF(AND(COUNTIF(C8:F8,13)=0,COUNT(C8:F8)=2),"IV",IF(AND(COUNTIF(C8:F8,13)=1,COUNT(C8:F8)=3),"III",IF(AND(COUNTIF(C8:F8,13)=2,COUNT(C8:F8)=3),"II",IF(AND(COUNTIF(C8:F8,13)=2,COUNT(C8:F8)=2),"I"))))</f>
        <v>II</v>
      </c>
    </row>
    <row r="9" spans="1:7" x14ac:dyDescent="0.2">
      <c r="A9" s="479">
        <v>3</v>
      </c>
      <c r="B9" s="480" t="s">
        <v>320</v>
      </c>
      <c r="C9" s="434">
        <v>13</v>
      </c>
      <c r="D9" s="434">
        <v>13</v>
      </c>
      <c r="E9" s="434"/>
      <c r="F9" s="434"/>
      <c r="G9" s="434" t="str">
        <f t="shared" si="0"/>
        <v>I</v>
      </c>
    </row>
    <row r="10" spans="1:7" x14ac:dyDescent="0.2">
      <c r="A10" s="479">
        <v>4</v>
      </c>
      <c r="B10" s="481"/>
      <c r="C10" s="434">
        <v>0</v>
      </c>
      <c r="D10" s="434"/>
      <c r="E10" s="434">
        <v>0</v>
      </c>
      <c r="F10" s="434"/>
      <c r="G10" s="434"/>
    </row>
    <row r="12" spans="1:7" x14ac:dyDescent="0.2">
      <c r="A12" s="476" t="s">
        <v>318</v>
      </c>
      <c r="B12" s="477"/>
      <c r="C12" s="478" t="s">
        <v>256</v>
      </c>
      <c r="D12" s="479" t="s">
        <v>257</v>
      </c>
      <c r="E12" s="479" t="s">
        <v>258</v>
      </c>
      <c r="F12" s="478" t="s">
        <v>254</v>
      </c>
      <c r="G12" s="478" t="s">
        <v>145</v>
      </c>
    </row>
    <row r="13" spans="1:7" x14ac:dyDescent="0.2">
      <c r="A13" s="479">
        <v>1</v>
      </c>
      <c r="B13" s="482" t="s">
        <v>321</v>
      </c>
      <c r="C13" s="434">
        <v>5</v>
      </c>
      <c r="D13" s="434"/>
      <c r="E13" s="434">
        <v>2</v>
      </c>
      <c r="F13" s="434"/>
      <c r="G13" s="434" t="str">
        <f>IF(AND(COUNTIF(C13:F13,13)=0,COUNT(C13:F13)=2),"IV",IF(AND(COUNTIF(C13:F13,13)=1,COUNT(C13:F13)=3),"III",IF(AND(COUNTIF(C13:F13,13)=2,COUNT(C13:F13)=3),"II",IF(AND(COUNTIF(C13:F13,13)=2,COUNT(C13:F13)=2),"I"))))</f>
        <v>IV</v>
      </c>
    </row>
    <row r="14" spans="1:7" x14ac:dyDescent="0.2">
      <c r="A14" s="479">
        <v>2</v>
      </c>
      <c r="B14" s="480" t="s">
        <v>322</v>
      </c>
      <c r="C14" s="434">
        <v>6</v>
      </c>
      <c r="D14" s="434"/>
      <c r="E14" s="434">
        <v>13</v>
      </c>
      <c r="F14" s="434">
        <v>4</v>
      </c>
      <c r="G14" s="434" t="str">
        <f t="shared" ref="G14:G16" si="1">IF(AND(COUNTIF(C14:F14,13)=0,COUNT(C14:F14)=2),"IV",IF(AND(COUNTIF(C14:F14,13)=1,COUNT(C14:F14)=3),"III",IF(AND(COUNTIF(C14:F14,13)=2,COUNT(C14:F14)=3),"II",IF(AND(COUNTIF(C14:F14,13)=2,COUNT(C14:F14)=2),"I"))))</f>
        <v>III</v>
      </c>
    </row>
    <row r="15" spans="1:7" x14ac:dyDescent="0.2">
      <c r="A15" s="479">
        <v>3</v>
      </c>
      <c r="B15" s="480" t="s">
        <v>323</v>
      </c>
      <c r="C15" s="434">
        <v>13</v>
      </c>
      <c r="D15" s="434">
        <v>13</v>
      </c>
      <c r="E15" s="434"/>
      <c r="F15" s="434"/>
      <c r="G15" s="434" t="str">
        <f t="shared" si="1"/>
        <v>I</v>
      </c>
    </row>
    <row r="16" spans="1:7" x14ac:dyDescent="0.2">
      <c r="A16" s="479">
        <v>4</v>
      </c>
      <c r="B16" s="481" t="s">
        <v>324</v>
      </c>
      <c r="C16" s="434">
        <v>13</v>
      </c>
      <c r="D16" s="434">
        <v>11</v>
      </c>
      <c r="E16" s="434"/>
      <c r="F16" s="434">
        <v>13</v>
      </c>
      <c r="G16" s="434" t="str">
        <f t="shared" si="1"/>
        <v>II</v>
      </c>
    </row>
    <row r="18" spans="1:11" x14ac:dyDescent="0.2">
      <c r="A18" s="476" t="s">
        <v>319</v>
      </c>
      <c r="B18" s="477"/>
      <c r="C18" s="478" t="s">
        <v>256</v>
      </c>
      <c r="D18" s="479" t="s">
        <v>257</v>
      </c>
      <c r="E18" s="479" t="s">
        <v>258</v>
      </c>
      <c r="F18" s="478" t="s">
        <v>254</v>
      </c>
      <c r="G18" s="478" t="s">
        <v>145</v>
      </c>
    </row>
    <row r="19" spans="1:11" x14ac:dyDescent="0.2">
      <c r="A19" s="479">
        <v>1</v>
      </c>
      <c r="B19" s="483" t="s">
        <v>325</v>
      </c>
      <c r="C19" s="434">
        <v>13</v>
      </c>
      <c r="D19" s="434">
        <v>8</v>
      </c>
      <c r="E19" s="434"/>
      <c r="F19" s="434">
        <v>7</v>
      </c>
      <c r="G19" s="434" t="str">
        <f>IF(AND(COUNTIF(C19:F19,13)=0,COUNT(C19:F19)=2),"IV",IF(AND(COUNTIF(C19:F19,13)=1,COUNT(C19:F19)=3),"III",IF(AND(COUNTIF(C19:F19,13)=2,COUNT(C19:F19)=3),"II",IF(AND(COUNTIF(C19:F19,13)=2,COUNT(C19:F19)=2),"I"))))</f>
        <v>III</v>
      </c>
    </row>
    <row r="20" spans="1:11" x14ac:dyDescent="0.2">
      <c r="A20" s="479">
        <v>2</v>
      </c>
      <c r="B20" s="480" t="s">
        <v>326</v>
      </c>
      <c r="C20" s="434">
        <v>12</v>
      </c>
      <c r="D20" s="434"/>
      <c r="E20" s="434">
        <v>13</v>
      </c>
      <c r="F20" s="434">
        <v>13</v>
      </c>
      <c r="G20" s="434" t="str">
        <f t="shared" ref="G20:G21" si="2">IF(AND(COUNTIF(C20:F20,13)=0,COUNT(C20:F20)=2),"IV",IF(AND(COUNTIF(C20:F20,13)=1,COUNT(C20:F20)=3),"III",IF(AND(COUNTIF(C20:F20,13)=2,COUNT(C20:F20)=3),"II",IF(AND(COUNTIF(C20:F20,13)=2,COUNT(C20:F20)=2),"I"))))</f>
        <v>II</v>
      </c>
    </row>
    <row r="21" spans="1:11" x14ac:dyDescent="0.2">
      <c r="A21" s="479">
        <v>3</v>
      </c>
      <c r="B21" s="480" t="s">
        <v>327</v>
      </c>
      <c r="C21" s="434">
        <v>13</v>
      </c>
      <c r="D21" s="434">
        <v>13</v>
      </c>
      <c r="E21" s="434"/>
      <c r="F21" s="434"/>
      <c r="G21" s="434" t="str">
        <f t="shared" si="2"/>
        <v>I</v>
      </c>
    </row>
    <row r="22" spans="1:11" x14ac:dyDescent="0.2">
      <c r="A22" s="479">
        <v>4</v>
      </c>
      <c r="B22" s="481"/>
      <c r="C22" s="434">
        <v>0</v>
      </c>
      <c r="D22" s="434"/>
      <c r="E22" s="434">
        <v>0</v>
      </c>
      <c r="F22" s="434"/>
      <c r="G22" s="434"/>
    </row>
    <row r="23" spans="1:11" x14ac:dyDescent="0.2">
      <c r="A23" s="484"/>
      <c r="B23" s="485"/>
      <c r="C23" s="486"/>
      <c r="D23" s="486"/>
      <c r="E23" s="486"/>
      <c r="F23" s="486"/>
      <c r="G23" s="486"/>
    </row>
    <row r="24" spans="1:11" x14ac:dyDescent="0.2">
      <c r="A24" s="487" t="s">
        <v>566</v>
      </c>
      <c r="B24" s="488"/>
      <c r="C24" s="488"/>
      <c r="D24" s="488"/>
      <c r="E24" s="488"/>
      <c r="F24" s="488"/>
      <c r="G24" s="488"/>
      <c r="H24" s="152"/>
      <c r="I24" s="152"/>
      <c r="J24" s="152"/>
      <c r="K24" s="488"/>
    </row>
    <row r="25" spans="1:11" x14ac:dyDescent="0.2">
      <c r="A25" s="487"/>
      <c r="B25" s="488"/>
      <c r="C25" s="488"/>
      <c r="D25" s="488"/>
      <c r="E25" s="488"/>
      <c r="F25" s="488"/>
      <c r="G25" s="488"/>
      <c r="H25" s="152"/>
      <c r="I25" s="152"/>
      <c r="J25" s="152"/>
      <c r="K25" s="488"/>
    </row>
    <row r="26" spans="1:11" x14ac:dyDescent="0.2">
      <c r="A26" s="489" t="s">
        <v>286</v>
      </c>
      <c r="B26" s="528" t="s">
        <v>323</v>
      </c>
      <c r="C26" s="490">
        <v>13</v>
      </c>
      <c r="D26" s="488"/>
      <c r="E26" s="488"/>
      <c r="F26" s="488"/>
      <c r="G26" s="488"/>
      <c r="H26" s="488"/>
      <c r="I26" s="488"/>
      <c r="J26" s="488"/>
      <c r="K26" s="488"/>
    </row>
    <row r="27" spans="1:11" x14ac:dyDescent="0.2">
      <c r="A27" s="491"/>
      <c r="B27" s="492"/>
      <c r="C27" s="493" t="s">
        <v>323</v>
      </c>
      <c r="D27" s="488"/>
      <c r="E27" s="490">
        <v>13</v>
      </c>
      <c r="F27" s="488"/>
      <c r="G27" s="488"/>
      <c r="H27" s="488"/>
      <c r="I27" s="488"/>
      <c r="J27" s="488"/>
    </row>
    <row r="28" spans="1:11" x14ac:dyDescent="0.2">
      <c r="A28" s="489"/>
      <c r="B28" s="529" t="s">
        <v>306</v>
      </c>
      <c r="C28" s="496">
        <v>0</v>
      </c>
      <c r="D28" s="497"/>
      <c r="E28" s="488"/>
      <c r="F28" s="488"/>
      <c r="G28" s="488"/>
      <c r="H28" s="488"/>
      <c r="I28" s="488"/>
    </row>
    <row r="29" spans="1:11" x14ac:dyDescent="0.2">
      <c r="A29" s="491"/>
      <c r="B29" s="488"/>
      <c r="C29" s="488"/>
      <c r="D29" s="499"/>
      <c r="E29" s="488" t="s">
        <v>323</v>
      </c>
      <c r="F29" s="488"/>
      <c r="G29" s="490">
        <v>13</v>
      </c>
      <c r="H29" s="488"/>
      <c r="I29" s="488"/>
    </row>
    <row r="30" spans="1:11" x14ac:dyDescent="0.2">
      <c r="A30" s="489" t="s">
        <v>290</v>
      </c>
      <c r="B30" s="500" t="s">
        <v>320</v>
      </c>
      <c r="C30" s="501">
        <v>13</v>
      </c>
      <c r="D30" s="499"/>
      <c r="E30" s="492"/>
      <c r="F30" s="497"/>
      <c r="G30" s="488"/>
      <c r="H30" s="488"/>
      <c r="I30" s="488"/>
    </row>
    <row r="31" spans="1:11" x14ac:dyDescent="0.2">
      <c r="A31" s="491"/>
      <c r="B31" s="492"/>
      <c r="C31" s="502" t="s">
        <v>320</v>
      </c>
      <c r="D31" s="503"/>
      <c r="E31" s="501">
        <v>8</v>
      </c>
      <c r="F31" s="499"/>
      <c r="G31" s="488"/>
      <c r="H31" s="488"/>
      <c r="I31" s="488"/>
    </row>
    <row r="32" spans="1:11" x14ac:dyDescent="0.2">
      <c r="A32" s="489" t="s">
        <v>291</v>
      </c>
      <c r="B32" s="495" t="s">
        <v>326</v>
      </c>
      <c r="C32" s="504">
        <v>5</v>
      </c>
      <c r="D32" s="488"/>
      <c r="E32" s="498"/>
      <c r="F32" s="499"/>
      <c r="G32" s="488"/>
      <c r="H32" s="488"/>
      <c r="I32" s="488"/>
    </row>
    <row r="33" spans="1:9" ht="13.5" thickBot="1" x14ac:dyDescent="0.25">
      <c r="A33" s="491"/>
      <c r="B33" s="488"/>
      <c r="C33" s="488"/>
      <c r="D33" s="488"/>
      <c r="E33" s="498"/>
      <c r="F33" s="499"/>
      <c r="G33" s="488"/>
      <c r="H33" s="488" t="s">
        <v>323</v>
      </c>
      <c r="I33" s="488"/>
    </row>
    <row r="34" spans="1:9" x14ac:dyDescent="0.2">
      <c r="A34" s="489" t="s">
        <v>285</v>
      </c>
      <c r="B34" s="488" t="s">
        <v>388</v>
      </c>
      <c r="C34" s="490">
        <v>11</v>
      </c>
      <c r="D34" s="488"/>
      <c r="E34" s="498"/>
      <c r="F34" s="499"/>
      <c r="G34" s="505"/>
      <c r="H34" s="506" t="s">
        <v>287</v>
      </c>
      <c r="I34" s="507"/>
    </row>
    <row r="35" spans="1:9" x14ac:dyDescent="0.2">
      <c r="A35" s="491"/>
      <c r="B35" s="492"/>
      <c r="C35" s="493" t="s">
        <v>324</v>
      </c>
      <c r="D35" s="488"/>
      <c r="E35" s="501">
        <v>13</v>
      </c>
      <c r="F35" s="499"/>
      <c r="G35" s="488"/>
      <c r="H35" s="488"/>
      <c r="I35" s="488"/>
    </row>
    <row r="36" spans="1:9" ht="13.5" thickBot="1" x14ac:dyDescent="0.25">
      <c r="A36" s="489" t="s">
        <v>283</v>
      </c>
      <c r="B36" s="494" t="s">
        <v>324</v>
      </c>
      <c r="C36" s="496">
        <v>13</v>
      </c>
      <c r="D36" s="497"/>
      <c r="E36" s="498"/>
      <c r="F36" s="499"/>
      <c r="G36" s="488"/>
      <c r="H36" s="508" t="s">
        <v>324</v>
      </c>
      <c r="I36" s="508"/>
    </row>
    <row r="37" spans="1:9" x14ac:dyDescent="0.2">
      <c r="A37" s="491"/>
      <c r="B37" s="488"/>
      <c r="C37" s="488"/>
      <c r="D37" s="499"/>
      <c r="E37" s="494" t="s">
        <v>324</v>
      </c>
      <c r="F37" s="503"/>
      <c r="G37" s="490">
        <v>11</v>
      </c>
      <c r="H37" s="506" t="s">
        <v>289</v>
      </c>
      <c r="I37" s="488"/>
    </row>
    <row r="38" spans="1:9" x14ac:dyDescent="0.2">
      <c r="A38" s="489"/>
      <c r="B38" s="528" t="s">
        <v>306</v>
      </c>
      <c r="C38" s="501">
        <v>0</v>
      </c>
      <c r="D38" s="499"/>
      <c r="E38" s="488"/>
      <c r="F38" s="488"/>
      <c r="G38" s="488"/>
      <c r="H38" s="488"/>
      <c r="I38" s="488"/>
    </row>
    <row r="39" spans="1:9" x14ac:dyDescent="0.2">
      <c r="A39" s="491"/>
      <c r="B39" s="492"/>
      <c r="C39" s="502" t="s">
        <v>327</v>
      </c>
      <c r="D39" s="503"/>
      <c r="E39" s="490">
        <v>12</v>
      </c>
      <c r="F39" s="488"/>
      <c r="G39" s="488"/>
      <c r="H39" s="488"/>
      <c r="I39" s="488"/>
    </row>
    <row r="40" spans="1:9" x14ac:dyDescent="0.2">
      <c r="A40" s="489" t="s">
        <v>282</v>
      </c>
      <c r="B40" s="494" t="s">
        <v>327</v>
      </c>
      <c r="C40" s="504">
        <v>13</v>
      </c>
      <c r="D40" s="488"/>
      <c r="E40" s="488"/>
      <c r="F40" s="488"/>
      <c r="G40" s="488"/>
      <c r="H40" s="488"/>
      <c r="I40" s="488"/>
    </row>
    <row r="41" spans="1:9" x14ac:dyDescent="0.2">
      <c r="A41" s="488"/>
      <c r="B41" s="488"/>
      <c r="C41" s="488"/>
      <c r="D41" s="488"/>
      <c r="E41" s="488" t="s">
        <v>320</v>
      </c>
      <c r="F41" s="488"/>
      <c r="G41" s="501">
        <v>9</v>
      </c>
      <c r="H41" s="498"/>
      <c r="I41" s="498"/>
    </row>
    <row r="42" spans="1:9" ht="13.5" thickBot="1" x14ac:dyDescent="0.25">
      <c r="A42" s="488"/>
      <c r="B42" s="488"/>
      <c r="C42" s="488"/>
      <c r="D42" s="488"/>
      <c r="E42" s="492"/>
      <c r="F42" s="497"/>
      <c r="G42" s="508"/>
      <c r="H42" s="508" t="s">
        <v>327</v>
      </c>
      <c r="I42" s="508"/>
    </row>
    <row r="43" spans="1:9" x14ac:dyDescent="0.2">
      <c r="A43" s="488"/>
      <c r="B43" s="488"/>
      <c r="C43" s="488"/>
      <c r="D43" s="488"/>
      <c r="E43" s="494" t="s">
        <v>327</v>
      </c>
      <c r="F43" s="503"/>
      <c r="G43" s="490">
        <v>13</v>
      </c>
      <c r="H43" s="509" t="s">
        <v>292</v>
      </c>
      <c r="I43" s="498"/>
    </row>
    <row r="44" spans="1:9" x14ac:dyDescent="0.2">
      <c r="A44" s="488"/>
      <c r="B44" s="488"/>
      <c r="C44" s="488"/>
      <c r="D44" s="488"/>
      <c r="E44" s="488"/>
      <c r="F44" s="488"/>
      <c r="G44" s="488"/>
      <c r="H44" s="498"/>
      <c r="I44" s="498"/>
    </row>
    <row r="45" spans="1:9" ht="13.5" thickBot="1" x14ac:dyDescent="0.25">
      <c r="A45" s="488"/>
      <c r="B45" s="488"/>
      <c r="C45" s="488"/>
      <c r="D45" s="488"/>
      <c r="E45" s="488"/>
      <c r="F45" s="498"/>
      <c r="G45" s="488"/>
      <c r="H45" s="508" t="s">
        <v>320</v>
      </c>
      <c r="I45" s="508"/>
    </row>
    <row r="46" spans="1:9" x14ac:dyDescent="0.2">
      <c r="A46" s="488"/>
      <c r="B46" s="488"/>
      <c r="C46" s="528" t="s">
        <v>306</v>
      </c>
      <c r="D46" s="488"/>
      <c r="E46" s="490">
        <v>0</v>
      </c>
      <c r="F46" s="488"/>
      <c r="G46" s="488"/>
      <c r="H46" s="510" t="s">
        <v>293</v>
      </c>
      <c r="I46" s="488"/>
    </row>
    <row r="47" spans="1:9" x14ac:dyDescent="0.2">
      <c r="A47" s="488"/>
      <c r="B47" s="488"/>
      <c r="C47" s="492"/>
      <c r="D47" s="497"/>
      <c r="E47" s="493" t="s">
        <v>326</v>
      </c>
      <c r="F47" s="494"/>
      <c r="G47" s="490">
        <v>13</v>
      </c>
      <c r="H47" s="488"/>
      <c r="I47" s="488"/>
    </row>
    <row r="48" spans="1:9" x14ac:dyDescent="0.2">
      <c r="A48" s="488"/>
      <c r="B48" s="488"/>
      <c r="C48" s="494" t="s">
        <v>326</v>
      </c>
      <c r="D48" s="503"/>
      <c r="E48" s="496">
        <v>13</v>
      </c>
      <c r="F48" s="499"/>
      <c r="G48" s="488"/>
      <c r="H48" s="488"/>
      <c r="I48" s="488"/>
    </row>
    <row r="49" spans="1:10" ht="13.5" thickBot="1" x14ac:dyDescent="0.25">
      <c r="A49" s="488"/>
      <c r="B49" s="488"/>
      <c r="C49" s="488"/>
      <c r="D49" s="488"/>
      <c r="E49" s="498"/>
      <c r="F49" s="499"/>
      <c r="G49" s="488"/>
      <c r="H49" s="488" t="s">
        <v>326</v>
      </c>
      <c r="I49" s="488"/>
    </row>
    <row r="50" spans="1:10" x14ac:dyDescent="0.2">
      <c r="A50" s="488"/>
      <c r="B50" s="488"/>
      <c r="C50" s="488" t="s">
        <v>388</v>
      </c>
      <c r="D50" s="488"/>
      <c r="E50" s="501">
        <v>13</v>
      </c>
      <c r="F50" s="499"/>
      <c r="G50" s="505"/>
      <c r="H50" s="506" t="s">
        <v>294</v>
      </c>
      <c r="I50" s="507"/>
    </row>
    <row r="51" spans="1:10" x14ac:dyDescent="0.2">
      <c r="A51" s="488"/>
      <c r="B51" s="488"/>
      <c r="C51" s="492"/>
      <c r="D51" s="497"/>
      <c r="E51" s="502" t="s">
        <v>388</v>
      </c>
      <c r="F51" s="503"/>
      <c r="G51" s="501">
        <v>4</v>
      </c>
      <c r="H51" s="488"/>
      <c r="I51" s="488"/>
    </row>
    <row r="52" spans="1:10" ht="13.5" thickBot="1" x14ac:dyDescent="0.25">
      <c r="A52" s="488"/>
      <c r="B52" s="488"/>
      <c r="C52" s="530" t="s">
        <v>306</v>
      </c>
      <c r="D52" s="503"/>
      <c r="E52" s="504">
        <v>0</v>
      </c>
      <c r="F52" s="488"/>
      <c r="G52" s="498"/>
      <c r="H52" s="498" t="s">
        <v>388</v>
      </c>
      <c r="I52" s="508"/>
    </row>
    <row r="53" spans="1:10" x14ac:dyDescent="0.2">
      <c r="A53" s="488"/>
      <c r="B53" s="488"/>
      <c r="C53" s="488"/>
      <c r="D53" s="488"/>
      <c r="E53" s="488"/>
      <c r="F53" s="488"/>
      <c r="G53" s="498"/>
      <c r="H53" s="506" t="s">
        <v>295</v>
      </c>
      <c r="I53" s="498"/>
    </row>
    <row r="54" spans="1:10" x14ac:dyDescent="0.2">
      <c r="A54" s="488"/>
      <c r="B54" s="488"/>
      <c r="C54" s="488"/>
      <c r="D54" s="488"/>
      <c r="E54" s="488"/>
      <c r="F54" s="488"/>
      <c r="G54" s="501"/>
      <c r="H54" s="498"/>
      <c r="I54" s="498"/>
    </row>
    <row r="55" spans="1:10" ht="13.5" thickBot="1" x14ac:dyDescent="0.25">
      <c r="A55" s="488"/>
      <c r="B55" s="488"/>
      <c r="C55" s="488"/>
      <c r="D55" s="488"/>
      <c r="E55" s="492"/>
      <c r="F55" s="497"/>
      <c r="G55" s="508"/>
      <c r="H55" s="508"/>
      <c r="I55" s="508"/>
    </row>
    <row r="56" spans="1:10" x14ac:dyDescent="0.2">
      <c r="A56" s="488"/>
      <c r="B56" s="488"/>
      <c r="C56" s="488"/>
      <c r="D56" s="488"/>
      <c r="E56" s="494"/>
      <c r="F56" s="503"/>
      <c r="G56" s="490"/>
      <c r="H56" s="509"/>
      <c r="I56" s="498"/>
    </row>
    <row r="57" spans="1:10" x14ac:dyDescent="0.2">
      <c r="A57" s="488"/>
      <c r="B57" s="488"/>
      <c r="C57" s="488"/>
      <c r="D57" s="488"/>
      <c r="E57" s="488"/>
      <c r="F57" s="488"/>
      <c r="G57" s="488"/>
      <c r="H57" s="498"/>
      <c r="I57" s="498"/>
    </row>
    <row r="58" spans="1:10" ht="13.5" thickBot="1" x14ac:dyDescent="0.25">
      <c r="A58" s="488"/>
      <c r="B58" s="488"/>
      <c r="C58" s="488"/>
      <c r="D58" s="488"/>
      <c r="E58" s="488"/>
      <c r="F58" s="498"/>
      <c r="G58" s="488"/>
      <c r="H58" s="508"/>
      <c r="I58" s="508"/>
    </row>
    <row r="59" spans="1:10" x14ac:dyDescent="0.2">
      <c r="A59" s="488"/>
      <c r="B59" s="488"/>
      <c r="C59" s="488"/>
      <c r="D59" s="488"/>
      <c r="E59" s="488"/>
      <c r="F59" s="498"/>
      <c r="G59" s="488"/>
      <c r="H59" s="498"/>
      <c r="I59" s="498"/>
    </row>
    <row r="60" spans="1:10" x14ac:dyDescent="0.2">
      <c r="A60" s="488"/>
      <c r="B60" s="488"/>
      <c r="C60" s="488"/>
      <c r="D60" s="488"/>
      <c r="E60" s="488"/>
      <c r="F60" s="498"/>
      <c r="G60" s="488"/>
      <c r="H60" s="510"/>
      <c r="I60" s="488"/>
    </row>
    <row r="61" spans="1:10" x14ac:dyDescent="0.2">
      <c r="A61" s="511" t="s">
        <v>574</v>
      </c>
      <c r="B61" s="154"/>
      <c r="C61" s="154"/>
      <c r="D61" s="154"/>
      <c r="E61" s="154"/>
      <c r="F61" s="154"/>
      <c r="G61" s="154"/>
      <c r="H61" s="154"/>
      <c r="I61" s="154"/>
      <c r="J61" s="154"/>
    </row>
    <row r="62" spans="1:10" x14ac:dyDescent="0.2">
      <c r="A62" s="511"/>
      <c r="B62" s="154"/>
      <c r="C62" s="154"/>
      <c r="D62" s="154"/>
      <c r="E62" s="154"/>
      <c r="F62" s="154"/>
      <c r="G62" s="154"/>
      <c r="H62" s="154"/>
      <c r="I62" s="154"/>
      <c r="J62" s="154"/>
    </row>
    <row r="63" spans="1:10" x14ac:dyDescent="0.2">
      <c r="A63" s="154"/>
      <c r="B63" s="512" t="s">
        <v>299</v>
      </c>
      <c r="C63" s="532" t="s">
        <v>325</v>
      </c>
      <c r="D63" s="436"/>
      <c r="E63" s="514">
        <v>13</v>
      </c>
      <c r="G63" s="436"/>
      <c r="H63" s="436"/>
      <c r="I63" s="436"/>
      <c r="J63" s="436"/>
    </row>
    <row r="64" spans="1:10" x14ac:dyDescent="0.2">
      <c r="A64" s="154"/>
      <c r="B64" s="154"/>
      <c r="C64" s="515"/>
      <c r="D64" s="516"/>
      <c r="E64" s="531" t="s">
        <v>325</v>
      </c>
      <c r="F64" s="436"/>
      <c r="G64" s="514">
        <v>13</v>
      </c>
      <c r="H64" s="436"/>
      <c r="I64" s="436"/>
    </row>
    <row r="65" spans="1:9" x14ac:dyDescent="0.2">
      <c r="A65" s="154"/>
      <c r="B65" s="512" t="s">
        <v>302</v>
      </c>
      <c r="C65" s="533" t="s">
        <v>322</v>
      </c>
      <c r="D65" s="519"/>
      <c r="E65" s="520">
        <v>11</v>
      </c>
      <c r="F65" s="516"/>
      <c r="G65" s="436"/>
      <c r="H65" s="436"/>
      <c r="I65" s="436"/>
    </row>
    <row r="66" spans="1:9" ht="13.5" thickBot="1" x14ac:dyDescent="0.25">
      <c r="A66" s="154"/>
      <c r="B66" s="154"/>
      <c r="C66" s="436"/>
      <c r="D66" s="436"/>
      <c r="E66" s="436"/>
      <c r="F66" s="521"/>
      <c r="G66" s="436"/>
      <c r="H66" s="436" t="s">
        <v>325</v>
      </c>
      <c r="I66" s="436"/>
    </row>
    <row r="67" spans="1:9" x14ac:dyDescent="0.2">
      <c r="A67" s="154"/>
      <c r="B67" s="512" t="s">
        <v>300</v>
      </c>
      <c r="C67" s="436" t="s">
        <v>321</v>
      </c>
      <c r="D67" s="436"/>
      <c r="E67" s="514">
        <v>1</v>
      </c>
      <c r="F67" s="521"/>
      <c r="G67" s="522"/>
      <c r="H67" s="523" t="s">
        <v>296</v>
      </c>
      <c r="I67" s="522"/>
    </row>
    <row r="68" spans="1:9" x14ac:dyDescent="0.2">
      <c r="A68" s="154"/>
      <c r="B68" s="154"/>
      <c r="C68" s="515"/>
      <c r="D68" s="516"/>
      <c r="E68" s="517" t="s">
        <v>328</v>
      </c>
      <c r="F68" s="519"/>
      <c r="G68" s="514">
        <v>8</v>
      </c>
      <c r="H68" s="436"/>
      <c r="I68" s="436"/>
    </row>
    <row r="69" spans="1:9" ht="13.5" thickBot="1" x14ac:dyDescent="0.25">
      <c r="A69" s="154"/>
      <c r="B69" s="512" t="s">
        <v>305</v>
      </c>
      <c r="C69" s="518" t="s">
        <v>328</v>
      </c>
      <c r="D69" s="519"/>
      <c r="E69" s="520">
        <v>13</v>
      </c>
      <c r="F69" s="513"/>
      <c r="G69" s="436"/>
      <c r="H69" s="513" t="s">
        <v>328</v>
      </c>
      <c r="I69" s="524"/>
    </row>
    <row r="70" spans="1:9" x14ac:dyDescent="0.2">
      <c r="A70" s="154"/>
      <c r="B70" s="154"/>
      <c r="C70" s="436"/>
      <c r="D70" s="436"/>
      <c r="E70" s="513"/>
      <c r="F70" s="513"/>
      <c r="G70" s="436"/>
      <c r="H70" s="523" t="s">
        <v>297</v>
      </c>
      <c r="I70" s="436"/>
    </row>
    <row r="71" spans="1:9" x14ac:dyDescent="0.2">
      <c r="A71" s="154"/>
      <c r="B71" s="154"/>
      <c r="C71" s="154"/>
      <c r="D71" s="513"/>
      <c r="E71" s="513" t="s">
        <v>322</v>
      </c>
      <c r="F71" s="436"/>
      <c r="G71" s="525">
        <v>13</v>
      </c>
      <c r="H71" s="436"/>
      <c r="I71" s="436"/>
    </row>
    <row r="72" spans="1:9" ht="13.5" thickBot="1" x14ac:dyDescent="0.25">
      <c r="A72" s="154"/>
      <c r="B72" s="154"/>
      <c r="C72" s="154"/>
      <c r="D72" s="513"/>
      <c r="E72" s="515"/>
      <c r="F72" s="516"/>
      <c r="G72" s="524"/>
      <c r="H72" s="524" t="s">
        <v>322</v>
      </c>
      <c r="I72" s="524"/>
    </row>
    <row r="73" spans="1:9" x14ac:dyDescent="0.2">
      <c r="A73" s="154"/>
      <c r="B73" s="154"/>
      <c r="C73" s="154"/>
      <c r="D73" s="513"/>
      <c r="E73" s="518" t="s">
        <v>321</v>
      </c>
      <c r="F73" s="519"/>
      <c r="G73" s="514">
        <v>1</v>
      </c>
      <c r="H73" s="526" t="s">
        <v>303</v>
      </c>
      <c r="I73" s="513"/>
    </row>
    <row r="74" spans="1:9" x14ac:dyDescent="0.2">
      <c r="A74" s="154"/>
      <c r="B74" s="154"/>
      <c r="C74" s="154"/>
      <c r="D74" s="513"/>
      <c r="E74" s="513"/>
      <c r="F74" s="436"/>
      <c r="G74" s="436"/>
      <c r="H74" s="513"/>
      <c r="I74" s="513"/>
    </row>
    <row r="75" spans="1:9" ht="13.5" thickBot="1" x14ac:dyDescent="0.25">
      <c r="A75" s="154"/>
      <c r="B75" s="154"/>
      <c r="C75" s="154"/>
      <c r="D75" s="513"/>
      <c r="E75" s="513"/>
      <c r="F75" s="513"/>
      <c r="G75" s="436"/>
      <c r="H75" s="534" t="s">
        <v>321</v>
      </c>
      <c r="I75" s="524"/>
    </row>
    <row r="76" spans="1:9" x14ac:dyDescent="0.2">
      <c r="A76" s="154"/>
      <c r="B76" s="154"/>
      <c r="C76" s="154"/>
      <c r="D76" s="513"/>
      <c r="E76" s="513"/>
      <c r="F76" s="513"/>
      <c r="G76" s="436"/>
      <c r="H76" s="527" t="s">
        <v>304</v>
      </c>
      <c r="I76" s="436"/>
    </row>
    <row r="77" spans="1:9" x14ac:dyDescent="0.2">
      <c r="A77" s="484"/>
      <c r="B77" s="485"/>
      <c r="C77" s="486"/>
      <c r="D77" s="486"/>
      <c r="E77" s="486"/>
      <c r="F77" s="486"/>
      <c r="G77" s="486"/>
    </row>
    <row r="78" spans="1:9" x14ac:dyDescent="0.2">
      <c r="A78" s="223">
        <v>1</v>
      </c>
      <c r="B78" s="224" t="s">
        <v>323</v>
      </c>
    </row>
    <row r="79" spans="1:9" x14ac:dyDescent="0.2">
      <c r="A79" s="223">
        <v>2</v>
      </c>
      <c r="B79" s="535" t="s">
        <v>324</v>
      </c>
    </row>
    <row r="80" spans="1:9" x14ac:dyDescent="0.2">
      <c r="A80" s="223">
        <v>3</v>
      </c>
      <c r="B80" s="536" t="s">
        <v>327</v>
      </c>
    </row>
    <row r="81" spans="1:2" x14ac:dyDescent="0.2">
      <c r="A81" s="223">
        <v>4</v>
      </c>
      <c r="B81" s="540" t="s">
        <v>320</v>
      </c>
    </row>
    <row r="82" spans="1:2" x14ac:dyDescent="0.2">
      <c r="A82" s="223">
        <v>5</v>
      </c>
      <c r="B82" s="540" t="s">
        <v>326</v>
      </c>
    </row>
    <row r="83" spans="1:2" x14ac:dyDescent="0.2">
      <c r="A83" s="223">
        <v>6</v>
      </c>
      <c r="B83" s="540" t="s">
        <v>388</v>
      </c>
    </row>
    <row r="84" spans="1:2" x14ac:dyDescent="0.2">
      <c r="A84" s="223">
        <v>7</v>
      </c>
      <c r="B84" s="540" t="s">
        <v>325</v>
      </c>
    </row>
    <row r="85" spans="1:2" x14ac:dyDescent="0.2">
      <c r="A85" s="223">
        <v>8</v>
      </c>
      <c r="B85" s="540" t="s">
        <v>328</v>
      </c>
    </row>
    <row r="86" spans="1:2" x14ac:dyDescent="0.2">
      <c r="A86" s="223">
        <v>9</v>
      </c>
      <c r="B86" s="540" t="s">
        <v>322</v>
      </c>
    </row>
    <row r="87" spans="1:2" x14ac:dyDescent="0.2">
      <c r="A87" s="223">
        <v>10</v>
      </c>
      <c r="B87" s="540" t="s">
        <v>321</v>
      </c>
    </row>
  </sheetData>
  <conditionalFormatting sqref="E22:E23 E77">
    <cfRule type="cellIs" dxfId="886" priority="2" operator="greaterThan">
      <formula>13</formula>
    </cfRule>
  </conditionalFormatting>
  <conditionalFormatting sqref="C7:F9 D10 F10">
    <cfRule type="cellIs" dxfId="885" priority="28" operator="equal">
      <formula>13</formula>
    </cfRule>
  </conditionalFormatting>
  <conditionalFormatting sqref="G7:G10">
    <cfRule type="duplicateValues" dxfId="884" priority="26"/>
    <cfRule type="cellIs" dxfId="883" priority="27" operator="equal">
      <formula>13</formula>
    </cfRule>
  </conditionalFormatting>
  <conditionalFormatting sqref="C7:F9 D10 F10">
    <cfRule type="cellIs" dxfId="882" priority="25" operator="greaterThan">
      <formula>13</formula>
    </cfRule>
  </conditionalFormatting>
  <conditionalFormatting sqref="B7:B10">
    <cfRule type="duplicateValues" dxfId="881" priority="24"/>
  </conditionalFormatting>
  <conditionalFormatting sqref="C10">
    <cfRule type="cellIs" dxfId="880" priority="23" operator="equal">
      <formula>13</formula>
    </cfRule>
  </conditionalFormatting>
  <conditionalFormatting sqref="C10">
    <cfRule type="cellIs" dxfId="879" priority="22" operator="greaterThan">
      <formula>13</formula>
    </cfRule>
  </conditionalFormatting>
  <conditionalFormatting sqref="E10">
    <cfRule type="cellIs" dxfId="878" priority="21" operator="equal">
      <formula>13</formula>
    </cfRule>
  </conditionalFormatting>
  <conditionalFormatting sqref="E10">
    <cfRule type="cellIs" dxfId="877" priority="20" operator="greaterThan">
      <formula>13</formula>
    </cfRule>
  </conditionalFormatting>
  <conditionalFormatting sqref="C13:F15 D16 F16">
    <cfRule type="cellIs" dxfId="876" priority="19" operator="equal">
      <formula>13</formula>
    </cfRule>
  </conditionalFormatting>
  <conditionalFormatting sqref="G13:G16">
    <cfRule type="duplicateValues" dxfId="875" priority="17"/>
    <cfRule type="cellIs" dxfId="874" priority="18" operator="equal">
      <formula>13</formula>
    </cfRule>
  </conditionalFormatting>
  <conditionalFormatting sqref="C13:F15 D16 F16">
    <cfRule type="cellIs" dxfId="873" priority="16" operator="greaterThan">
      <formula>13</formula>
    </cfRule>
  </conditionalFormatting>
  <conditionalFormatting sqref="B13:B16">
    <cfRule type="duplicateValues" dxfId="872" priority="15"/>
  </conditionalFormatting>
  <conditionalFormatting sqref="C16">
    <cfRule type="cellIs" dxfId="871" priority="14" operator="equal">
      <formula>13</formula>
    </cfRule>
  </conditionalFormatting>
  <conditionalFormatting sqref="C16">
    <cfRule type="cellIs" dxfId="870" priority="13" operator="greaterThan">
      <formula>13</formula>
    </cfRule>
  </conditionalFormatting>
  <conditionalFormatting sqref="E16">
    <cfRule type="cellIs" dxfId="869" priority="12" operator="equal">
      <formula>13</formula>
    </cfRule>
  </conditionalFormatting>
  <conditionalFormatting sqref="E16">
    <cfRule type="cellIs" dxfId="868" priority="11" operator="greaterThan">
      <formula>13</formula>
    </cfRule>
  </conditionalFormatting>
  <conditionalFormatting sqref="C19:F21 D22:D23 F22:F23 F77 D77">
    <cfRule type="cellIs" dxfId="867" priority="10" operator="equal">
      <formula>13</formula>
    </cfRule>
  </conditionalFormatting>
  <conditionalFormatting sqref="C19:F21 D22:D23 F22:F23 F77 D77">
    <cfRule type="cellIs" dxfId="866" priority="7" operator="greaterThan">
      <formula>13</formula>
    </cfRule>
  </conditionalFormatting>
  <conditionalFormatting sqref="C22:C23 C77">
    <cfRule type="cellIs" dxfId="865" priority="5" operator="equal">
      <formula>13</formula>
    </cfRule>
  </conditionalFormatting>
  <conditionalFormatting sqref="C22:C23 C77">
    <cfRule type="cellIs" dxfId="864" priority="4" operator="greaterThan">
      <formula>13</formula>
    </cfRule>
  </conditionalFormatting>
  <conditionalFormatting sqref="E22:E23 E77">
    <cfRule type="cellIs" dxfId="863" priority="3" operator="equal">
      <formula>13</formula>
    </cfRule>
  </conditionalFormatting>
  <conditionalFormatting sqref="C24:I26 C27:H27 C71:E73 B63:E70 G63:H63 F64:G73 C61:H62 C28:G60">
    <cfRule type="cellIs" dxfId="862" priority="1" stopIfTrue="1" operator="equal">
      <formula>13</formula>
    </cfRule>
  </conditionalFormatting>
  <conditionalFormatting sqref="G19:G23 G77">
    <cfRule type="duplicateValues" dxfId="861" priority="80"/>
    <cfRule type="cellIs" dxfId="860" priority="81" operator="equal">
      <formula>13</formula>
    </cfRule>
  </conditionalFormatting>
  <conditionalFormatting sqref="B19:B23 B77">
    <cfRule type="duplicateValues" dxfId="859" priority="84"/>
  </conditionalFormatting>
  <pageMargins left="0.78740157480314965" right="0.39370078740157483" top="0.78740157480314965" bottom="0.39370078740157483" header="0.59055118110236227" footer="0"/>
  <pageSetup paperSize="9" fitToHeight="0" orientation="landscape" r:id="rId1"/>
  <headerFooter>
    <oddHeader>&amp;R&amp;"Arial,Regular"&amp;9Page &amp;P of &amp;N</oddHeader>
  </headerFooter>
  <rowBreaks count="2" manualBreakCount="2">
    <brk id="22" max="16383" man="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64"/>
  <sheetViews>
    <sheetView showGridLines="0" showRowColHeaders="0" zoomScaleNormal="100" workbookViewId="0">
      <pane ySplit="2" topLeftCell="A3" activePane="bottomLeft" state="frozen"/>
      <selection activeCell="Q1" sqref="Q1"/>
      <selection pane="bottomLeft" activeCell="J1" sqref="J1"/>
    </sheetView>
  </sheetViews>
  <sheetFormatPr defaultRowHeight="12.75" x14ac:dyDescent="0.2"/>
  <cols>
    <col min="1" max="1" width="3.28515625" style="2" customWidth="1"/>
    <col min="2" max="2" width="32.7109375" style="2" bestFit="1" customWidth="1"/>
    <col min="3" max="9" width="6.7109375" style="2" customWidth="1"/>
    <col min="10" max="16384" width="9.140625" style="2"/>
  </cols>
  <sheetData>
    <row r="1" spans="1:9" x14ac:dyDescent="0.2">
      <c r="A1" s="1" t="str">
        <f>UPPER((Kalend!E8)&amp;" - "&amp;(Kalend!C8)&amp;" - "&amp;(Kalend!D8))</f>
        <v>2 - K-JÄRVE 16. KV 2. ETAPP - DUO</v>
      </c>
      <c r="F1" s="113" t="str">
        <f>HYPERLINK("#Kalend!I1","Kalender")</f>
        <v>Kalender</v>
      </c>
      <c r="H1" s="113" t="str">
        <f>HYPERLINK("#Reit!K1","Reiting")</f>
        <v>Reiting</v>
      </c>
    </row>
    <row r="2" spans="1:9" x14ac:dyDescent="0.2">
      <c r="A2" s="2" t="str">
        <f>"Toimumisaeg: "&amp;(Kalend!A8)&amp;" kell "&amp;(Kalend!B8)</f>
        <v>Toimumisaeg: P, 14.05.2017 kell 11:00</v>
      </c>
    </row>
    <row r="3" spans="1:9" x14ac:dyDescent="0.2">
      <c r="A3" s="2" t="str">
        <f>"Toimumiskoht: "&amp;(Kalend!F8)</f>
        <v>Toimumiskoht: K-Järve spordihoone</v>
      </c>
    </row>
    <row r="4" spans="1:9" x14ac:dyDescent="0.2">
      <c r="A4" s="2" t="str">
        <f>"Korraldaja: "&amp;(Kalend!G8)</f>
        <v>Korraldaja: K-Järve SHK, Ivar Viljaste</v>
      </c>
    </row>
    <row r="6" spans="1:9" x14ac:dyDescent="0.2">
      <c r="A6" s="435" t="s">
        <v>263</v>
      </c>
      <c r="B6" s="435"/>
      <c r="C6" s="429">
        <v>1</v>
      </c>
      <c r="D6" s="429">
        <v>2</v>
      </c>
      <c r="E6" s="429">
        <v>3</v>
      </c>
      <c r="F6" s="429">
        <v>4</v>
      </c>
      <c r="G6" s="429" t="s">
        <v>264</v>
      </c>
      <c r="H6" s="429" t="s">
        <v>83</v>
      </c>
    </row>
    <row r="7" spans="1:9" x14ac:dyDescent="0.2">
      <c r="A7" s="435">
        <v>1</v>
      </c>
      <c r="B7" s="481" t="s">
        <v>363</v>
      </c>
      <c r="C7" s="437"/>
      <c r="D7" s="438">
        <v>13</v>
      </c>
      <c r="E7" s="438">
        <v>13</v>
      </c>
      <c r="F7" s="438">
        <v>13</v>
      </c>
      <c r="G7" s="472" t="s">
        <v>268</v>
      </c>
      <c r="H7" s="469" t="s">
        <v>269</v>
      </c>
    </row>
    <row r="8" spans="1:9" x14ac:dyDescent="0.2">
      <c r="A8" s="435">
        <v>2</v>
      </c>
      <c r="B8" s="480" t="s">
        <v>365</v>
      </c>
      <c r="C8" s="438">
        <v>8</v>
      </c>
      <c r="D8" s="437"/>
      <c r="E8" s="438">
        <v>13</v>
      </c>
      <c r="F8" s="438">
        <v>13</v>
      </c>
      <c r="G8" s="472" t="s">
        <v>119</v>
      </c>
      <c r="H8" s="469" t="s">
        <v>267</v>
      </c>
    </row>
    <row r="9" spans="1:9" x14ac:dyDescent="0.2">
      <c r="A9" s="435">
        <v>3</v>
      </c>
      <c r="B9" s="470" t="s">
        <v>373</v>
      </c>
      <c r="C9" s="438">
        <v>12</v>
      </c>
      <c r="D9" s="439">
        <v>7</v>
      </c>
      <c r="E9" s="437"/>
      <c r="F9" s="438">
        <v>13</v>
      </c>
      <c r="G9" s="472" t="s">
        <v>265</v>
      </c>
      <c r="H9" s="439" t="s">
        <v>266</v>
      </c>
    </row>
    <row r="10" spans="1:9" x14ac:dyDescent="0.2">
      <c r="A10" s="435">
        <v>4</v>
      </c>
      <c r="B10" s="470" t="s">
        <v>335</v>
      </c>
      <c r="C10" s="438">
        <v>11</v>
      </c>
      <c r="D10" s="438">
        <v>2</v>
      </c>
      <c r="E10" s="438">
        <v>9</v>
      </c>
      <c r="F10" s="437"/>
      <c r="G10" s="472" t="s">
        <v>270</v>
      </c>
      <c r="H10" s="469" t="s">
        <v>120</v>
      </c>
    </row>
    <row r="11" spans="1:9" s="436" customFormat="1" hidden="1" x14ac:dyDescent="0.2"/>
    <row r="12" spans="1:9" s="436" customFormat="1" hidden="1" x14ac:dyDescent="0.2">
      <c r="B12" s="441" t="s">
        <v>114</v>
      </c>
      <c r="C12" s="442" t="s">
        <v>276</v>
      </c>
      <c r="D12" s="442" t="s">
        <v>277</v>
      </c>
    </row>
    <row r="13" spans="1:9" s="436" customFormat="1" hidden="1" x14ac:dyDescent="0.2">
      <c r="B13" s="441" t="s">
        <v>115</v>
      </c>
      <c r="C13" s="442" t="s">
        <v>278</v>
      </c>
      <c r="D13" s="442" t="s">
        <v>279</v>
      </c>
    </row>
    <row r="14" spans="1:9" s="436" customFormat="1" hidden="1" x14ac:dyDescent="0.2">
      <c r="B14" s="441" t="s">
        <v>116</v>
      </c>
      <c r="C14" s="442" t="s">
        <v>265</v>
      </c>
      <c r="D14" s="442" t="s">
        <v>280</v>
      </c>
    </row>
    <row r="16" spans="1:9" x14ac:dyDescent="0.2">
      <c r="A16" s="435" t="s">
        <v>271</v>
      </c>
      <c r="B16" s="435"/>
      <c r="C16" s="429">
        <v>1</v>
      </c>
      <c r="D16" s="429">
        <v>2</v>
      </c>
      <c r="E16" s="429">
        <v>3</v>
      </c>
      <c r="F16" s="429">
        <v>4</v>
      </c>
      <c r="G16" s="429">
        <v>5</v>
      </c>
      <c r="H16" s="429" t="s">
        <v>264</v>
      </c>
      <c r="I16" s="429" t="s">
        <v>83</v>
      </c>
    </row>
    <row r="17" spans="1:9" x14ac:dyDescent="0.2">
      <c r="A17" s="435">
        <v>1</v>
      </c>
      <c r="B17" s="470" t="s">
        <v>366</v>
      </c>
      <c r="C17" s="437"/>
      <c r="D17" s="438">
        <v>13</v>
      </c>
      <c r="E17" s="438">
        <v>13</v>
      </c>
      <c r="F17" s="438">
        <v>13</v>
      </c>
      <c r="G17" s="438">
        <v>12</v>
      </c>
      <c r="H17" s="472" t="s">
        <v>370</v>
      </c>
      <c r="I17" s="469" t="s">
        <v>269</v>
      </c>
    </row>
    <row r="18" spans="1:9" x14ac:dyDescent="0.2">
      <c r="A18" s="435">
        <v>2</v>
      </c>
      <c r="B18" s="470" t="s">
        <v>367</v>
      </c>
      <c r="C18" s="438">
        <v>11</v>
      </c>
      <c r="D18" s="437"/>
      <c r="E18" s="438">
        <v>13</v>
      </c>
      <c r="F18" s="438">
        <v>13</v>
      </c>
      <c r="G18" s="438">
        <v>13</v>
      </c>
      <c r="H18" s="472" t="s">
        <v>370</v>
      </c>
      <c r="I18" s="469" t="s">
        <v>267</v>
      </c>
    </row>
    <row r="19" spans="1:9" x14ac:dyDescent="0.2">
      <c r="A19" s="435">
        <v>3</v>
      </c>
      <c r="B19" s="470" t="s">
        <v>364</v>
      </c>
      <c r="C19" s="438">
        <v>12</v>
      </c>
      <c r="D19" s="438">
        <v>6</v>
      </c>
      <c r="E19" s="437"/>
      <c r="F19" s="438">
        <v>10</v>
      </c>
      <c r="G19" s="438">
        <v>13</v>
      </c>
      <c r="H19" s="472" t="s">
        <v>278</v>
      </c>
      <c r="I19" s="469" t="s">
        <v>372</v>
      </c>
    </row>
    <row r="20" spans="1:9" x14ac:dyDescent="0.2">
      <c r="A20" s="435">
        <v>4</v>
      </c>
      <c r="B20" s="470" t="s">
        <v>368</v>
      </c>
      <c r="C20" s="438">
        <v>0</v>
      </c>
      <c r="D20" s="438">
        <v>7</v>
      </c>
      <c r="E20" s="429">
        <v>11</v>
      </c>
      <c r="F20" s="437"/>
      <c r="G20" s="438">
        <v>11</v>
      </c>
      <c r="H20" s="472" t="s">
        <v>278</v>
      </c>
      <c r="I20" s="469" t="s">
        <v>120</v>
      </c>
    </row>
    <row r="21" spans="1:9" x14ac:dyDescent="0.2">
      <c r="A21" s="435">
        <v>5</v>
      </c>
      <c r="B21" s="470" t="s">
        <v>369</v>
      </c>
      <c r="C21" s="438">
        <v>13</v>
      </c>
      <c r="D21" s="438">
        <v>4</v>
      </c>
      <c r="E21" s="438">
        <v>4</v>
      </c>
      <c r="F21" s="438">
        <v>13</v>
      </c>
      <c r="G21" s="437"/>
      <c r="H21" s="472" t="s">
        <v>371</v>
      </c>
      <c r="I21" s="469" t="s">
        <v>266</v>
      </c>
    </row>
    <row r="23" spans="1:9" x14ac:dyDescent="0.2">
      <c r="B23" s="441" t="s">
        <v>114</v>
      </c>
      <c r="C23" s="442" t="s">
        <v>359</v>
      </c>
      <c r="D23" s="442" t="s">
        <v>279</v>
      </c>
    </row>
    <row r="24" spans="1:9" x14ac:dyDescent="0.2">
      <c r="B24" s="441" t="s">
        <v>115</v>
      </c>
      <c r="C24" s="442" t="s">
        <v>278</v>
      </c>
      <c r="D24" s="442" t="s">
        <v>360</v>
      </c>
    </row>
    <row r="25" spans="1:9" x14ac:dyDescent="0.2">
      <c r="B25" s="441" t="s">
        <v>116</v>
      </c>
      <c r="C25" s="442" t="s">
        <v>361</v>
      </c>
      <c r="D25" s="442" t="s">
        <v>280</v>
      </c>
    </row>
    <row r="26" spans="1:9" x14ac:dyDescent="0.2">
      <c r="B26" s="441" t="s">
        <v>117</v>
      </c>
      <c r="C26" s="442" t="s">
        <v>119</v>
      </c>
      <c r="D26" s="442" t="s">
        <v>362</v>
      </c>
    </row>
    <row r="27" spans="1:9" x14ac:dyDescent="0.2">
      <c r="B27" s="441" t="s">
        <v>118</v>
      </c>
      <c r="C27" s="442" t="s">
        <v>277</v>
      </c>
      <c r="D27" s="442" t="s">
        <v>276</v>
      </c>
    </row>
    <row r="29" spans="1:9" s="436" customFormat="1" x14ac:dyDescent="0.2">
      <c r="A29" s="548" t="s">
        <v>290</v>
      </c>
      <c r="B29" s="532" t="s">
        <v>363</v>
      </c>
      <c r="C29" s="514">
        <v>13</v>
      </c>
    </row>
    <row r="30" spans="1:9" s="436" customFormat="1" x14ac:dyDescent="0.2">
      <c r="A30" s="549"/>
      <c r="B30" s="515"/>
      <c r="C30" s="550" t="s">
        <v>363</v>
      </c>
      <c r="D30" s="518"/>
      <c r="F30" s="514">
        <v>1</v>
      </c>
    </row>
    <row r="31" spans="1:9" s="436" customFormat="1" x14ac:dyDescent="0.2">
      <c r="A31" s="549" t="s">
        <v>283</v>
      </c>
      <c r="B31" s="518" t="s">
        <v>367</v>
      </c>
      <c r="C31" s="551">
        <v>12</v>
      </c>
      <c r="E31" s="516"/>
    </row>
    <row r="32" spans="1:9" s="436" customFormat="1" ht="13.5" thickBot="1" x14ac:dyDescent="0.25">
      <c r="A32" s="549"/>
      <c r="D32" s="513"/>
      <c r="E32" s="521"/>
      <c r="G32" s="532" t="s">
        <v>365</v>
      </c>
    </row>
    <row r="33" spans="1:9" s="436" customFormat="1" x14ac:dyDescent="0.2">
      <c r="A33" s="549" t="s">
        <v>286</v>
      </c>
      <c r="B33" s="436" t="s">
        <v>366</v>
      </c>
      <c r="C33" s="525">
        <v>4</v>
      </c>
      <c r="E33" s="521"/>
      <c r="F33" s="552"/>
      <c r="G33" s="523" t="s">
        <v>287</v>
      </c>
      <c r="H33" s="522"/>
    </row>
    <row r="34" spans="1:9" s="436" customFormat="1" x14ac:dyDescent="0.2">
      <c r="A34" s="549"/>
      <c r="B34" s="515"/>
      <c r="C34" s="517" t="s">
        <v>365</v>
      </c>
      <c r="E34" s="519"/>
      <c r="F34" s="525">
        <v>13</v>
      </c>
    </row>
    <row r="35" spans="1:9" s="436" customFormat="1" ht="13.5" thickBot="1" x14ac:dyDescent="0.25">
      <c r="A35" s="549" t="s">
        <v>285</v>
      </c>
      <c r="B35" s="518" t="s">
        <v>365</v>
      </c>
      <c r="C35" s="520">
        <v>13</v>
      </c>
      <c r="D35" s="515"/>
      <c r="F35" s="513"/>
      <c r="G35" s="513" t="s">
        <v>363</v>
      </c>
      <c r="H35" s="524"/>
    </row>
    <row r="36" spans="1:9" s="436" customFormat="1" x14ac:dyDescent="0.2">
      <c r="A36" s="527"/>
      <c r="F36" s="513"/>
      <c r="G36" s="523" t="s">
        <v>289</v>
      </c>
      <c r="H36" s="513"/>
    </row>
    <row r="37" spans="1:9" s="436" customFormat="1" x14ac:dyDescent="0.2">
      <c r="A37" s="527"/>
      <c r="C37" s="436" t="s">
        <v>367</v>
      </c>
      <c r="F37" s="525">
        <v>13</v>
      </c>
      <c r="G37" s="513"/>
      <c r="H37" s="513"/>
    </row>
    <row r="38" spans="1:9" s="436" customFormat="1" ht="13.5" thickBot="1" x14ac:dyDescent="0.25">
      <c r="A38" s="527"/>
      <c r="C38" s="515"/>
      <c r="D38" s="515"/>
      <c r="E38" s="516"/>
      <c r="F38" s="524"/>
      <c r="G38" s="524" t="s">
        <v>367</v>
      </c>
      <c r="H38" s="524"/>
    </row>
    <row r="39" spans="1:9" s="436" customFormat="1" x14ac:dyDescent="0.2">
      <c r="A39" s="527"/>
      <c r="C39" s="518" t="s">
        <v>366</v>
      </c>
      <c r="D39" s="518"/>
      <c r="E39" s="519"/>
      <c r="F39" s="514">
        <v>9</v>
      </c>
      <c r="G39" s="526" t="s">
        <v>292</v>
      </c>
      <c r="H39" s="513"/>
    </row>
    <row r="40" spans="1:9" s="436" customFormat="1" x14ac:dyDescent="0.2">
      <c r="A40" s="527"/>
      <c r="G40" s="513"/>
      <c r="H40" s="513"/>
    </row>
    <row r="41" spans="1:9" s="436" customFormat="1" ht="13.5" thickBot="1" x14ac:dyDescent="0.25">
      <c r="A41" s="527"/>
      <c r="D41" s="513"/>
      <c r="E41" s="513"/>
      <c r="G41" s="534" t="s">
        <v>366</v>
      </c>
      <c r="H41" s="524"/>
    </row>
    <row r="42" spans="1:9" s="436" customFormat="1" x14ac:dyDescent="0.2">
      <c r="A42" s="527"/>
      <c r="D42" s="513"/>
      <c r="E42" s="513"/>
      <c r="G42" s="527" t="s">
        <v>293</v>
      </c>
    </row>
    <row r="43" spans="1:9" s="436" customFormat="1" x14ac:dyDescent="0.2">
      <c r="A43" s="526"/>
      <c r="B43" s="513"/>
      <c r="C43" s="445"/>
      <c r="D43" s="442"/>
      <c r="E43" s="442"/>
      <c r="F43" s="486"/>
      <c r="G43" s="442"/>
      <c r="H43" s="445"/>
      <c r="I43" s="442"/>
    </row>
    <row r="44" spans="1:9" s="436" customFormat="1" x14ac:dyDescent="0.2">
      <c r="A44" s="553" t="s">
        <v>305</v>
      </c>
      <c r="B44" s="554" t="s">
        <v>373</v>
      </c>
      <c r="C44" s="555">
        <v>13</v>
      </c>
      <c r="D44" s="554"/>
      <c r="E44" s="554"/>
      <c r="F44" s="554"/>
      <c r="G44" s="554"/>
      <c r="H44" s="554"/>
    </row>
    <row r="45" spans="1:9" s="436" customFormat="1" x14ac:dyDescent="0.2">
      <c r="A45" s="556"/>
      <c r="B45" s="557"/>
      <c r="C45" s="558" t="s">
        <v>373</v>
      </c>
      <c r="D45" s="559"/>
      <c r="E45" s="559"/>
      <c r="F45" s="555">
        <v>13</v>
      </c>
      <c r="G45" s="554"/>
      <c r="H45" s="554"/>
    </row>
    <row r="46" spans="1:9" s="436" customFormat="1" x14ac:dyDescent="0.2">
      <c r="A46" s="556" t="s">
        <v>300</v>
      </c>
      <c r="B46" s="559" t="s">
        <v>368</v>
      </c>
      <c r="C46" s="560">
        <v>10</v>
      </c>
      <c r="D46" s="554"/>
      <c r="E46" s="561"/>
      <c r="F46" s="554"/>
      <c r="G46" s="554"/>
      <c r="H46" s="554"/>
    </row>
    <row r="47" spans="1:9" s="436" customFormat="1" ht="13.5" thickBot="1" x14ac:dyDescent="0.25">
      <c r="A47" s="556"/>
      <c r="B47" s="554"/>
      <c r="C47" s="562"/>
      <c r="D47" s="554"/>
      <c r="E47" s="561"/>
      <c r="F47" s="554"/>
      <c r="G47" s="554" t="s">
        <v>373</v>
      </c>
      <c r="H47" s="554"/>
    </row>
    <row r="48" spans="1:9" s="436" customFormat="1" x14ac:dyDescent="0.2">
      <c r="A48" s="556" t="s">
        <v>302</v>
      </c>
      <c r="B48" s="554" t="s">
        <v>369</v>
      </c>
      <c r="C48" s="563">
        <v>13</v>
      </c>
      <c r="D48" s="554"/>
      <c r="E48" s="561"/>
      <c r="F48" s="564"/>
      <c r="G48" s="565" t="s">
        <v>294</v>
      </c>
      <c r="H48" s="566"/>
    </row>
    <row r="49" spans="1:8" s="436" customFormat="1" x14ac:dyDescent="0.2">
      <c r="A49" s="556"/>
      <c r="B49" s="557"/>
      <c r="C49" s="567" t="s">
        <v>369</v>
      </c>
      <c r="D49" s="554"/>
      <c r="E49" s="568"/>
      <c r="F49" s="563">
        <v>8</v>
      </c>
      <c r="G49" s="554"/>
      <c r="H49" s="554"/>
    </row>
    <row r="50" spans="1:8" s="436" customFormat="1" ht="13.5" thickBot="1" x14ac:dyDescent="0.25">
      <c r="A50" s="556" t="s">
        <v>315</v>
      </c>
      <c r="B50" s="559" t="s">
        <v>335</v>
      </c>
      <c r="C50" s="569">
        <v>4</v>
      </c>
      <c r="D50" s="557"/>
      <c r="E50" s="554"/>
      <c r="F50" s="562"/>
      <c r="G50" s="562" t="s">
        <v>369</v>
      </c>
      <c r="H50" s="570"/>
    </row>
    <row r="51" spans="1:8" s="436" customFormat="1" x14ac:dyDescent="0.2">
      <c r="A51" s="554"/>
      <c r="B51" s="554"/>
      <c r="C51" s="554"/>
      <c r="D51" s="554"/>
      <c r="E51" s="554"/>
      <c r="F51" s="562"/>
      <c r="G51" s="565" t="s">
        <v>295</v>
      </c>
      <c r="H51" s="562"/>
    </row>
    <row r="52" spans="1:8" s="436" customFormat="1" x14ac:dyDescent="0.2">
      <c r="A52" s="554"/>
      <c r="B52" s="554"/>
      <c r="C52" s="554" t="s">
        <v>368</v>
      </c>
      <c r="D52" s="554"/>
      <c r="E52" s="554"/>
      <c r="F52" s="563">
        <v>13</v>
      </c>
      <c r="G52" s="562"/>
      <c r="H52" s="562"/>
    </row>
    <row r="53" spans="1:8" s="436" customFormat="1" ht="13.5" thickBot="1" x14ac:dyDescent="0.25">
      <c r="A53" s="554"/>
      <c r="B53" s="554"/>
      <c r="C53" s="557"/>
      <c r="D53" s="557"/>
      <c r="E53" s="571"/>
      <c r="F53" s="570"/>
      <c r="G53" s="570" t="s">
        <v>368</v>
      </c>
      <c r="H53" s="570"/>
    </row>
    <row r="54" spans="1:8" s="436" customFormat="1" x14ac:dyDescent="0.2">
      <c r="A54" s="554"/>
      <c r="B54" s="554"/>
      <c r="C54" s="559" t="s">
        <v>335</v>
      </c>
      <c r="D54" s="559"/>
      <c r="E54" s="568"/>
      <c r="F54" s="555">
        <v>7</v>
      </c>
      <c r="G54" s="572" t="s">
        <v>296</v>
      </c>
      <c r="H54" s="562"/>
    </row>
    <row r="55" spans="1:8" s="436" customFormat="1" x14ac:dyDescent="0.2">
      <c r="A55" s="554"/>
      <c r="B55" s="554"/>
      <c r="C55" s="554"/>
      <c r="D55" s="554"/>
      <c r="E55" s="554"/>
      <c r="F55" s="554"/>
      <c r="G55" s="562"/>
      <c r="H55" s="562"/>
    </row>
    <row r="56" spans="1:8" s="436" customFormat="1" ht="13.5" thickBot="1" x14ac:dyDescent="0.25">
      <c r="A56" s="223">
        <v>1</v>
      </c>
      <c r="B56" s="224" t="s">
        <v>365</v>
      </c>
      <c r="C56" s="554"/>
      <c r="D56" s="562"/>
      <c r="E56" s="562"/>
      <c r="F56" s="554"/>
      <c r="G56" s="570" t="s">
        <v>335</v>
      </c>
      <c r="H56" s="570"/>
    </row>
    <row r="57" spans="1:8" s="436" customFormat="1" x14ac:dyDescent="0.2">
      <c r="A57" s="223">
        <v>2</v>
      </c>
      <c r="B57" s="227" t="s">
        <v>363</v>
      </c>
      <c r="C57" s="554"/>
      <c r="D57" s="562"/>
      <c r="E57" s="562"/>
      <c r="F57" s="554"/>
      <c r="G57" s="573" t="s">
        <v>297</v>
      </c>
      <c r="H57" s="554"/>
    </row>
    <row r="58" spans="1:8" s="436" customFormat="1" x14ac:dyDescent="0.2">
      <c r="A58" s="223">
        <v>3</v>
      </c>
      <c r="B58" s="536" t="s">
        <v>367</v>
      </c>
      <c r="C58" s="554"/>
      <c r="D58" s="554"/>
      <c r="E58" s="554"/>
      <c r="F58" s="554"/>
      <c r="G58" s="562"/>
      <c r="H58" s="562"/>
    </row>
    <row r="59" spans="1:8" s="436" customFormat="1" ht="13.5" thickBot="1" x14ac:dyDescent="0.25">
      <c r="A59" s="223">
        <v>4</v>
      </c>
      <c r="B59" s="231" t="s">
        <v>366</v>
      </c>
      <c r="C59" s="554"/>
      <c r="D59" s="562"/>
      <c r="E59" s="562"/>
      <c r="F59" s="554"/>
      <c r="G59" s="570" t="s">
        <v>364</v>
      </c>
      <c r="H59" s="570"/>
    </row>
    <row r="60" spans="1:8" s="436" customFormat="1" x14ac:dyDescent="0.2">
      <c r="A60" s="223">
        <v>5</v>
      </c>
      <c r="B60" s="231" t="s">
        <v>373</v>
      </c>
      <c r="C60" s="554"/>
      <c r="D60" s="562"/>
      <c r="E60" s="562"/>
      <c r="F60" s="554"/>
      <c r="G60" s="573" t="s">
        <v>303</v>
      </c>
      <c r="H60" s="554"/>
    </row>
    <row r="61" spans="1:8" s="366" customFormat="1" x14ac:dyDescent="0.2">
      <c r="A61" s="223">
        <v>6</v>
      </c>
      <c r="B61" s="231" t="s">
        <v>369</v>
      </c>
    </row>
    <row r="62" spans="1:8" x14ac:dyDescent="0.2">
      <c r="A62" s="223">
        <v>7</v>
      </c>
      <c r="B62" s="231" t="s">
        <v>368</v>
      </c>
    </row>
    <row r="63" spans="1:8" x14ac:dyDescent="0.2">
      <c r="A63" s="223">
        <v>8</v>
      </c>
      <c r="B63" s="231" t="s">
        <v>335</v>
      </c>
    </row>
    <row r="64" spans="1:8" x14ac:dyDescent="0.2">
      <c r="A64" s="223">
        <v>9</v>
      </c>
      <c r="B64" s="540" t="s">
        <v>364</v>
      </c>
    </row>
  </sheetData>
  <conditionalFormatting sqref="C7:G54">
    <cfRule type="cellIs" dxfId="858" priority="1" operator="equal">
      <formula>13</formula>
    </cfRule>
  </conditionalFormatting>
  <pageMargins left="0.78740157480314965" right="0.39370078740157483" top="0.59055118110236227" bottom="0.31496062992125984" header="0.39370078740157483" footer="0"/>
  <pageSetup paperSize="9" fitToHeight="0" orientation="portrait" r:id="rId1"/>
  <headerFooter>
    <oddHeader>&amp;R&amp;"Arial,Regular"&amp;9Page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52"/>
  <sheetViews>
    <sheetView showGridLines="0" showRowColHeaders="0" zoomScaleNormal="100" workbookViewId="0">
      <pane ySplit="2" topLeftCell="A3" activePane="bottomLeft" state="frozen"/>
      <selection activeCell="Q1" sqref="Q1"/>
      <selection pane="bottomLeft" activeCell="K1" sqref="K1"/>
    </sheetView>
  </sheetViews>
  <sheetFormatPr defaultRowHeight="12.75" x14ac:dyDescent="0.2"/>
  <cols>
    <col min="1" max="1" width="3.28515625" style="2" customWidth="1"/>
    <col min="2" max="2" width="18.7109375" style="2" bestFit="1" customWidth="1"/>
    <col min="3" max="3" width="6.7109375" style="2" bestFit="1" customWidth="1"/>
    <col min="4" max="4" width="7.42578125" style="2" bestFit="1" customWidth="1"/>
    <col min="5" max="5" width="9.140625" style="2"/>
    <col min="6" max="6" width="6.7109375" style="2" bestFit="1" customWidth="1"/>
    <col min="7" max="7" width="5.140625" style="2" bestFit="1" customWidth="1"/>
    <col min="8" max="8" width="9.140625" style="2"/>
    <col min="9" max="9" width="9.140625" style="2" customWidth="1"/>
    <col min="10" max="10" width="14" style="2" bestFit="1" customWidth="1"/>
    <col min="11" max="12" width="9.140625" style="2" customWidth="1"/>
    <col min="13" max="13" width="9.140625" style="2"/>
    <col min="14" max="15" width="9.140625" style="2" customWidth="1"/>
    <col min="16" max="16384" width="9.140625" style="2"/>
  </cols>
  <sheetData>
    <row r="1" spans="1:10" x14ac:dyDescent="0.2">
      <c r="A1" s="151" t="str">
        <f>UPPER((Kalend!E11)&amp;" - "&amp;(Kalend!C11)&amp;" - "&amp;(Kalend!D11))</f>
        <v>3 - K-JÄRVE 16. KV 3. ETAPP - ÜKSIK</v>
      </c>
      <c r="H1" s="113" t="str">
        <f>HYPERLINK("#Kalend!I1","Kalender")</f>
        <v>Kalender</v>
      </c>
      <c r="J1" s="113" t="str">
        <f>HYPERLINK("#Reit!K1","Reiting")</f>
        <v>Reiting</v>
      </c>
    </row>
    <row r="2" spans="1:10" x14ac:dyDescent="0.2">
      <c r="A2" s="2" t="str">
        <f>"Toimumisaeg: "&amp;(Kalend!A11)&amp;" kell "&amp;(Kalend!B11)</f>
        <v>Toimumisaeg: N, 25.05.2017 kell 18:00</v>
      </c>
    </row>
    <row r="3" spans="1:10" x14ac:dyDescent="0.2">
      <c r="A3" s="2" t="str">
        <f>"Toimumiskoht: "&amp;(Kalend!F11)</f>
        <v>Toimumiskoht: K-Järve spordihoone</v>
      </c>
    </row>
    <row r="4" spans="1:10" x14ac:dyDescent="0.2">
      <c r="A4" s="2" t="str">
        <f>"Korraldaja: "&amp;(Kalend!G11)</f>
        <v>Korraldaja: K-Järve SHK, Ivar Viljaste</v>
      </c>
    </row>
    <row r="6" spans="1:10" x14ac:dyDescent="0.2">
      <c r="A6" s="427" t="s">
        <v>255</v>
      </c>
      <c r="B6" s="428"/>
      <c r="C6" s="429" t="s">
        <v>256</v>
      </c>
      <c r="D6" s="479" t="s">
        <v>257</v>
      </c>
      <c r="E6" s="479" t="s">
        <v>258</v>
      </c>
      <c r="F6" s="478" t="s">
        <v>254</v>
      </c>
      <c r="G6" s="478" t="s">
        <v>145</v>
      </c>
      <c r="H6" s="24"/>
    </row>
    <row r="7" spans="1:10" x14ac:dyDescent="0.2">
      <c r="A7" s="430">
        <v>1</v>
      </c>
      <c r="B7" s="482" t="s">
        <v>166</v>
      </c>
      <c r="C7" s="434">
        <v>13</v>
      </c>
      <c r="D7" s="434">
        <v>13</v>
      </c>
      <c r="E7" s="434"/>
      <c r="F7" s="434"/>
      <c r="G7" s="434" t="str">
        <f>IF(AND(COUNTIF(C7:F7,13)=0,COUNT(C7:F7)=2),"IV",IF(AND(COUNTIF(C7:F7,13)=1,COUNT(C7:F7)=3),"III",IF(AND(COUNTIF(C7:F7,13)=2,COUNT(C7:F7)=3),"II",IF(AND(COUNTIF(C7:F7,13)=2,COUNT(C7:F7)=2),"I"))))</f>
        <v>I</v>
      </c>
      <c r="H7" s="24"/>
    </row>
    <row r="8" spans="1:10" x14ac:dyDescent="0.2">
      <c r="A8" s="430">
        <v>2</v>
      </c>
      <c r="B8" s="538" t="s">
        <v>160</v>
      </c>
      <c r="C8" s="434">
        <v>13</v>
      </c>
      <c r="D8" s="434">
        <v>11</v>
      </c>
      <c r="E8" s="434"/>
      <c r="F8" s="434">
        <v>10</v>
      </c>
      <c r="G8" s="434" t="str">
        <f t="shared" ref="G8:G9" si="0">IF(AND(COUNTIF(C8:F8,13)=0,COUNT(C8:F8)=2),"IV",IF(AND(COUNTIF(C8:F8,13)=1,COUNT(C8:F8)=3),"III",IF(AND(COUNTIF(C8:F8,13)=2,COUNT(C8:F8)=3),"II",IF(AND(COUNTIF(C8:F8,13)=2,COUNT(C8:F8)=2),"I"))))</f>
        <v>III</v>
      </c>
      <c r="H8" s="24"/>
    </row>
    <row r="9" spans="1:10" x14ac:dyDescent="0.2">
      <c r="A9" s="430">
        <v>3</v>
      </c>
      <c r="B9" s="480" t="s">
        <v>173</v>
      </c>
      <c r="C9" s="434">
        <v>2</v>
      </c>
      <c r="D9" s="434"/>
      <c r="E9" s="434">
        <v>13</v>
      </c>
      <c r="F9" s="434">
        <v>13</v>
      </c>
      <c r="G9" s="434" t="str">
        <f t="shared" si="0"/>
        <v>II</v>
      </c>
      <c r="H9" s="24"/>
    </row>
    <row r="10" spans="1:10" x14ac:dyDescent="0.2">
      <c r="A10" s="430">
        <v>4</v>
      </c>
      <c r="B10" s="481"/>
      <c r="C10" s="434">
        <f>IF(ISBLANK(B10),0)</f>
        <v>0</v>
      </c>
      <c r="D10" s="434"/>
      <c r="E10" s="434">
        <v>0</v>
      </c>
      <c r="F10" s="434"/>
      <c r="G10" s="434"/>
      <c r="H10" s="24"/>
    </row>
    <row r="11" spans="1:10" x14ac:dyDescent="0.2">
      <c r="D11" s="24"/>
      <c r="E11" s="24"/>
      <c r="F11" s="24"/>
      <c r="G11" s="24"/>
      <c r="H11" s="24"/>
    </row>
    <row r="12" spans="1:10" x14ac:dyDescent="0.2">
      <c r="A12" s="427" t="s">
        <v>318</v>
      </c>
      <c r="B12" s="428"/>
      <c r="C12" s="429" t="s">
        <v>256</v>
      </c>
      <c r="D12" s="479" t="s">
        <v>257</v>
      </c>
      <c r="E12" s="479" t="s">
        <v>258</v>
      </c>
      <c r="F12" s="478" t="s">
        <v>254</v>
      </c>
      <c r="G12" s="478" t="s">
        <v>145</v>
      </c>
      <c r="H12" s="24"/>
    </row>
    <row r="13" spans="1:10" x14ac:dyDescent="0.2">
      <c r="A13" s="430">
        <v>1</v>
      </c>
      <c r="B13" s="138" t="s">
        <v>164</v>
      </c>
      <c r="C13" s="434">
        <v>13</v>
      </c>
      <c r="D13" s="434">
        <v>8</v>
      </c>
      <c r="E13" s="434"/>
      <c r="F13" s="434">
        <v>3</v>
      </c>
      <c r="G13" s="434" t="str">
        <f>IF(AND(COUNTIF(C13:F13,13)=0,COUNT(C13:F13)=2),"IV",IF(AND(COUNTIF(C13:F13,13)=1,COUNT(C13:F13)=3),"III",IF(AND(COUNTIF(C13:F13,13)=2,COUNT(C13:F13)=3),"II",IF(AND(COUNTIF(C13:F13,13)=2,COUNT(C13:F13)=2),"I"))))</f>
        <v>III</v>
      </c>
      <c r="H13" s="24"/>
    </row>
    <row r="14" spans="1:10" x14ac:dyDescent="0.2">
      <c r="A14" s="430">
        <v>2</v>
      </c>
      <c r="B14" s="480" t="s">
        <v>157</v>
      </c>
      <c r="C14" s="434">
        <v>13</v>
      </c>
      <c r="D14" s="434">
        <v>13</v>
      </c>
      <c r="E14" s="434"/>
      <c r="F14" s="434"/>
      <c r="G14" s="434" t="str">
        <f t="shared" ref="G14:G15" si="1">IF(AND(COUNTIF(C14:F14,13)=0,COUNT(C14:F14)=2),"IV",IF(AND(COUNTIF(C14:F14,13)=1,COUNT(C14:F14)=3),"III",IF(AND(COUNTIF(C14:F14,13)=2,COUNT(C14:F14)=3),"II",IF(AND(COUNTIF(C14:F14,13)=2,COUNT(C14:F14)=2),"I"))))</f>
        <v>I</v>
      </c>
      <c r="H14" s="24"/>
    </row>
    <row r="15" spans="1:10" x14ac:dyDescent="0.2">
      <c r="A15" s="430">
        <v>3</v>
      </c>
      <c r="B15" s="480" t="s">
        <v>169</v>
      </c>
      <c r="C15" s="434">
        <v>7</v>
      </c>
      <c r="D15" s="434"/>
      <c r="E15" s="434">
        <v>13</v>
      </c>
      <c r="F15" s="434">
        <v>13</v>
      </c>
      <c r="G15" s="434" t="str">
        <f t="shared" si="1"/>
        <v>II</v>
      </c>
      <c r="H15" s="24"/>
    </row>
    <row r="16" spans="1:10" x14ac:dyDescent="0.2">
      <c r="A16" s="430">
        <v>4</v>
      </c>
      <c r="B16" s="481"/>
      <c r="C16" s="434">
        <f>IF(ISBLANK(B16),0)</f>
        <v>0</v>
      </c>
      <c r="D16" s="434"/>
      <c r="E16" s="434">
        <v>0</v>
      </c>
      <c r="F16" s="434"/>
      <c r="G16" s="434"/>
      <c r="H16" s="24"/>
    </row>
    <row r="17" spans="1:15" x14ac:dyDescent="0.2">
      <c r="D17" s="24"/>
      <c r="E17" s="24"/>
      <c r="F17" s="24"/>
      <c r="G17" s="24"/>
      <c r="H17" s="24"/>
    </row>
    <row r="18" spans="1:15" x14ac:dyDescent="0.2">
      <c r="A18" s="427" t="s">
        <v>319</v>
      </c>
      <c r="B18" s="428"/>
      <c r="C18" s="429" t="s">
        <v>256</v>
      </c>
      <c r="D18" s="479" t="s">
        <v>257</v>
      </c>
      <c r="E18" s="479" t="s">
        <v>258</v>
      </c>
      <c r="F18" s="478" t="s">
        <v>254</v>
      </c>
      <c r="G18" s="478" t="s">
        <v>145</v>
      </c>
      <c r="H18" s="24"/>
    </row>
    <row r="19" spans="1:15" x14ac:dyDescent="0.2">
      <c r="A19" s="430">
        <v>1</v>
      </c>
      <c r="B19" s="138" t="s">
        <v>162</v>
      </c>
      <c r="C19" s="434">
        <v>13</v>
      </c>
      <c r="D19" s="434">
        <v>10</v>
      </c>
      <c r="E19" s="434"/>
      <c r="F19" s="434">
        <v>6</v>
      </c>
      <c r="G19" s="434" t="str">
        <f>IF(AND(COUNTIF(C19:F19,13)=0,COUNT(C19:F19)=2),"IV",IF(AND(COUNTIF(C19:F19,13)=1,COUNT(C19:F19)=3),"III",IF(AND(COUNTIF(C19:F19,13)=2,COUNT(C19:F19)=3),"II",IF(AND(COUNTIF(C19:F19,13)=2,COUNT(C19:F19)=2),"I"))))</f>
        <v>III</v>
      </c>
    </row>
    <row r="20" spans="1:15" x14ac:dyDescent="0.2">
      <c r="A20" s="430">
        <v>2</v>
      </c>
      <c r="B20" s="480" t="s">
        <v>159</v>
      </c>
      <c r="C20" s="478">
        <v>11</v>
      </c>
      <c r="D20" s="434">
        <v>13</v>
      </c>
      <c r="E20" s="434"/>
      <c r="F20" s="434"/>
      <c r="G20" s="652" t="s">
        <v>269</v>
      </c>
    </row>
    <row r="21" spans="1:15" x14ac:dyDescent="0.2">
      <c r="A21" s="430">
        <v>3</v>
      </c>
      <c r="B21" s="480" t="s">
        <v>172</v>
      </c>
      <c r="C21" s="434">
        <v>7</v>
      </c>
      <c r="D21" s="434"/>
      <c r="E21" s="434">
        <v>13</v>
      </c>
      <c r="F21" s="434">
        <v>13</v>
      </c>
      <c r="G21" s="434" t="str">
        <f t="shared" ref="G21" si="2">IF(AND(COUNTIF(C21:F21,13)=0,COUNT(C21:F21)=2),"IV",IF(AND(COUNTIF(C21:F21,13)=1,COUNT(C21:F21)=3),"III",IF(AND(COUNTIF(C21:F21,13)=2,COUNT(C21:F21)=3),"II",IF(AND(COUNTIF(C21:F21,13)=2,COUNT(C21:F21)=2),"I"))))</f>
        <v>II</v>
      </c>
    </row>
    <row r="22" spans="1:15" x14ac:dyDescent="0.2">
      <c r="A22" s="430">
        <v>4</v>
      </c>
      <c r="B22" s="481"/>
      <c r="C22" s="434">
        <f>IF(ISBLANK(B22),0)</f>
        <v>0</v>
      </c>
      <c r="D22" s="434"/>
      <c r="E22" s="434">
        <v>0</v>
      </c>
      <c r="F22" s="434"/>
      <c r="G22" s="434"/>
    </row>
    <row r="23" spans="1:15" x14ac:dyDescent="0.2">
      <c r="A23" s="443"/>
      <c r="B23" s="485"/>
      <c r="C23" s="486"/>
      <c r="D23" s="486"/>
      <c r="E23" s="486"/>
      <c r="F23" s="486"/>
      <c r="G23" s="486"/>
      <c r="I23" s="443"/>
      <c r="J23" s="485"/>
      <c r="K23" s="486"/>
      <c r="L23" s="486"/>
      <c r="M23" s="486"/>
      <c r="N23" s="486"/>
      <c r="O23" s="486"/>
    </row>
    <row r="24" spans="1:15" x14ac:dyDescent="0.2">
      <c r="A24" s="476" t="s">
        <v>417</v>
      </c>
      <c r="B24" s="477"/>
      <c r="C24" s="478" t="s">
        <v>256</v>
      </c>
      <c r="D24" s="479" t="s">
        <v>257</v>
      </c>
      <c r="E24" s="479" t="s">
        <v>258</v>
      </c>
      <c r="F24" s="478" t="s">
        <v>254</v>
      </c>
      <c r="G24" s="429" t="s">
        <v>145</v>
      </c>
      <c r="I24" s="443"/>
      <c r="J24" s="485"/>
      <c r="K24" s="486"/>
      <c r="L24" s="486"/>
      <c r="M24" s="486"/>
      <c r="N24" s="486"/>
      <c r="O24" s="486"/>
    </row>
    <row r="25" spans="1:15" x14ac:dyDescent="0.2">
      <c r="A25" s="479">
        <v>1</v>
      </c>
      <c r="B25" s="138" t="s">
        <v>171</v>
      </c>
      <c r="C25" s="434">
        <v>13</v>
      </c>
      <c r="D25" s="434">
        <v>13</v>
      </c>
      <c r="E25" s="434"/>
      <c r="F25" s="434"/>
      <c r="G25" s="434" t="str">
        <f>IF(AND(COUNTIF(C25:F25,13)=0,COUNT(C25:F25)=2),"IV",IF(AND(COUNTIF(C25:F25,13)=1,COUNT(C25:F25)=3),"III",IF(AND(COUNTIF(C25:F25,13)=2,COUNT(C25:F25)=3),"II",IF(AND(COUNTIF(C25:F25,13)=2,COUNT(C25:F25)=2),"I"))))</f>
        <v>I</v>
      </c>
      <c r="I25" s="443"/>
      <c r="J25" s="485"/>
      <c r="K25" s="486"/>
      <c r="L25" s="486"/>
      <c r="M25" s="486"/>
      <c r="N25" s="486"/>
      <c r="O25" s="486"/>
    </row>
    <row r="26" spans="1:15" x14ac:dyDescent="0.2">
      <c r="A26" s="479">
        <v>2</v>
      </c>
      <c r="B26" s="480" t="s">
        <v>177</v>
      </c>
      <c r="C26" s="434">
        <v>13</v>
      </c>
      <c r="D26" s="434">
        <v>7</v>
      </c>
      <c r="E26" s="434"/>
      <c r="F26" s="434">
        <v>13</v>
      </c>
      <c r="G26" s="434" t="str">
        <f t="shared" ref="G26:G27" si="3">IF(AND(COUNTIF(C26:F26,13)=0,COUNT(C26:F26)=2),"IV",IF(AND(COUNTIF(C26:F26,13)=1,COUNT(C26:F26)=3),"III",IF(AND(COUNTIF(C26:F26,13)=2,COUNT(C26:F26)=3),"II",IF(AND(COUNTIF(C26:F26,13)=2,COUNT(C26:F26)=2),"I"))))</f>
        <v>II</v>
      </c>
      <c r="I26" s="443"/>
      <c r="J26" s="485"/>
      <c r="K26" s="486"/>
      <c r="L26" s="486"/>
      <c r="M26" s="486"/>
      <c r="N26" s="486"/>
      <c r="O26" s="486"/>
    </row>
    <row r="27" spans="1:15" x14ac:dyDescent="0.2">
      <c r="A27" s="479">
        <v>3</v>
      </c>
      <c r="B27" s="480" t="s">
        <v>167</v>
      </c>
      <c r="C27" s="434">
        <v>8</v>
      </c>
      <c r="D27" s="434"/>
      <c r="E27" s="434">
        <v>13</v>
      </c>
      <c r="F27" s="434">
        <v>7</v>
      </c>
      <c r="G27" s="434" t="str">
        <f t="shared" si="3"/>
        <v>III</v>
      </c>
      <c r="I27" s="443"/>
      <c r="J27" s="485"/>
      <c r="K27" s="486"/>
      <c r="L27" s="486"/>
      <c r="M27" s="486"/>
      <c r="N27" s="486"/>
      <c r="O27" s="486"/>
    </row>
    <row r="28" spans="1:15" x14ac:dyDescent="0.2">
      <c r="A28" s="479">
        <v>4</v>
      </c>
      <c r="B28" s="481"/>
      <c r="C28" s="434">
        <f>IF(ISBLANK(B28),0)</f>
        <v>0</v>
      </c>
      <c r="D28" s="434"/>
      <c r="E28" s="434">
        <v>0</v>
      </c>
      <c r="F28" s="434"/>
      <c r="G28" s="434"/>
      <c r="I28" s="443"/>
      <c r="J28" s="485"/>
      <c r="K28" s="486"/>
      <c r="L28" s="486"/>
      <c r="M28" s="486"/>
      <c r="N28" s="486"/>
      <c r="O28" s="486"/>
    </row>
    <row r="29" spans="1:15" x14ac:dyDescent="0.2">
      <c r="A29" s="24"/>
      <c r="B29" s="24"/>
      <c r="C29" s="24"/>
      <c r="D29" s="24"/>
      <c r="E29" s="24"/>
      <c r="F29" s="24"/>
      <c r="I29" s="443"/>
      <c r="J29" s="485"/>
      <c r="K29" s="486"/>
      <c r="L29" s="486"/>
      <c r="M29" s="486"/>
      <c r="N29" s="486"/>
      <c r="O29" s="486"/>
    </row>
    <row r="30" spans="1:15" x14ac:dyDescent="0.2">
      <c r="A30" s="476" t="s">
        <v>418</v>
      </c>
      <c r="B30" s="477"/>
      <c r="C30" s="478" t="s">
        <v>256</v>
      </c>
      <c r="D30" s="479" t="s">
        <v>257</v>
      </c>
      <c r="E30" s="479" t="s">
        <v>258</v>
      </c>
      <c r="F30" s="478" t="s">
        <v>254</v>
      </c>
      <c r="G30" s="429" t="s">
        <v>145</v>
      </c>
      <c r="I30" s="443"/>
      <c r="J30" s="485"/>
      <c r="K30" s="486"/>
      <c r="L30" s="486"/>
      <c r="M30" s="486"/>
      <c r="N30" s="486"/>
      <c r="O30" s="486"/>
    </row>
    <row r="31" spans="1:15" x14ac:dyDescent="0.2">
      <c r="A31" s="479">
        <v>1</v>
      </c>
      <c r="B31" s="138" t="s">
        <v>155</v>
      </c>
      <c r="C31" s="434">
        <v>13</v>
      </c>
      <c r="D31" s="434">
        <v>13</v>
      </c>
      <c r="E31" s="434"/>
      <c r="F31" s="434"/>
      <c r="G31" s="434" t="str">
        <f>IF(AND(COUNTIF(C31:F31,13)=0,COUNT(C31:F31)=2),"IV",IF(AND(COUNTIF(C31:F31,13)=1,COUNT(C31:F31)=3),"III",IF(AND(COUNTIF(C31:F31,13)=2,COUNT(C31:F31)=3),"II",IF(AND(COUNTIF(C31:F31,13)=2,COUNT(C31:F31)=2),"I"))))</f>
        <v>I</v>
      </c>
      <c r="I31" s="443"/>
      <c r="J31" s="485"/>
      <c r="K31" s="486"/>
      <c r="L31" s="486"/>
      <c r="M31" s="486"/>
      <c r="N31" s="486"/>
      <c r="O31" s="486"/>
    </row>
    <row r="32" spans="1:15" x14ac:dyDescent="0.2">
      <c r="A32" s="479">
        <v>2</v>
      </c>
      <c r="B32" s="480" t="s">
        <v>184</v>
      </c>
      <c r="C32" s="434">
        <v>9</v>
      </c>
      <c r="D32" s="434"/>
      <c r="E32" s="434">
        <v>13</v>
      </c>
      <c r="F32" s="434">
        <v>4</v>
      </c>
      <c r="G32" s="434" t="str">
        <f t="shared" ref="G32:G33" si="4">IF(AND(COUNTIF(C32:F32,13)=0,COUNT(C32:F32)=2),"IV",IF(AND(COUNTIF(C32:F32,13)=1,COUNT(C32:F32)=3),"III",IF(AND(COUNTIF(C32:F32,13)=2,COUNT(C32:F32)=3),"II",IF(AND(COUNTIF(C32:F32,13)=2,COUNT(C32:F32)=2),"I"))))</f>
        <v>III</v>
      </c>
      <c r="I32" s="443"/>
      <c r="J32" s="485"/>
      <c r="K32" s="486"/>
      <c r="L32" s="486"/>
      <c r="M32" s="486"/>
      <c r="N32" s="486"/>
      <c r="O32" s="486"/>
    </row>
    <row r="33" spans="1:15" x14ac:dyDescent="0.2">
      <c r="A33" s="479">
        <v>3</v>
      </c>
      <c r="B33" s="480" t="s">
        <v>168</v>
      </c>
      <c r="C33" s="434">
        <v>13</v>
      </c>
      <c r="D33" s="434">
        <v>7</v>
      </c>
      <c r="E33" s="434"/>
      <c r="F33" s="434">
        <v>13</v>
      </c>
      <c r="G33" s="434" t="str">
        <f t="shared" si="4"/>
        <v>II</v>
      </c>
      <c r="I33" s="443"/>
      <c r="J33" s="485"/>
      <c r="K33" s="486"/>
      <c r="L33" s="486"/>
      <c r="M33" s="486"/>
      <c r="N33" s="486"/>
      <c r="O33" s="486"/>
    </row>
    <row r="34" spans="1:15" x14ac:dyDescent="0.2">
      <c r="A34" s="479">
        <v>4</v>
      </c>
      <c r="B34" s="481"/>
      <c r="C34" s="434">
        <f>IF(ISBLANK(B34),0)</f>
        <v>0</v>
      </c>
      <c r="D34" s="434"/>
      <c r="E34" s="434">
        <v>0</v>
      </c>
      <c r="F34" s="434"/>
      <c r="G34" s="434"/>
      <c r="I34" s="443"/>
      <c r="J34" s="485"/>
      <c r="K34" s="486"/>
      <c r="L34" s="486"/>
      <c r="M34" s="486"/>
      <c r="N34" s="486"/>
      <c r="O34" s="486"/>
    </row>
    <row r="35" spans="1:15" x14ac:dyDescent="0.2">
      <c r="A35" s="24"/>
      <c r="B35" s="24"/>
      <c r="C35" s="24"/>
      <c r="D35" s="24"/>
      <c r="E35" s="24"/>
      <c r="F35" s="24"/>
      <c r="I35" s="443"/>
      <c r="J35" s="485"/>
      <c r="K35" s="486"/>
      <c r="L35" s="486"/>
      <c r="M35" s="486"/>
      <c r="N35" s="486"/>
      <c r="O35" s="486"/>
    </row>
    <row r="36" spans="1:15" x14ac:dyDescent="0.2">
      <c r="A36" s="476" t="s">
        <v>419</v>
      </c>
      <c r="B36" s="477"/>
      <c r="C36" s="478" t="s">
        <v>256</v>
      </c>
      <c r="D36" s="479" t="s">
        <v>257</v>
      </c>
      <c r="E36" s="479" t="s">
        <v>258</v>
      </c>
      <c r="F36" s="478" t="s">
        <v>254</v>
      </c>
      <c r="G36" s="429" t="s">
        <v>145</v>
      </c>
      <c r="I36" s="443"/>
      <c r="J36" s="485"/>
      <c r="K36" s="486"/>
      <c r="L36" s="486"/>
      <c r="M36" s="486"/>
      <c r="N36" s="486"/>
      <c r="O36" s="486"/>
    </row>
    <row r="37" spans="1:15" x14ac:dyDescent="0.2">
      <c r="A37" s="430">
        <v>1</v>
      </c>
      <c r="B37" s="138" t="s">
        <v>156</v>
      </c>
      <c r="C37" s="434">
        <v>13</v>
      </c>
      <c r="D37" s="434">
        <v>13</v>
      </c>
      <c r="E37" s="434"/>
      <c r="F37" s="434"/>
      <c r="G37" s="434" t="str">
        <f>IF(AND(COUNTIF(C37:F37,13)=0,COUNT(C37:F37)=2),"IV",IF(AND(COUNTIF(C37:F37,13)=1,COUNT(C37:F37)=3),"III",IF(AND(COUNTIF(C37:F37,13)=2,COUNT(C37:F37)=3),"II",IF(AND(COUNTIF(C37:F37,13)=2,COUNT(C37:F37)=2),"I"))))</f>
        <v>I</v>
      </c>
      <c r="I37" s="443"/>
      <c r="J37" s="485"/>
      <c r="K37" s="486"/>
      <c r="L37" s="486"/>
      <c r="M37" s="486"/>
      <c r="N37" s="486"/>
      <c r="O37" s="486"/>
    </row>
    <row r="38" spans="1:15" x14ac:dyDescent="0.2">
      <c r="A38" s="430">
        <v>2</v>
      </c>
      <c r="B38" s="480" t="s">
        <v>175</v>
      </c>
      <c r="C38" s="434">
        <v>11</v>
      </c>
      <c r="D38" s="434"/>
      <c r="E38" s="434">
        <v>13</v>
      </c>
      <c r="F38" s="434">
        <v>2</v>
      </c>
      <c r="G38" s="434" t="str">
        <f t="shared" ref="G38:G39" si="5">IF(AND(COUNTIF(C38:F38,13)=0,COUNT(C38:F38)=2),"IV",IF(AND(COUNTIF(C38:F38,13)=1,COUNT(C38:F38)=3),"III",IF(AND(COUNTIF(C38:F38,13)=2,COUNT(C38:F38)=3),"II",IF(AND(COUNTIF(C38:F38,13)=2,COUNT(C38:F38)=2),"I"))))</f>
        <v>III</v>
      </c>
      <c r="I38" s="443"/>
      <c r="J38" s="485"/>
      <c r="K38" s="486"/>
      <c r="L38" s="486"/>
      <c r="M38" s="486"/>
      <c r="N38" s="486"/>
      <c r="O38" s="486"/>
    </row>
    <row r="39" spans="1:15" x14ac:dyDescent="0.2">
      <c r="A39" s="430">
        <v>3</v>
      </c>
      <c r="B39" s="480" t="s">
        <v>183</v>
      </c>
      <c r="C39" s="434">
        <v>13</v>
      </c>
      <c r="D39" s="434">
        <v>6</v>
      </c>
      <c r="E39" s="434"/>
      <c r="F39" s="434">
        <v>13</v>
      </c>
      <c r="G39" s="434" t="str">
        <f t="shared" si="5"/>
        <v>II</v>
      </c>
      <c r="I39" s="443"/>
      <c r="J39" s="485"/>
      <c r="K39" s="486"/>
      <c r="L39" s="486"/>
      <c r="M39" s="486"/>
      <c r="N39" s="486"/>
      <c r="O39" s="486"/>
    </row>
    <row r="40" spans="1:15" x14ac:dyDescent="0.2">
      <c r="A40" s="430">
        <v>4</v>
      </c>
      <c r="B40" s="481"/>
      <c r="C40" s="434">
        <f>IF(ISBLANK(B40),0)</f>
        <v>0</v>
      </c>
      <c r="D40" s="434"/>
      <c r="E40" s="434">
        <v>0</v>
      </c>
      <c r="F40" s="434"/>
      <c r="G40" s="434"/>
      <c r="I40" s="443"/>
      <c r="J40" s="485"/>
      <c r="K40" s="486"/>
      <c r="L40" s="486"/>
      <c r="M40" s="486"/>
      <c r="N40" s="486"/>
      <c r="O40" s="486"/>
    </row>
    <row r="42" spans="1:15" x14ac:dyDescent="0.2">
      <c r="A42" s="639" t="s">
        <v>410</v>
      </c>
      <c r="B42" s="513"/>
      <c r="C42" s="445"/>
      <c r="D42" s="445"/>
      <c r="E42" s="445"/>
      <c r="F42" s="486"/>
      <c r="G42" s="442"/>
      <c r="H42" s="436"/>
      <c r="I42" s="436"/>
      <c r="J42" s="436"/>
      <c r="K42" s="436"/>
      <c r="L42" s="436"/>
      <c r="M42" s="436"/>
    </row>
    <row r="43" spans="1:15" x14ac:dyDescent="0.2">
      <c r="A43" s="436"/>
      <c r="B43" s="436"/>
      <c r="C43" s="436"/>
      <c r="D43" s="436"/>
      <c r="E43" s="436"/>
      <c r="F43" s="436"/>
      <c r="G43" s="436"/>
      <c r="H43" s="436"/>
      <c r="I43" s="436"/>
      <c r="J43" s="436"/>
      <c r="K43" s="436"/>
      <c r="L43" s="436"/>
      <c r="M43" s="436"/>
    </row>
    <row r="44" spans="1:15" x14ac:dyDescent="0.2">
      <c r="A44" s="548" t="s">
        <v>286</v>
      </c>
      <c r="B44" s="436" t="s">
        <v>157</v>
      </c>
      <c r="C44" s="514">
        <v>13</v>
      </c>
      <c r="D44" s="436"/>
      <c r="E44" s="436"/>
      <c r="F44" s="436"/>
      <c r="G44" s="436"/>
      <c r="H44" s="436"/>
      <c r="I44" s="436"/>
      <c r="J44" s="436"/>
      <c r="K44" s="436"/>
      <c r="M44" s="436"/>
    </row>
    <row r="45" spans="1:15" x14ac:dyDescent="0.2">
      <c r="A45" s="549"/>
      <c r="B45" s="515"/>
      <c r="C45" s="550" t="s">
        <v>157</v>
      </c>
      <c r="D45" s="436"/>
      <c r="E45" s="514">
        <v>10</v>
      </c>
      <c r="F45" s="436"/>
      <c r="G45" s="436"/>
      <c r="H45" s="436"/>
      <c r="I45" s="436"/>
      <c r="J45" s="436"/>
      <c r="K45" s="436"/>
    </row>
    <row r="46" spans="1:15" x14ac:dyDescent="0.2">
      <c r="A46" s="549"/>
      <c r="B46" s="533" t="s">
        <v>306</v>
      </c>
      <c r="C46" s="551">
        <v>0</v>
      </c>
      <c r="D46" s="516"/>
      <c r="E46" s="436"/>
      <c r="F46" s="436"/>
      <c r="G46" s="436"/>
      <c r="H46" s="436"/>
      <c r="I46" s="436"/>
      <c r="J46" s="436"/>
      <c r="K46" s="436"/>
    </row>
    <row r="47" spans="1:15" x14ac:dyDescent="0.2">
      <c r="A47" s="549"/>
      <c r="B47" s="436"/>
      <c r="C47" s="436"/>
      <c r="D47" s="521"/>
      <c r="E47" s="517" t="s">
        <v>166</v>
      </c>
      <c r="F47" s="436"/>
      <c r="G47" s="514">
        <v>10</v>
      </c>
      <c r="H47" s="436"/>
      <c r="I47" s="436"/>
      <c r="J47" s="436"/>
      <c r="K47" s="436"/>
    </row>
    <row r="48" spans="1:15" x14ac:dyDescent="0.2">
      <c r="A48" s="549" t="s">
        <v>290</v>
      </c>
      <c r="B48" s="436" t="s">
        <v>166</v>
      </c>
      <c r="C48" s="525">
        <v>13</v>
      </c>
      <c r="D48" s="521"/>
      <c r="E48" s="640"/>
      <c r="F48" s="516"/>
      <c r="G48" s="436"/>
      <c r="H48" s="436"/>
      <c r="I48" s="436"/>
      <c r="J48" s="436"/>
      <c r="K48" s="436"/>
    </row>
    <row r="49" spans="1:11" x14ac:dyDescent="0.2">
      <c r="A49" s="549"/>
      <c r="B49" s="515"/>
      <c r="C49" s="517" t="s">
        <v>166</v>
      </c>
      <c r="D49" s="519"/>
      <c r="E49" s="525">
        <v>13</v>
      </c>
      <c r="F49" s="521"/>
      <c r="G49" s="436"/>
      <c r="H49" s="436"/>
      <c r="I49" s="436"/>
      <c r="J49" s="436"/>
      <c r="K49" s="436"/>
    </row>
    <row r="50" spans="1:11" x14ac:dyDescent="0.2">
      <c r="A50" s="549" t="s">
        <v>291</v>
      </c>
      <c r="B50" s="518" t="s">
        <v>172</v>
      </c>
      <c r="C50" s="520">
        <v>3</v>
      </c>
      <c r="D50" s="436"/>
      <c r="E50" s="513"/>
      <c r="F50" s="521"/>
      <c r="G50" s="436"/>
      <c r="H50" s="436"/>
      <c r="I50" s="436"/>
      <c r="J50" s="436"/>
      <c r="K50" s="436"/>
    </row>
    <row r="51" spans="1:11" x14ac:dyDescent="0.2">
      <c r="A51" s="527"/>
      <c r="B51" s="436"/>
      <c r="C51" s="436"/>
      <c r="D51" s="436"/>
      <c r="E51" s="513"/>
      <c r="F51" s="521"/>
      <c r="G51" s="517" t="s">
        <v>177</v>
      </c>
      <c r="H51" s="436"/>
      <c r="I51" s="514">
        <v>9</v>
      </c>
      <c r="J51" s="436"/>
      <c r="K51" s="436"/>
    </row>
    <row r="52" spans="1:11" x14ac:dyDescent="0.2">
      <c r="A52" s="548" t="s">
        <v>288</v>
      </c>
      <c r="B52" s="436" t="s">
        <v>177</v>
      </c>
      <c r="C52" s="514">
        <v>13</v>
      </c>
      <c r="D52" s="436"/>
      <c r="E52" s="513"/>
      <c r="F52" s="521"/>
      <c r="G52" s="515"/>
      <c r="H52" s="516"/>
      <c r="I52" s="436"/>
      <c r="J52" s="436"/>
      <c r="K52" s="436"/>
    </row>
    <row r="53" spans="1:11" x14ac:dyDescent="0.2">
      <c r="A53" s="549"/>
      <c r="B53" s="515"/>
      <c r="C53" s="550" t="s">
        <v>177</v>
      </c>
      <c r="D53" s="436"/>
      <c r="E53" s="525">
        <v>13</v>
      </c>
      <c r="F53" s="521"/>
      <c r="G53" s="513"/>
      <c r="H53" s="521"/>
      <c r="I53" s="436"/>
      <c r="J53" s="436"/>
      <c r="K53" s="436"/>
    </row>
    <row r="54" spans="1:11" x14ac:dyDescent="0.2">
      <c r="A54" s="549" t="s">
        <v>412</v>
      </c>
      <c r="B54" s="518" t="s">
        <v>183</v>
      </c>
      <c r="C54" s="551">
        <v>2</v>
      </c>
      <c r="D54" s="516"/>
      <c r="E54" s="513"/>
      <c r="F54" s="521"/>
      <c r="G54" s="513"/>
      <c r="H54" s="521"/>
      <c r="I54" s="436"/>
      <c r="J54" s="436"/>
      <c r="K54" s="436"/>
    </row>
    <row r="55" spans="1:11" x14ac:dyDescent="0.2">
      <c r="A55" s="549"/>
      <c r="B55" s="436"/>
      <c r="C55" s="436"/>
      <c r="D55" s="521"/>
      <c r="E55" s="518" t="s">
        <v>177</v>
      </c>
      <c r="F55" s="519"/>
      <c r="G55" s="525">
        <v>13</v>
      </c>
      <c r="H55" s="521"/>
      <c r="I55" s="436"/>
      <c r="J55" s="436"/>
      <c r="K55" s="436"/>
    </row>
    <row r="56" spans="1:11" x14ac:dyDescent="0.2">
      <c r="A56" s="549" t="s">
        <v>411</v>
      </c>
      <c r="B56" s="436" t="s">
        <v>155</v>
      </c>
      <c r="C56" s="525">
        <v>13</v>
      </c>
      <c r="D56" s="521"/>
      <c r="E56" s="517"/>
      <c r="F56" s="513"/>
      <c r="G56" s="513"/>
      <c r="H56" s="521"/>
      <c r="I56" s="436"/>
      <c r="J56" s="436"/>
      <c r="K56" s="436"/>
    </row>
    <row r="57" spans="1:11" x14ac:dyDescent="0.2">
      <c r="A57" s="549"/>
      <c r="B57" s="515"/>
      <c r="C57" s="517" t="s">
        <v>155</v>
      </c>
      <c r="D57" s="519"/>
      <c r="E57" s="525">
        <v>7</v>
      </c>
      <c r="F57" s="436"/>
      <c r="G57" s="513"/>
      <c r="H57" s="521"/>
      <c r="I57" s="436"/>
      <c r="J57" s="436"/>
      <c r="K57" s="436"/>
    </row>
    <row r="58" spans="1:11" x14ac:dyDescent="0.2">
      <c r="A58" s="549"/>
      <c r="B58" s="533" t="s">
        <v>306</v>
      </c>
      <c r="C58" s="520">
        <v>0</v>
      </c>
      <c r="D58" s="436"/>
      <c r="E58" s="513"/>
      <c r="F58" s="513"/>
      <c r="G58" s="513"/>
      <c r="H58" s="521"/>
      <c r="I58" s="436"/>
      <c r="J58" s="436"/>
      <c r="K58" s="436"/>
    </row>
    <row r="59" spans="1:11" ht="13.5" thickBot="1" x14ac:dyDescent="0.25">
      <c r="A59" s="436"/>
      <c r="B59" s="436"/>
      <c r="C59" s="436"/>
      <c r="D59" s="436"/>
      <c r="E59" s="436"/>
      <c r="F59" s="436"/>
      <c r="G59" s="513"/>
      <c r="H59" s="521"/>
      <c r="I59" s="436"/>
      <c r="J59" s="436" t="s">
        <v>173</v>
      </c>
    </row>
    <row r="60" spans="1:11" x14ac:dyDescent="0.2">
      <c r="A60" s="548" t="s">
        <v>413</v>
      </c>
      <c r="B60" s="436" t="s">
        <v>156</v>
      </c>
      <c r="C60" s="514">
        <v>13</v>
      </c>
      <c r="D60" s="436"/>
      <c r="E60" s="436"/>
      <c r="F60" s="436"/>
      <c r="G60" s="513"/>
      <c r="H60" s="521"/>
      <c r="I60" s="552"/>
      <c r="J60" s="523" t="s">
        <v>287</v>
      </c>
    </row>
    <row r="61" spans="1:11" x14ac:dyDescent="0.2">
      <c r="A61" s="549"/>
      <c r="B61" s="515"/>
      <c r="C61" s="550" t="s">
        <v>156</v>
      </c>
      <c r="D61" s="436"/>
      <c r="E61" s="514">
        <v>8</v>
      </c>
      <c r="F61" s="436"/>
      <c r="G61" s="513"/>
      <c r="H61" s="521"/>
      <c r="I61" s="436"/>
      <c r="J61" s="436"/>
    </row>
    <row r="62" spans="1:11" x14ac:dyDescent="0.2">
      <c r="A62" s="549"/>
      <c r="B62" s="533" t="s">
        <v>306</v>
      </c>
      <c r="C62" s="551">
        <v>0</v>
      </c>
      <c r="D62" s="516"/>
      <c r="E62" s="436"/>
      <c r="F62" s="436"/>
      <c r="G62" s="513"/>
      <c r="H62" s="521"/>
      <c r="I62" s="436"/>
      <c r="J62" s="436"/>
    </row>
    <row r="63" spans="1:11" x14ac:dyDescent="0.2">
      <c r="A63" s="549"/>
      <c r="B63" s="436"/>
      <c r="C63" s="436"/>
      <c r="D63" s="521"/>
      <c r="E63" s="436" t="s">
        <v>173</v>
      </c>
      <c r="F63" s="436"/>
      <c r="G63" s="525">
        <v>13</v>
      </c>
      <c r="H63" s="521"/>
      <c r="I63" s="436"/>
      <c r="J63" s="436"/>
    </row>
    <row r="64" spans="1:11" x14ac:dyDescent="0.2">
      <c r="A64" s="549" t="s">
        <v>284</v>
      </c>
      <c r="B64" s="436" t="s">
        <v>171</v>
      </c>
      <c r="C64" s="525">
        <v>8</v>
      </c>
      <c r="D64" s="521"/>
      <c r="E64" s="640"/>
      <c r="F64" s="516"/>
      <c r="G64" s="513"/>
      <c r="H64" s="521"/>
      <c r="I64" s="436"/>
      <c r="J64" s="436"/>
    </row>
    <row r="65" spans="1:13" x14ac:dyDescent="0.2">
      <c r="A65" s="549"/>
      <c r="B65" s="515"/>
      <c r="C65" s="517" t="s">
        <v>173</v>
      </c>
      <c r="D65" s="519"/>
      <c r="E65" s="525">
        <v>13</v>
      </c>
      <c r="F65" s="521"/>
      <c r="G65" s="513"/>
      <c r="H65" s="521"/>
      <c r="I65" s="436"/>
      <c r="J65" s="436"/>
    </row>
    <row r="66" spans="1:13" x14ac:dyDescent="0.2">
      <c r="A66" s="549" t="s">
        <v>285</v>
      </c>
      <c r="B66" s="518" t="s">
        <v>173</v>
      </c>
      <c r="C66" s="520">
        <v>13</v>
      </c>
      <c r="D66" s="436"/>
      <c r="E66" s="513"/>
      <c r="F66" s="521"/>
      <c r="G66" s="513"/>
      <c r="H66" s="521"/>
      <c r="I66" s="436"/>
      <c r="J66" s="436"/>
    </row>
    <row r="67" spans="1:13" x14ac:dyDescent="0.2">
      <c r="A67" s="436"/>
      <c r="B67" s="436"/>
      <c r="C67" s="436"/>
      <c r="D67" s="436"/>
      <c r="E67" s="513"/>
      <c r="F67" s="521"/>
      <c r="G67" s="518" t="s">
        <v>173</v>
      </c>
      <c r="H67" s="519"/>
      <c r="I67" s="514">
        <v>13</v>
      </c>
      <c r="J67" s="436"/>
    </row>
    <row r="68" spans="1:13" ht="13.5" thickBot="1" x14ac:dyDescent="0.25">
      <c r="A68" s="548" t="s">
        <v>282</v>
      </c>
      <c r="B68" s="436" t="s">
        <v>159</v>
      </c>
      <c r="C68" s="514">
        <v>13</v>
      </c>
      <c r="D68" s="436"/>
      <c r="E68" s="513"/>
      <c r="F68" s="521"/>
      <c r="G68" s="436"/>
      <c r="H68" s="436"/>
      <c r="I68" s="436"/>
      <c r="J68" s="513" t="s">
        <v>177</v>
      </c>
    </row>
    <row r="69" spans="1:13" x14ac:dyDescent="0.2">
      <c r="A69" s="549"/>
      <c r="B69" s="515"/>
      <c r="C69" s="550" t="s">
        <v>159</v>
      </c>
      <c r="D69" s="436"/>
      <c r="E69" s="525">
        <v>3</v>
      </c>
      <c r="F69" s="521"/>
      <c r="G69" s="436"/>
      <c r="H69" s="436"/>
      <c r="I69" s="436"/>
      <c r="J69" s="523" t="s">
        <v>289</v>
      </c>
    </row>
    <row r="70" spans="1:13" x14ac:dyDescent="0.2">
      <c r="A70" s="549"/>
      <c r="B70" s="533" t="s">
        <v>306</v>
      </c>
      <c r="C70" s="551">
        <v>0</v>
      </c>
      <c r="D70" s="516"/>
      <c r="E70" s="513"/>
      <c r="F70" s="521"/>
      <c r="G70" s="436"/>
      <c r="H70" s="436"/>
      <c r="I70" s="436"/>
      <c r="J70" s="436"/>
    </row>
    <row r="71" spans="1:13" x14ac:dyDescent="0.2">
      <c r="A71" s="549"/>
      <c r="B71" s="436"/>
      <c r="C71" s="436"/>
      <c r="D71" s="521"/>
      <c r="E71" s="518" t="s">
        <v>169</v>
      </c>
      <c r="F71" s="519"/>
      <c r="G71" s="514">
        <v>9</v>
      </c>
      <c r="H71" s="436"/>
      <c r="I71" s="436"/>
      <c r="J71" s="436"/>
    </row>
    <row r="72" spans="1:13" x14ac:dyDescent="0.2">
      <c r="A72" s="549" t="s">
        <v>283</v>
      </c>
      <c r="B72" s="436" t="s">
        <v>169</v>
      </c>
      <c r="C72" s="525">
        <v>13</v>
      </c>
      <c r="D72" s="521"/>
      <c r="E72" s="517"/>
      <c r="F72" s="513"/>
      <c r="G72" s="436"/>
      <c r="H72" s="436"/>
      <c r="I72" s="436"/>
      <c r="J72" s="436"/>
    </row>
    <row r="73" spans="1:13" x14ac:dyDescent="0.2">
      <c r="A73" s="549"/>
      <c r="B73" s="515"/>
      <c r="C73" s="517" t="s">
        <v>169</v>
      </c>
      <c r="D73" s="519"/>
      <c r="E73" s="525">
        <v>13</v>
      </c>
      <c r="F73" s="436"/>
      <c r="G73" s="436" t="s">
        <v>166</v>
      </c>
      <c r="H73" s="436"/>
      <c r="I73" s="525">
        <v>13</v>
      </c>
      <c r="J73" s="436"/>
    </row>
    <row r="74" spans="1:13" ht="13.5" thickBot="1" x14ac:dyDescent="0.25">
      <c r="A74" s="549" t="s">
        <v>414</v>
      </c>
      <c r="B74" s="518" t="s">
        <v>168</v>
      </c>
      <c r="C74" s="660" t="s">
        <v>13</v>
      </c>
      <c r="D74" s="436"/>
      <c r="E74" s="513"/>
      <c r="F74" s="513"/>
      <c r="G74" s="515"/>
      <c r="H74" s="516"/>
      <c r="I74" s="524"/>
      <c r="J74" s="524" t="s">
        <v>166</v>
      </c>
    </row>
    <row r="75" spans="1:13" x14ac:dyDescent="0.2">
      <c r="A75" s="436"/>
      <c r="B75" s="436"/>
      <c r="C75" s="436"/>
      <c r="D75" s="436"/>
      <c r="E75" s="436"/>
      <c r="F75" s="513"/>
      <c r="G75" s="518" t="s">
        <v>169</v>
      </c>
      <c r="H75" s="519"/>
      <c r="I75" s="514">
        <v>12</v>
      </c>
      <c r="J75" s="526" t="s">
        <v>292</v>
      </c>
    </row>
    <row r="76" spans="1:13" x14ac:dyDescent="0.2">
      <c r="A76" s="436"/>
      <c r="B76" s="436"/>
      <c r="C76" s="436"/>
      <c r="D76" s="436"/>
      <c r="E76" s="436"/>
      <c r="F76" s="513"/>
      <c r="G76" s="436"/>
      <c r="H76" s="436"/>
      <c r="I76" s="436"/>
      <c r="J76" s="513"/>
    </row>
    <row r="77" spans="1:13" ht="13.5" thickBot="1" x14ac:dyDescent="0.25">
      <c r="A77" s="436"/>
      <c r="B77" s="436"/>
      <c r="C77" s="436"/>
      <c r="D77" s="436"/>
      <c r="E77" s="436"/>
      <c r="F77" s="513"/>
      <c r="G77" s="513"/>
      <c r="H77" s="513"/>
      <c r="I77" s="436"/>
      <c r="J77" s="524" t="s">
        <v>169</v>
      </c>
    </row>
    <row r="78" spans="1:13" x14ac:dyDescent="0.2">
      <c r="A78" s="436"/>
      <c r="B78" s="436"/>
      <c r="C78" s="436"/>
      <c r="D78" s="436"/>
      <c r="E78" s="436"/>
      <c r="F78" s="436"/>
      <c r="G78" s="513"/>
      <c r="H78" s="513"/>
      <c r="I78" s="436"/>
      <c r="J78" s="527" t="s">
        <v>293</v>
      </c>
    </row>
    <row r="79" spans="1:13" x14ac:dyDescent="0.2">
      <c r="A79" s="436"/>
      <c r="B79" s="436"/>
      <c r="C79" s="436"/>
      <c r="D79" s="436"/>
      <c r="E79" s="436"/>
      <c r="F79" s="436"/>
      <c r="G79" s="436"/>
      <c r="H79" s="436"/>
      <c r="I79" s="513"/>
      <c r="J79" s="513"/>
      <c r="K79" s="436"/>
      <c r="L79" s="527"/>
      <c r="M79" s="436"/>
    </row>
    <row r="80" spans="1:13" x14ac:dyDescent="0.2">
      <c r="A80" s="641" t="s">
        <v>415</v>
      </c>
      <c r="B80" s="436"/>
      <c r="C80" s="436"/>
      <c r="D80" s="436"/>
      <c r="E80" s="436"/>
      <c r="F80" s="436"/>
      <c r="G80" s="436"/>
      <c r="H80" s="436"/>
      <c r="I80" s="513"/>
      <c r="J80" s="513"/>
      <c r="K80" s="436"/>
      <c r="L80" s="527"/>
      <c r="M80" s="436"/>
    </row>
    <row r="81" spans="1:13" x14ac:dyDescent="0.2">
      <c r="A81" s="641"/>
      <c r="B81" s="436"/>
      <c r="C81" s="436"/>
      <c r="D81" s="436"/>
      <c r="E81" s="436"/>
      <c r="F81" s="436"/>
      <c r="G81" s="436"/>
      <c r="H81" s="436"/>
      <c r="I81" s="513"/>
      <c r="J81" s="513"/>
      <c r="K81" s="436"/>
      <c r="L81" s="527"/>
      <c r="M81" s="436"/>
    </row>
    <row r="82" spans="1:13" x14ac:dyDescent="0.2">
      <c r="A82" s="436"/>
      <c r="B82" s="436"/>
      <c r="C82" s="436"/>
      <c r="D82" s="436"/>
      <c r="E82" s="642" t="s">
        <v>157</v>
      </c>
      <c r="F82" s="514"/>
      <c r="G82" s="514">
        <v>13</v>
      </c>
      <c r="H82" s="514"/>
      <c r="I82" s="514"/>
      <c r="J82" s="436"/>
      <c r="K82" s="436"/>
    </row>
    <row r="83" spans="1:13" x14ac:dyDescent="0.2">
      <c r="A83" s="436"/>
      <c r="B83" s="436"/>
      <c r="C83" s="436"/>
      <c r="D83" s="436"/>
      <c r="E83" s="643"/>
      <c r="F83" s="644"/>
      <c r="G83" s="658" t="s">
        <v>157</v>
      </c>
      <c r="H83" s="514"/>
      <c r="I83" s="514">
        <v>13</v>
      </c>
      <c r="J83" s="436"/>
      <c r="K83" s="436"/>
    </row>
    <row r="84" spans="1:13" x14ac:dyDescent="0.2">
      <c r="A84" s="436"/>
      <c r="B84" s="436"/>
      <c r="C84" s="436"/>
      <c r="D84" s="436"/>
      <c r="E84" s="645" t="s">
        <v>155</v>
      </c>
      <c r="F84" s="646"/>
      <c r="G84" s="514">
        <v>12</v>
      </c>
      <c r="H84" s="644"/>
      <c r="I84" s="514"/>
      <c r="J84" s="436"/>
    </row>
    <row r="85" spans="1:13" ht="13.5" thickBot="1" x14ac:dyDescent="0.25">
      <c r="A85" s="436"/>
      <c r="B85" s="436"/>
      <c r="C85" s="436"/>
      <c r="D85" s="436"/>
      <c r="E85" s="514"/>
      <c r="F85" s="514"/>
      <c r="G85" s="525"/>
      <c r="H85" s="647"/>
      <c r="I85" s="514"/>
      <c r="J85" s="436" t="s">
        <v>157</v>
      </c>
    </row>
    <row r="86" spans="1:13" x14ac:dyDescent="0.2">
      <c r="A86" s="436"/>
      <c r="B86" s="436"/>
      <c r="C86" s="436"/>
      <c r="D86" s="436"/>
      <c r="E86" s="514" t="s">
        <v>156</v>
      </c>
      <c r="F86" s="514"/>
      <c r="G86" s="514">
        <v>13</v>
      </c>
      <c r="H86" s="647"/>
      <c r="I86" s="648"/>
      <c r="J86" s="523" t="s">
        <v>294</v>
      </c>
    </row>
    <row r="87" spans="1:13" x14ac:dyDescent="0.2">
      <c r="A87" s="436"/>
      <c r="B87" s="436"/>
      <c r="C87" s="436"/>
      <c r="D87" s="436"/>
      <c r="E87" s="643"/>
      <c r="F87" s="644"/>
      <c r="G87" s="514" t="s">
        <v>156</v>
      </c>
      <c r="H87" s="646"/>
      <c r="I87" s="525">
        <v>8</v>
      </c>
      <c r="J87" s="436"/>
    </row>
    <row r="88" spans="1:13" ht="13.5" thickBot="1" x14ac:dyDescent="0.25">
      <c r="A88" s="436"/>
      <c r="B88" s="436"/>
      <c r="C88" s="436"/>
      <c r="D88" s="436"/>
      <c r="E88" s="645" t="s">
        <v>159</v>
      </c>
      <c r="F88" s="646"/>
      <c r="G88" s="643">
        <v>7</v>
      </c>
      <c r="H88" s="514"/>
      <c r="I88" s="525"/>
      <c r="J88" s="513" t="s">
        <v>156</v>
      </c>
    </row>
    <row r="89" spans="1:13" x14ac:dyDescent="0.2">
      <c r="A89" s="436"/>
      <c r="B89" s="436"/>
      <c r="C89" s="436"/>
      <c r="D89" s="436"/>
      <c r="E89" s="514"/>
      <c r="F89" s="514"/>
      <c r="G89" s="514"/>
      <c r="H89" s="514"/>
      <c r="I89" s="525"/>
      <c r="J89" s="523" t="s">
        <v>295</v>
      </c>
    </row>
    <row r="90" spans="1:13" x14ac:dyDescent="0.2">
      <c r="A90" s="436"/>
      <c r="B90" s="436"/>
      <c r="C90" s="436"/>
      <c r="D90" s="436"/>
      <c r="E90" s="514"/>
      <c r="F90" s="525"/>
      <c r="G90" s="514" t="s">
        <v>155</v>
      </c>
      <c r="H90" s="514"/>
      <c r="I90" s="525">
        <v>13</v>
      </c>
      <c r="J90" s="513"/>
    </row>
    <row r="91" spans="1:13" ht="13.5" thickBot="1" x14ac:dyDescent="0.25">
      <c r="A91" s="436"/>
      <c r="B91" s="436"/>
      <c r="C91" s="436"/>
      <c r="D91" s="436"/>
      <c r="E91" s="514"/>
      <c r="F91" s="525"/>
      <c r="G91" s="643"/>
      <c r="H91" s="644"/>
      <c r="I91" s="649"/>
      <c r="J91" s="524" t="s">
        <v>155</v>
      </c>
    </row>
    <row r="92" spans="1:13" x14ac:dyDescent="0.2">
      <c r="A92" s="436"/>
      <c r="B92" s="436"/>
      <c r="C92" s="436"/>
      <c r="D92" s="436"/>
      <c r="E92" s="514"/>
      <c r="F92" s="525"/>
      <c r="G92" s="645" t="s">
        <v>159</v>
      </c>
      <c r="H92" s="646"/>
      <c r="I92" s="514">
        <v>1</v>
      </c>
      <c r="J92" s="526" t="s">
        <v>296</v>
      </c>
    </row>
    <row r="93" spans="1:13" x14ac:dyDescent="0.2">
      <c r="A93" s="436"/>
      <c r="B93" s="436"/>
      <c r="C93" s="436"/>
      <c r="D93" s="436"/>
      <c r="E93" s="436"/>
      <c r="F93" s="513"/>
      <c r="G93" s="436"/>
      <c r="H93" s="436"/>
      <c r="I93" s="436"/>
      <c r="J93" s="513"/>
    </row>
    <row r="94" spans="1:13" ht="13.5" thickBot="1" x14ac:dyDescent="0.25">
      <c r="A94" s="436"/>
      <c r="B94" s="436"/>
      <c r="C94" s="436"/>
      <c r="D94" s="436"/>
      <c r="E94" s="527"/>
      <c r="F94" s="436"/>
      <c r="G94" s="513"/>
      <c r="H94" s="513"/>
      <c r="I94" s="436"/>
      <c r="J94" s="524" t="s">
        <v>159</v>
      </c>
    </row>
    <row r="95" spans="1:13" x14ac:dyDescent="0.2">
      <c r="A95" s="436"/>
      <c r="B95" s="436"/>
      <c r="C95" s="436"/>
      <c r="D95" s="436"/>
      <c r="E95" s="527"/>
      <c r="F95" s="436"/>
      <c r="G95" s="513"/>
      <c r="H95" s="513"/>
      <c r="I95" s="436"/>
      <c r="J95" s="526" t="s">
        <v>297</v>
      </c>
    </row>
    <row r="96" spans="1:13" x14ac:dyDescent="0.2">
      <c r="A96" s="436"/>
      <c r="B96" s="436"/>
      <c r="C96" s="436"/>
      <c r="D96" s="436"/>
      <c r="E96" s="436"/>
      <c r="F96" s="436"/>
      <c r="G96" s="513"/>
      <c r="H96" s="513"/>
      <c r="I96" s="436"/>
      <c r="J96" s="527"/>
    </row>
    <row r="97" spans="1:10" x14ac:dyDescent="0.2">
      <c r="A97" s="641" t="s">
        <v>329</v>
      </c>
      <c r="B97" s="436"/>
      <c r="C97" s="436"/>
      <c r="D97" s="436"/>
      <c r="E97" s="436"/>
      <c r="F97" s="436"/>
      <c r="G97" s="513"/>
      <c r="H97" s="513"/>
      <c r="I97" s="436"/>
      <c r="J97" s="527"/>
    </row>
    <row r="98" spans="1:10" x14ac:dyDescent="0.2">
      <c r="A98" s="641"/>
      <c r="B98" s="436"/>
      <c r="C98" s="436"/>
      <c r="D98" s="436"/>
      <c r="E98" s="436"/>
      <c r="F98" s="436"/>
      <c r="G98" s="513"/>
      <c r="H98" s="513"/>
      <c r="I98" s="436"/>
      <c r="J98" s="527"/>
    </row>
    <row r="99" spans="1:10" x14ac:dyDescent="0.2">
      <c r="A99" s="436"/>
      <c r="B99" s="436"/>
      <c r="C99" s="436"/>
      <c r="D99" s="436"/>
      <c r="E99" s="642" t="s">
        <v>172</v>
      </c>
      <c r="F99" s="514"/>
      <c r="G99" s="514">
        <v>13</v>
      </c>
      <c r="H99" s="514"/>
      <c r="I99" s="514"/>
      <c r="J99" s="436"/>
    </row>
    <row r="100" spans="1:10" x14ac:dyDescent="0.2">
      <c r="A100" s="436"/>
      <c r="B100" s="436"/>
      <c r="C100" s="436"/>
      <c r="D100" s="436"/>
      <c r="E100" s="643"/>
      <c r="F100" s="644"/>
      <c r="G100" s="645" t="s">
        <v>172</v>
      </c>
      <c r="H100" s="514"/>
      <c r="I100" s="514">
        <v>13</v>
      </c>
      <c r="J100" s="436"/>
    </row>
    <row r="101" spans="1:10" x14ac:dyDescent="0.2">
      <c r="A101" s="436"/>
      <c r="B101" s="436"/>
      <c r="C101" s="436"/>
      <c r="D101" s="436"/>
      <c r="E101" s="645" t="s">
        <v>183</v>
      </c>
      <c r="F101" s="646"/>
      <c r="G101" s="514">
        <v>6</v>
      </c>
      <c r="H101" s="644"/>
      <c r="I101" s="514"/>
      <c r="J101" s="436"/>
    </row>
    <row r="102" spans="1:10" ht="13.5" thickBot="1" x14ac:dyDescent="0.25">
      <c r="A102" s="436"/>
      <c r="B102" s="436"/>
      <c r="C102" s="436"/>
      <c r="D102" s="436"/>
      <c r="E102" s="514"/>
      <c r="F102" s="514"/>
      <c r="G102" s="525"/>
      <c r="H102" s="647"/>
      <c r="I102" s="514"/>
      <c r="J102" s="436" t="s">
        <v>172</v>
      </c>
    </row>
    <row r="103" spans="1:10" x14ac:dyDescent="0.2">
      <c r="A103" s="436"/>
      <c r="B103" s="436"/>
      <c r="C103" s="436"/>
      <c r="D103" s="436"/>
      <c r="E103" s="514" t="s">
        <v>171</v>
      </c>
      <c r="F103" s="514"/>
      <c r="G103" s="514">
        <v>13</v>
      </c>
      <c r="H103" s="647"/>
      <c r="I103" s="648"/>
      <c r="J103" s="523" t="s">
        <v>303</v>
      </c>
    </row>
    <row r="104" spans="1:10" x14ac:dyDescent="0.2">
      <c r="A104" s="436"/>
      <c r="B104" s="436"/>
      <c r="C104" s="436"/>
      <c r="D104" s="436"/>
      <c r="E104" s="643"/>
      <c r="F104" s="644"/>
      <c r="G104" s="514" t="s">
        <v>171</v>
      </c>
      <c r="H104" s="646"/>
      <c r="I104" s="525">
        <v>10</v>
      </c>
      <c r="J104" s="436"/>
    </row>
    <row r="105" spans="1:10" ht="13.5" thickBot="1" x14ac:dyDescent="0.25">
      <c r="A105" s="436"/>
      <c r="B105" s="436"/>
      <c r="C105" s="436"/>
      <c r="D105" s="436"/>
      <c r="E105" s="645" t="s">
        <v>168</v>
      </c>
      <c r="F105" s="646"/>
      <c r="G105" s="661" t="s">
        <v>13</v>
      </c>
      <c r="H105" s="514"/>
      <c r="I105" s="525"/>
      <c r="J105" s="513" t="s">
        <v>171</v>
      </c>
    </row>
    <row r="106" spans="1:10" x14ac:dyDescent="0.2">
      <c r="A106" s="436"/>
      <c r="B106" s="436"/>
      <c r="C106" s="436"/>
      <c r="D106" s="436"/>
      <c r="E106" s="514"/>
      <c r="F106" s="514"/>
      <c r="G106" s="514"/>
      <c r="H106" s="514"/>
      <c r="I106" s="525"/>
      <c r="J106" s="523" t="s">
        <v>304</v>
      </c>
    </row>
    <row r="107" spans="1:10" x14ac:dyDescent="0.2">
      <c r="A107" s="436"/>
      <c r="B107" s="436"/>
      <c r="C107" s="436"/>
      <c r="D107" s="436"/>
      <c r="E107" s="514"/>
      <c r="F107" s="525"/>
      <c r="G107" s="514" t="s">
        <v>183</v>
      </c>
      <c r="H107" s="514"/>
      <c r="I107" s="525">
        <v>13</v>
      </c>
      <c r="J107" s="513"/>
    </row>
    <row r="108" spans="1:10" ht="13.5" thickBot="1" x14ac:dyDescent="0.25">
      <c r="A108" s="436"/>
      <c r="B108" s="436"/>
      <c r="C108" s="436"/>
      <c r="D108" s="436"/>
      <c r="E108" s="514"/>
      <c r="F108" s="525"/>
      <c r="G108" s="643"/>
      <c r="H108" s="644"/>
      <c r="I108" s="649"/>
      <c r="J108" s="524" t="s">
        <v>183</v>
      </c>
    </row>
    <row r="109" spans="1:10" x14ac:dyDescent="0.2">
      <c r="A109" s="436"/>
      <c r="B109" s="436"/>
      <c r="C109" s="436"/>
      <c r="D109" s="436"/>
      <c r="E109" s="514"/>
      <c r="F109" s="525"/>
      <c r="G109" s="645" t="s">
        <v>168</v>
      </c>
      <c r="H109" s="646"/>
      <c r="I109" s="659" t="s">
        <v>13</v>
      </c>
      <c r="J109" s="526" t="s">
        <v>307</v>
      </c>
    </row>
    <row r="110" spans="1:10" x14ac:dyDescent="0.2">
      <c r="A110" s="436"/>
      <c r="B110" s="436"/>
      <c r="C110" s="436"/>
      <c r="D110" s="436"/>
      <c r="E110" s="436"/>
      <c r="F110" s="513"/>
      <c r="G110" s="436"/>
      <c r="H110" s="436"/>
      <c r="I110" s="436"/>
      <c r="J110" s="513"/>
    </row>
    <row r="111" spans="1:10" ht="13.5" thickBot="1" x14ac:dyDescent="0.25">
      <c r="A111" s="436"/>
      <c r="B111" s="436"/>
      <c r="C111" s="436"/>
      <c r="D111" s="436"/>
      <c r="E111" s="527"/>
      <c r="F111" s="436"/>
      <c r="G111" s="513"/>
      <c r="H111" s="513"/>
      <c r="I111" s="436"/>
      <c r="J111" s="524" t="s">
        <v>168</v>
      </c>
    </row>
    <row r="112" spans="1:10" x14ac:dyDescent="0.2">
      <c r="A112" s="436"/>
      <c r="B112" s="436"/>
      <c r="C112" s="436"/>
      <c r="D112" s="436"/>
      <c r="E112" s="527"/>
      <c r="F112" s="436"/>
      <c r="G112" s="513"/>
      <c r="H112" s="513"/>
      <c r="I112" s="436"/>
      <c r="J112" s="526" t="s">
        <v>308</v>
      </c>
    </row>
    <row r="113" spans="1:13" x14ac:dyDescent="0.2">
      <c r="A113" s="436"/>
      <c r="B113" s="436"/>
      <c r="C113" s="436"/>
      <c r="D113" s="436"/>
      <c r="E113" s="436"/>
      <c r="F113" s="527"/>
      <c r="G113" s="436"/>
      <c r="H113" s="436"/>
      <c r="I113" s="513"/>
      <c r="J113" s="513"/>
      <c r="M113" s="436"/>
    </row>
    <row r="114" spans="1:13" x14ac:dyDescent="0.2">
      <c r="A114" s="650" t="s">
        <v>416</v>
      </c>
      <c r="B114" s="436"/>
      <c r="C114" s="436"/>
      <c r="D114" s="436"/>
      <c r="E114" s="436"/>
      <c r="F114" s="436"/>
      <c r="G114" s="436"/>
      <c r="H114" s="436"/>
      <c r="I114" s="436"/>
      <c r="J114" s="436"/>
      <c r="M114" s="436"/>
    </row>
    <row r="115" spans="1:13" x14ac:dyDescent="0.2">
      <c r="A115" s="651"/>
      <c r="B115" s="436"/>
      <c r="C115" s="436"/>
      <c r="D115" s="436"/>
      <c r="E115" s="436"/>
      <c r="F115" s="436"/>
      <c r="G115" s="436"/>
      <c r="H115" s="436"/>
      <c r="I115" s="436"/>
      <c r="J115" s="436"/>
      <c r="M115" s="436"/>
    </row>
    <row r="116" spans="1:13" x14ac:dyDescent="0.2">
      <c r="A116" s="436"/>
      <c r="B116" s="656" t="s">
        <v>302</v>
      </c>
      <c r="C116" s="518" t="s">
        <v>164</v>
      </c>
      <c r="D116" s="436"/>
      <c r="E116" s="514">
        <v>13</v>
      </c>
      <c r="F116" s="436"/>
      <c r="G116" s="436"/>
      <c r="H116" s="436"/>
      <c r="I116" s="436"/>
      <c r="J116" s="436"/>
      <c r="K116" s="436"/>
    </row>
    <row r="117" spans="1:13" x14ac:dyDescent="0.2">
      <c r="A117" s="436"/>
      <c r="B117" s="656"/>
      <c r="C117" s="515"/>
      <c r="D117" s="516"/>
      <c r="E117" s="517" t="s">
        <v>164</v>
      </c>
      <c r="F117" s="436"/>
      <c r="G117" s="514">
        <v>13</v>
      </c>
      <c r="H117" s="436"/>
      <c r="I117" s="436"/>
      <c r="J117" s="436"/>
      <c r="K117" s="436"/>
    </row>
    <row r="118" spans="1:13" x14ac:dyDescent="0.2">
      <c r="A118" s="436"/>
      <c r="B118" s="656"/>
      <c r="C118" s="533" t="s">
        <v>306</v>
      </c>
      <c r="D118" s="519"/>
      <c r="E118" s="643">
        <v>0</v>
      </c>
      <c r="F118" s="516"/>
      <c r="G118" s="436"/>
      <c r="H118" s="436"/>
      <c r="I118" s="436"/>
      <c r="J118" s="436"/>
      <c r="K118" s="436"/>
    </row>
    <row r="119" spans="1:13" x14ac:dyDescent="0.2">
      <c r="A119" s="436"/>
      <c r="B119" s="656"/>
      <c r="C119" s="436"/>
      <c r="D119" s="436"/>
      <c r="E119" s="513"/>
      <c r="F119" s="521"/>
      <c r="G119" s="517" t="s">
        <v>164</v>
      </c>
      <c r="H119" s="436"/>
      <c r="I119" s="514">
        <v>10</v>
      </c>
      <c r="J119" s="436"/>
      <c r="K119" s="436"/>
    </row>
    <row r="120" spans="1:13" x14ac:dyDescent="0.2">
      <c r="A120" s="436"/>
      <c r="B120" s="656" t="s">
        <v>301</v>
      </c>
      <c r="C120" s="518" t="s">
        <v>167</v>
      </c>
      <c r="D120" s="436"/>
      <c r="E120" s="525">
        <v>13</v>
      </c>
      <c r="F120" s="521"/>
      <c r="G120" s="640"/>
      <c r="H120" s="516"/>
      <c r="I120" s="436"/>
      <c r="J120" s="436"/>
      <c r="K120" s="436"/>
    </row>
    <row r="121" spans="1:13" x14ac:dyDescent="0.2">
      <c r="A121" s="436"/>
      <c r="B121" s="656"/>
      <c r="C121" s="436"/>
      <c r="D121" s="516"/>
      <c r="E121" s="518" t="s">
        <v>167</v>
      </c>
      <c r="F121" s="519"/>
      <c r="G121" s="525">
        <v>5</v>
      </c>
      <c r="H121" s="521"/>
      <c r="I121" s="436"/>
      <c r="J121" s="436"/>
      <c r="K121" s="436"/>
    </row>
    <row r="122" spans="1:13" x14ac:dyDescent="0.2">
      <c r="A122" s="436"/>
      <c r="B122" s="656" t="s">
        <v>423</v>
      </c>
      <c r="C122" s="513" t="s">
        <v>175</v>
      </c>
      <c r="D122" s="519"/>
      <c r="E122" s="525">
        <v>8</v>
      </c>
      <c r="F122" s="436"/>
      <c r="G122" s="513"/>
      <c r="H122" s="521"/>
      <c r="I122" s="436"/>
      <c r="J122" s="436"/>
      <c r="K122" s="436"/>
    </row>
    <row r="123" spans="1:13" ht="13.5" thickBot="1" x14ac:dyDescent="0.25">
      <c r="A123" s="436"/>
      <c r="B123" s="656"/>
      <c r="C123" s="643"/>
      <c r="D123" s="436"/>
      <c r="E123" s="513"/>
      <c r="F123" s="513"/>
      <c r="G123" s="513"/>
      <c r="H123" s="521"/>
      <c r="I123" s="436"/>
      <c r="J123" s="436" t="s">
        <v>162</v>
      </c>
    </row>
    <row r="124" spans="1:13" x14ac:dyDescent="0.2">
      <c r="A124" s="436"/>
      <c r="B124" s="656" t="s">
        <v>305</v>
      </c>
      <c r="C124" s="513" t="s">
        <v>160</v>
      </c>
      <c r="D124" s="436"/>
      <c r="E124" s="514">
        <v>11</v>
      </c>
      <c r="F124" s="436"/>
      <c r="G124" s="436"/>
      <c r="H124" s="521"/>
      <c r="I124" s="522"/>
      <c r="J124" s="523" t="s">
        <v>309</v>
      </c>
    </row>
    <row r="125" spans="1:13" x14ac:dyDescent="0.2">
      <c r="A125" s="436"/>
      <c r="B125" s="656"/>
      <c r="C125" s="515"/>
      <c r="D125" s="516"/>
      <c r="E125" s="517" t="s">
        <v>184</v>
      </c>
      <c r="F125" s="436"/>
      <c r="G125" s="514">
        <v>5</v>
      </c>
      <c r="H125" s="521"/>
      <c r="I125" s="436"/>
      <c r="J125" s="436"/>
    </row>
    <row r="126" spans="1:13" ht="13.5" thickBot="1" x14ac:dyDescent="0.25">
      <c r="A126" s="436"/>
      <c r="B126" s="656" t="s">
        <v>422</v>
      </c>
      <c r="C126" s="518" t="s">
        <v>184</v>
      </c>
      <c r="D126" s="519"/>
      <c r="E126" s="643">
        <v>13</v>
      </c>
      <c r="F126" s="516"/>
      <c r="G126" s="436"/>
      <c r="H126" s="521"/>
      <c r="I126" s="436"/>
      <c r="J126" s="513" t="s">
        <v>164</v>
      </c>
    </row>
    <row r="127" spans="1:13" x14ac:dyDescent="0.2">
      <c r="A127" s="436"/>
      <c r="B127" s="656"/>
      <c r="C127" s="436"/>
      <c r="D127" s="436"/>
      <c r="E127" s="513"/>
      <c r="F127" s="521"/>
      <c r="G127" s="517" t="s">
        <v>162</v>
      </c>
      <c r="H127" s="519"/>
      <c r="I127" s="514">
        <v>13</v>
      </c>
      <c r="J127" s="523" t="s">
        <v>310</v>
      </c>
    </row>
    <row r="128" spans="1:13" x14ac:dyDescent="0.2">
      <c r="A128" s="436"/>
      <c r="B128" s="656" t="s">
        <v>299</v>
      </c>
      <c r="C128" s="518" t="s">
        <v>162</v>
      </c>
      <c r="D128" s="436"/>
      <c r="E128" s="525">
        <v>13</v>
      </c>
      <c r="F128" s="521"/>
      <c r="G128" s="640"/>
      <c r="H128" s="515"/>
      <c r="I128" s="436"/>
      <c r="J128" s="436"/>
    </row>
    <row r="129" spans="1:11" x14ac:dyDescent="0.2">
      <c r="A129" s="436"/>
      <c r="B129" s="656"/>
      <c r="C129" s="436"/>
      <c r="D129" s="516"/>
      <c r="E129" s="518" t="s">
        <v>162</v>
      </c>
      <c r="F129" s="519"/>
      <c r="G129" s="525">
        <v>13</v>
      </c>
      <c r="H129" s="513"/>
      <c r="I129" s="436"/>
      <c r="J129" s="436"/>
    </row>
    <row r="130" spans="1:11" x14ac:dyDescent="0.2">
      <c r="A130" s="436"/>
      <c r="B130" s="656"/>
      <c r="C130" s="592" t="s">
        <v>306</v>
      </c>
      <c r="D130" s="519"/>
      <c r="E130" s="525">
        <v>0</v>
      </c>
      <c r="F130" s="436"/>
      <c r="G130" s="513"/>
      <c r="H130" s="513"/>
      <c r="I130" s="436"/>
      <c r="J130" s="436"/>
    </row>
    <row r="131" spans="1:11" x14ac:dyDescent="0.2">
      <c r="A131" s="436"/>
      <c r="B131" s="513"/>
      <c r="C131" s="643"/>
      <c r="D131" s="436"/>
      <c r="E131" s="513"/>
      <c r="F131" s="513"/>
      <c r="G131" s="436" t="s">
        <v>167</v>
      </c>
      <c r="H131" s="436"/>
      <c r="I131" s="525">
        <v>13</v>
      </c>
      <c r="J131" s="436"/>
    </row>
    <row r="132" spans="1:11" ht="13.5" thickBot="1" x14ac:dyDescent="0.25">
      <c r="A132" s="436"/>
      <c r="B132" s="513"/>
      <c r="C132" s="436"/>
      <c r="D132" s="436"/>
      <c r="E132" s="513"/>
      <c r="F132" s="513"/>
      <c r="G132" s="515"/>
      <c r="H132" s="516"/>
      <c r="I132" s="524"/>
      <c r="J132" s="524" t="s">
        <v>167</v>
      </c>
    </row>
    <row r="133" spans="1:11" x14ac:dyDescent="0.2">
      <c r="A133" s="436"/>
      <c r="B133" s="513"/>
      <c r="C133" s="514"/>
      <c r="D133" s="436"/>
      <c r="E133" s="513"/>
      <c r="F133" s="513"/>
      <c r="G133" s="518" t="s">
        <v>184</v>
      </c>
      <c r="H133" s="519"/>
      <c r="I133" s="514">
        <v>7</v>
      </c>
      <c r="J133" s="526" t="s">
        <v>311</v>
      </c>
    </row>
    <row r="134" spans="1:11" x14ac:dyDescent="0.2">
      <c r="A134" s="223">
        <v>1</v>
      </c>
      <c r="B134" s="224" t="s">
        <v>173</v>
      </c>
      <c r="C134" s="513"/>
      <c r="D134" s="513"/>
      <c r="E134" s="525"/>
      <c r="F134" s="513"/>
      <c r="G134" s="436"/>
      <c r="H134" s="436"/>
      <c r="I134" s="436"/>
      <c r="J134" s="513"/>
    </row>
    <row r="135" spans="1:11" ht="13.5" thickBot="1" x14ac:dyDescent="0.25">
      <c r="A135" s="223">
        <v>2</v>
      </c>
      <c r="B135" s="227" t="s">
        <v>177</v>
      </c>
      <c r="C135" s="525"/>
      <c r="D135" s="513"/>
      <c r="E135" s="513"/>
      <c r="F135" s="513"/>
      <c r="G135" s="513"/>
      <c r="H135" s="513"/>
      <c r="I135" s="436"/>
      <c r="J135" s="524" t="s">
        <v>184</v>
      </c>
    </row>
    <row r="136" spans="1:11" x14ac:dyDescent="0.2">
      <c r="A136" s="223">
        <v>3</v>
      </c>
      <c r="B136" s="229" t="s">
        <v>166</v>
      </c>
      <c r="C136" s="513"/>
      <c r="D136" s="513"/>
      <c r="E136" s="513"/>
      <c r="F136" s="513"/>
      <c r="G136" s="513"/>
      <c r="H136" s="513"/>
      <c r="I136" s="436"/>
      <c r="J136" s="527" t="s">
        <v>312</v>
      </c>
    </row>
    <row r="137" spans="1:11" x14ac:dyDescent="0.2">
      <c r="A137" s="223">
        <v>4</v>
      </c>
      <c r="B137" s="231" t="s">
        <v>169</v>
      </c>
      <c r="E137" s="657" t="s">
        <v>306</v>
      </c>
      <c r="F137" s="514"/>
      <c r="G137" s="514">
        <v>0</v>
      </c>
      <c r="H137" s="514"/>
      <c r="I137" s="514"/>
      <c r="J137" s="436"/>
    </row>
    <row r="138" spans="1:11" x14ac:dyDescent="0.2">
      <c r="A138" s="223">
        <v>5</v>
      </c>
      <c r="B138" s="231" t="s">
        <v>157</v>
      </c>
      <c r="E138" s="643"/>
      <c r="F138" s="644"/>
      <c r="G138" s="645" t="s">
        <v>175</v>
      </c>
      <c r="H138" s="514"/>
      <c r="I138" s="659" t="s">
        <v>13</v>
      </c>
      <c r="J138" s="436"/>
      <c r="K138" s="436"/>
    </row>
    <row r="139" spans="1:11" x14ac:dyDescent="0.2">
      <c r="A139" s="223">
        <v>6</v>
      </c>
      <c r="B139" s="231" t="s">
        <v>156</v>
      </c>
      <c r="E139" s="645" t="s">
        <v>175</v>
      </c>
      <c r="F139" s="646"/>
      <c r="G139" s="514">
        <v>13</v>
      </c>
      <c r="H139" s="644"/>
      <c r="I139" s="514"/>
      <c r="J139" s="436"/>
      <c r="K139" s="436"/>
    </row>
    <row r="140" spans="1:11" ht="13.5" thickBot="1" x14ac:dyDescent="0.25">
      <c r="A140" s="223">
        <v>7</v>
      </c>
      <c r="B140" s="231" t="s">
        <v>155</v>
      </c>
      <c r="E140" s="514"/>
      <c r="F140" s="514"/>
      <c r="G140" s="525"/>
      <c r="H140" s="647"/>
      <c r="I140" s="514"/>
      <c r="J140" s="436" t="s">
        <v>160</v>
      </c>
    </row>
    <row r="141" spans="1:11" x14ac:dyDescent="0.2">
      <c r="A141" s="223">
        <v>8</v>
      </c>
      <c r="B141" s="231" t="s">
        <v>159</v>
      </c>
      <c r="E141" s="514" t="s">
        <v>160</v>
      </c>
      <c r="F141" s="514"/>
      <c r="G141" s="514">
        <v>13</v>
      </c>
      <c r="H141" s="647"/>
      <c r="I141" s="648"/>
      <c r="J141" s="523" t="s">
        <v>420</v>
      </c>
    </row>
    <row r="142" spans="1:11" x14ac:dyDescent="0.2">
      <c r="A142" s="223">
        <v>9</v>
      </c>
      <c r="B142" s="231" t="s">
        <v>172</v>
      </c>
      <c r="E142" s="643"/>
      <c r="F142" s="644"/>
      <c r="G142" s="514" t="s">
        <v>160</v>
      </c>
      <c r="H142" s="646"/>
      <c r="I142" s="525">
        <v>13</v>
      </c>
      <c r="J142" s="436"/>
    </row>
    <row r="143" spans="1:11" ht="13.5" thickBot="1" x14ac:dyDescent="0.25">
      <c r="A143" s="223">
        <v>10</v>
      </c>
      <c r="B143" s="231" t="s">
        <v>171</v>
      </c>
      <c r="E143" s="658" t="s">
        <v>306</v>
      </c>
      <c r="F143" s="646"/>
      <c r="G143" s="643">
        <v>0</v>
      </c>
      <c r="H143" s="514"/>
      <c r="I143" s="525"/>
      <c r="J143" s="513" t="s">
        <v>175</v>
      </c>
    </row>
    <row r="144" spans="1:11" x14ac:dyDescent="0.2">
      <c r="A144" s="223">
        <v>11</v>
      </c>
      <c r="B144" s="231" t="s">
        <v>183</v>
      </c>
      <c r="E144" s="514"/>
      <c r="F144" s="514"/>
      <c r="G144" s="514"/>
      <c r="H144" s="514"/>
      <c r="I144" s="525"/>
      <c r="J144" s="523" t="s">
        <v>421</v>
      </c>
    </row>
    <row r="145" spans="1:10" x14ac:dyDescent="0.2">
      <c r="A145" s="223">
        <v>12</v>
      </c>
      <c r="B145" s="231" t="s">
        <v>168</v>
      </c>
      <c r="E145" s="514"/>
      <c r="F145" s="525"/>
      <c r="G145" s="514"/>
      <c r="H145" s="514"/>
      <c r="I145" s="525"/>
      <c r="J145" s="513"/>
    </row>
    <row r="146" spans="1:10" ht="13.5" thickBot="1" x14ac:dyDescent="0.25">
      <c r="A146" s="223">
        <v>13</v>
      </c>
      <c r="B146" s="231" t="s">
        <v>162</v>
      </c>
      <c r="E146" s="514"/>
      <c r="F146" s="525"/>
      <c r="G146" s="643"/>
      <c r="H146" s="644"/>
      <c r="I146" s="649"/>
      <c r="J146" s="524"/>
    </row>
    <row r="147" spans="1:10" x14ac:dyDescent="0.2">
      <c r="A147" s="223">
        <v>14</v>
      </c>
      <c r="B147" s="231" t="s">
        <v>164</v>
      </c>
      <c r="E147" s="514"/>
      <c r="F147" s="525"/>
      <c r="G147" s="645"/>
      <c r="H147" s="646"/>
      <c r="I147" s="514"/>
      <c r="J147" s="526"/>
    </row>
    <row r="148" spans="1:10" x14ac:dyDescent="0.2">
      <c r="A148" s="223">
        <v>15</v>
      </c>
      <c r="B148" s="231" t="s">
        <v>167</v>
      </c>
      <c r="E148" s="436"/>
      <c r="F148" s="513"/>
      <c r="G148" s="436"/>
      <c r="H148" s="436"/>
      <c r="I148" s="436"/>
      <c r="J148" s="513"/>
    </row>
    <row r="149" spans="1:10" ht="13.5" thickBot="1" x14ac:dyDescent="0.25">
      <c r="A149" s="223">
        <v>16</v>
      </c>
      <c r="B149" s="231" t="s">
        <v>184</v>
      </c>
      <c r="E149" s="527"/>
      <c r="F149" s="436"/>
      <c r="G149" s="513"/>
      <c r="H149" s="513"/>
      <c r="I149" s="436"/>
      <c r="J149" s="524"/>
    </row>
    <row r="150" spans="1:10" x14ac:dyDescent="0.2">
      <c r="A150" s="223">
        <v>17</v>
      </c>
      <c r="B150" s="231" t="s">
        <v>160</v>
      </c>
      <c r="E150" s="527"/>
      <c r="F150" s="436"/>
      <c r="G150" s="513"/>
      <c r="H150" s="513"/>
      <c r="I150" s="436"/>
      <c r="J150" s="526"/>
    </row>
    <row r="151" spans="1:10" x14ac:dyDescent="0.2">
      <c r="A151" s="223">
        <v>18</v>
      </c>
      <c r="B151" s="231" t="s">
        <v>175</v>
      </c>
    </row>
    <row r="152" spans="1:10" s="365" customFormat="1" x14ac:dyDescent="0.2">
      <c r="E152" s="2"/>
      <c r="F152" s="2"/>
      <c r="G152" s="2"/>
      <c r="H152" s="2"/>
      <c r="I152" s="2"/>
      <c r="J152" s="2"/>
    </row>
  </sheetData>
  <conditionalFormatting sqref="C7:F9 D10 F10 K23:N40 C40:F40">
    <cfRule type="cellIs" dxfId="857" priority="103" operator="equal">
      <formula>13</formula>
    </cfRule>
  </conditionalFormatting>
  <conditionalFormatting sqref="G7:G10">
    <cfRule type="duplicateValues" dxfId="856" priority="101"/>
    <cfRule type="cellIs" dxfId="855" priority="102" operator="equal">
      <formula>13</formula>
    </cfRule>
  </conditionalFormatting>
  <conditionalFormatting sqref="C7:F9 D10 F10 K23:N40 C40:F40">
    <cfRule type="cellIs" dxfId="854" priority="100" operator="greaterThan">
      <formula>13</formula>
    </cfRule>
  </conditionalFormatting>
  <conditionalFormatting sqref="B7 B9:B10">
    <cfRule type="duplicateValues" dxfId="853" priority="99"/>
  </conditionalFormatting>
  <conditionalFormatting sqref="C10">
    <cfRule type="cellIs" dxfId="852" priority="98" operator="equal">
      <formula>13</formula>
    </cfRule>
  </conditionalFormatting>
  <conditionalFormatting sqref="C10">
    <cfRule type="cellIs" dxfId="851" priority="97" operator="greaterThan">
      <formula>13</formula>
    </cfRule>
  </conditionalFormatting>
  <conditionalFormatting sqref="E10">
    <cfRule type="cellIs" dxfId="850" priority="96" operator="equal">
      <formula>13</formula>
    </cfRule>
  </conditionalFormatting>
  <conditionalFormatting sqref="E10">
    <cfRule type="cellIs" dxfId="849" priority="95" operator="greaterThan">
      <formula>13</formula>
    </cfRule>
  </conditionalFormatting>
  <conditionalFormatting sqref="C13:F15 D16 F16">
    <cfRule type="cellIs" dxfId="848" priority="43" operator="greaterThan">
      <formula>13</formula>
    </cfRule>
  </conditionalFormatting>
  <conditionalFormatting sqref="C42:M43 I123:J124 J126:J127 C79:M81 M44 C44:K58 C59:J78 C82:K83 C84:J95 C113:J115 M113:M115 C116:E136 F123:H125 F129:J136 F126:I128 F116:K122 K138:K139 E137:J138">
    <cfRule type="cellIs" dxfId="847" priority="49" stopIfTrue="1" operator="equal">
      <formula>13</formula>
    </cfRule>
  </conditionalFormatting>
  <conditionalFormatting sqref="C96:J112">
    <cfRule type="cellIs" dxfId="846" priority="48" stopIfTrue="1" operator="equal">
      <formula>13</formula>
    </cfRule>
  </conditionalFormatting>
  <conditionalFormatting sqref="E139:J150">
    <cfRule type="cellIs" dxfId="845" priority="47" stopIfTrue="1" operator="equal">
      <formula>13</formula>
    </cfRule>
  </conditionalFormatting>
  <conditionalFormatting sqref="C13:F15 D16 F16">
    <cfRule type="cellIs" dxfId="844" priority="46" operator="equal">
      <formula>13</formula>
    </cfRule>
  </conditionalFormatting>
  <conditionalFormatting sqref="G13:G16">
    <cfRule type="duplicateValues" dxfId="843" priority="44"/>
    <cfRule type="cellIs" dxfId="842" priority="45" operator="equal">
      <formula>13</formula>
    </cfRule>
  </conditionalFormatting>
  <conditionalFormatting sqref="B13:B16">
    <cfRule type="duplicateValues" dxfId="841" priority="42"/>
  </conditionalFormatting>
  <conditionalFormatting sqref="C16">
    <cfRule type="cellIs" dxfId="840" priority="41" operator="equal">
      <formula>13</formula>
    </cfRule>
  </conditionalFormatting>
  <conditionalFormatting sqref="C16">
    <cfRule type="cellIs" dxfId="839" priority="40" operator="greaterThan">
      <formula>13</formula>
    </cfRule>
  </conditionalFormatting>
  <conditionalFormatting sqref="E16">
    <cfRule type="cellIs" dxfId="838" priority="39" operator="equal">
      <formula>13</formula>
    </cfRule>
  </conditionalFormatting>
  <conditionalFormatting sqref="E16">
    <cfRule type="cellIs" dxfId="837" priority="38" operator="greaterThan">
      <formula>13</formula>
    </cfRule>
  </conditionalFormatting>
  <conditionalFormatting sqref="C19:F21 D22:D23 F22:F23">
    <cfRule type="cellIs" dxfId="836" priority="37" operator="equal">
      <formula>13</formula>
    </cfRule>
  </conditionalFormatting>
  <conditionalFormatting sqref="C19:F21 D22:D23 F22:F23">
    <cfRule type="cellIs" dxfId="835" priority="34" operator="greaterThan">
      <formula>13</formula>
    </cfRule>
  </conditionalFormatting>
  <conditionalFormatting sqref="C22:C23">
    <cfRule type="cellIs" dxfId="834" priority="32" operator="equal">
      <formula>13</formula>
    </cfRule>
  </conditionalFormatting>
  <conditionalFormatting sqref="C22:C23">
    <cfRule type="cellIs" dxfId="833" priority="31" operator="greaterThan">
      <formula>13</formula>
    </cfRule>
  </conditionalFormatting>
  <conditionalFormatting sqref="E22:E23">
    <cfRule type="cellIs" dxfId="832" priority="30" operator="equal">
      <formula>13</formula>
    </cfRule>
  </conditionalFormatting>
  <conditionalFormatting sqref="E22:E23">
    <cfRule type="cellIs" dxfId="831" priority="29" operator="greaterThan">
      <formula>13</formula>
    </cfRule>
  </conditionalFormatting>
  <conditionalFormatting sqref="C25:F27 D28 F28">
    <cfRule type="cellIs" dxfId="830" priority="28" operator="equal">
      <formula>13</formula>
    </cfRule>
  </conditionalFormatting>
  <conditionalFormatting sqref="G25:G28">
    <cfRule type="duplicateValues" dxfId="829" priority="26"/>
    <cfRule type="cellIs" dxfId="828" priority="27" operator="equal">
      <formula>13</formula>
    </cfRule>
  </conditionalFormatting>
  <conditionalFormatting sqref="C25:F27 D28 F28">
    <cfRule type="cellIs" dxfId="827" priority="25" operator="greaterThan">
      <formula>13</formula>
    </cfRule>
  </conditionalFormatting>
  <conditionalFormatting sqref="B25:B28">
    <cfRule type="duplicateValues" dxfId="826" priority="24"/>
  </conditionalFormatting>
  <conditionalFormatting sqref="C28">
    <cfRule type="cellIs" dxfId="825" priority="23" operator="equal">
      <formula>13</formula>
    </cfRule>
  </conditionalFormatting>
  <conditionalFormatting sqref="C28">
    <cfRule type="cellIs" dxfId="824" priority="22" operator="greaterThan">
      <formula>13</formula>
    </cfRule>
  </conditionalFormatting>
  <conditionalFormatting sqref="E28">
    <cfRule type="cellIs" dxfId="823" priority="21" operator="equal">
      <formula>13</formula>
    </cfRule>
  </conditionalFormatting>
  <conditionalFormatting sqref="E28">
    <cfRule type="cellIs" dxfId="822" priority="20" operator="greaterThan">
      <formula>13</formula>
    </cfRule>
  </conditionalFormatting>
  <conditionalFormatting sqref="C31:F33 D34 F34">
    <cfRule type="cellIs" dxfId="821" priority="19" operator="equal">
      <formula>13</formula>
    </cfRule>
  </conditionalFormatting>
  <conditionalFormatting sqref="G31:G34">
    <cfRule type="duplicateValues" dxfId="820" priority="17"/>
    <cfRule type="cellIs" dxfId="819" priority="18" operator="equal">
      <formula>13</formula>
    </cfRule>
  </conditionalFormatting>
  <conditionalFormatting sqref="C31:F33 D34 F34">
    <cfRule type="cellIs" dxfId="818" priority="16" operator="greaterThan">
      <formula>13</formula>
    </cfRule>
  </conditionalFormatting>
  <conditionalFormatting sqref="B31:B34">
    <cfRule type="duplicateValues" dxfId="817" priority="15"/>
  </conditionalFormatting>
  <conditionalFormatting sqref="C34">
    <cfRule type="cellIs" dxfId="816" priority="14" operator="equal">
      <formula>13</formula>
    </cfRule>
  </conditionalFormatting>
  <conditionalFormatting sqref="C34">
    <cfRule type="cellIs" dxfId="815" priority="13" operator="greaterThan">
      <formula>13</formula>
    </cfRule>
  </conditionalFormatting>
  <conditionalFormatting sqref="E34">
    <cfRule type="cellIs" dxfId="814" priority="12" operator="equal">
      <formula>13</formula>
    </cfRule>
  </conditionalFormatting>
  <conditionalFormatting sqref="E34">
    <cfRule type="cellIs" dxfId="813" priority="11" operator="greaterThan">
      <formula>13</formula>
    </cfRule>
  </conditionalFormatting>
  <conditionalFormatting sqref="C37:F39">
    <cfRule type="cellIs" dxfId="812" priority="10" operator="equal">
      <formula>13</formula>
    </cfRule>
  </conditionalFormatting>
  <conditionalFormatting sqref="C37:F39">
    <cfRule type="cellIs" dxfId="811" priority="7" operator="greaterThan">
      <formula>13</formula>
    </cfRule>
  </conditionalFormatting>
  <conditionalFormatting sqref="B8">
    <cfRule type="duplicateValues" dxfId="810" priority="1" stopIfTrue="1"/>
  </conditionalFormatting>
  <conditionalFormatting sqref="G19:G23">
    <cfRule type="duplicateValues" dxfId="809" priority="176"/>
    <cfRule type="cellIs" dxfId="808" priority="177" operator="equal">
      <formula>13</formula>
    </cfRule>
  </conditionalFormatting>
  <conditionalFormatting sqref="B19:B23">
    <cfRule type="duplicateValues" dxfId="807" priority="178"/>
  </conditionalFormatting>
  <conditionalFormatting sqref="O23:O40 G37:G40">
    <cfRule type="duplicateValues" dxfId="806" priority="179"/>
    <cfRule type="cellIs" dxfId="805" priority="180" operator="equal">
      <formula>13</formula>
    </cfRule>
  </conditionalFormatting>
  <conditionalFormatting sqref="J23:J40 B37:B40">
    <cfRule type="duplicateValues" dxfId="804" priority="183"/>
  </conditionalFormatting>
  <pageMargins left="0.78740157480314965" right="0.39370078740157483" top="0.78740157480314965" bottom="0.39370078740157483" header="0.59055118110236227" footer="0"/>
  <pageSetup paperSize="9" fitToHeight="0" orientation="portrait" verticalDpi="1200" r:id="rId1"/>
  <headerFooter>
    <oddHeader>&amp;R&amp;"Arial,Regular"&amp;9Page &amp;P of &amp;N</oddHeader>
  </headerFooter>
  <rowBreaks count="2" manualBreakCount="2">
    <brk id="40" max="16383" man="1"/>
    <brk id="95"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T46"/>
  <sheetViews>
    <sheetView showGridLines="0" showRowColHeaders="0" zoomScaleNormal="100" workbookViewId="0">
      <pane ySplit="6" topLeftCell="A7" activePane="bottomLeft" state="frozen"/>
      <selection activeCell="Q1" sqref="Q1"/>
      <selection pane="bottomLeft" activeCell="R1" sqref="R1"/>
    </sheetView>
  </sheetViews>
  <sheetFormatPr defaultRowHeight="12.75" x14ac:dyDescent="0.2"/>
  <cols>
    <col min="1" max="1" width="3.28515625" style="108" customWidth="1"/>
    <col min="2" max="2" width="3.28515625" style="112" customWidth="1"/>
    <col min="3" max="3" width="3.28515625" style="108" hidden="1" customWidth="1"/>
    <col min="4" max="4" width="4" style="108" customWidth="1"/>
    <col min="5" max="5" width="18.7109375" style="108" bestFit="1" customWidth="1"/>
    <col min="6" max="6" width="7.5703125" style="140" bestFit="1" customWidth="1"/>
    <col min="7" max="7" width="4.7109375" style="140" hidden="1" customWidth="1"/>
    <col min="8" max="9" width="7.5703125" style="140" hidden="1" customWidth="1"/>
    <col min="10" max="11" width="5.5703125" style="112" bestFit="1" customWidth="1"/>
    <col min="12" max="12" width="5.5703125" style="112" customWidth="1"/>
    <col min="13" max="15" width="3.28515625" style="108" bestFit="1" customWidth="1"/>
    <col min="16" max="16384" width="9.140625" style="108"/>
  </cols>
  <sheetData>
    <row r="1" spans="1:16" x14ac:dyDescent="0.2">
      <c r="B1" s="170"/>
      <c r="D1" s="169" t="s">
        <v>202</v>
      </c>
      <c r="E1" s="170"/>
      <c r="F1" s="170"/>
      <c r="G1" s="170"/>
      <c r="H1" s="170"/>
      <c r="I1" s="170"/>
      <c r="J1" s="108"/>
      <c r="K1" s="170"/>
      <c r="M1" s="354"/>
      <c r="N1" s="116" t="s">
        <v>71</v>
      </c>
      <c r="O1" s="116"/>
      <c r="P1" s="114" t="s">
        <v>70</v>
      </c>
    </row>
    <row r="2" spans="1:16" x14ac:dyDescent="0.2">
      <c r="B2" s="170"/>
      <c r="D2" s="367" t="s">
        <v>201</v>
      </c>
      <c r="E2" s="170"/>
      <c r="F2" s="170"/>
      <c r="G2" s="170"/>
      <c r="H2" s="170"/>
      <c r="I2" s="170"/>
      <c r="J2" s="170"/>
      <c r="K2" s="170"/>
      <c r="L2" s="170"/>
      <c r="N2" s="118" t="s">
        <v>73</v>
      </c>
      <c r="O2" s="118"/>
    </row>
    <row r="3" spans="1:16" x14ac:dyDescent="0.2">
      <c r="A3" s="170"/>
      <c r="B3" s="170"/>
      <c r="C3" s="170" t="s">
        <v>13</v>
      </c>
      <c r="D3" s="170"/>
      <c r="E3" s="170"/>
      <c r="F3" s="170"/>
      <c r="G3" s="170"/>
      <c r="H3" s="170"/>
      <c r="I3" s="170"/>
      <c r="J3" s="170"/>
      <c r="K3" s="170"/>
      <c r="L3" s="170"/>
      <c r="N3" s="119" t="s">
        <v>74</v>
      </c>
      <c r="O3" s="119"/>
    </row>
    <row r="4" spans="1:16" ht="31.5" customHeight="1" x14ac:dyDescent="0.2">
      <c r="A4" s="120"/>
      <c r="B4" s="120"/>
      <c r="C4" s="120"/>
      <c r="D4" s="137"/>
      <c r="E4" s="120"/>
      <c r="F4" s="137"/>
      <c r="G4" s="120"/>
      <c r="H4" s="120"/>
      <c r="I4" s="120"/>
      <c r="J4" s="368" t="str">
        <f>MID(Kalend!$A6,4,5)</f>
        <v>07.05</v>
      </c>
      <c r="K4" s="368" t="str">
        <f>MID(Kalend!$A7,4,5)</f>
        <v>10.05</v>
      </c>
      <c r="L4" s="368" t="str">
        <f>MID(Kalend!$A11,4,5)</f>
        <v>25.05</v>
      </c>
      <c r="M4" s="1441" t="s">
        <v>75</v>
      </c>
      <c r="N4" s="1442" t="s">
        <v>76</v>
      </c>
      <c r="O4" s="1443" t="s">
        <v>77</v>
      </c>
    </row>
    <row r="5" spans="1:16" x14ac:dyDescent="0.2">
      <c r="A5" s="1346"/>
      <c r="B5" s="1333"/>
      <c r="C5" s="1347"/>
      <c r="D5" s="1335" t="s">
        <v>78</v>
      </c>
      <c r="E5" s="122"/>
      <c r="F5" s="606" t="s">
        <v>153</v>
      </c>
      <c r="G5" s="597"/>
      <c r="H5" s="122"/>
      <c r="I5" s="122"/>
      <c r="J5" s="369" t="str">
        <f>HYPERLINK("#1!G1","  1  ")</f>
        <v xml:space="preserve">  1  </v>
      </c>
      <c r="K5" s="369" t="str">
        <f>HYPERLINK("#2!I1","  2  ")</f>
        <v xml:space="preserve">  2  </v>
      </c>
      <c r="L5" s="369" t="str">
        <f>HYPERLINK("#3!J1","  3  ")</f>
        <v xml:space="preserve">  3  </v>
      </c>
      <c r="M5" s="1441"/>
      <c r="N5" s="1442"/>
      <c r="O5" s="1443"/>
    </row>
    <row r="6" spans="1:16" x14ac:dyDescent="0.2">
      <c r="A6" s="126" t="s">
        <v>81</v>
      </c>
      <c r="B6" s="127" t="s">
        <v>82</v>
      </c>
      <c r="C6" s="1338" t="s">
        <v>79</v>
      </c>
      <c r="D6" s="599" t="s">
        <v>375</v>
      </c>
      <c r="E6" s="124" t="s">
        <v>84</v>
      </c>
      <c r="F6" s="599" t="s">
        <v>83</v>
      </c>
      <c r="G6" s="1336" t="s">
        <v>79</v>
      </c>
      <c r="H6" s="129" t="s">
        <v>154</v>
      </c>
      <c r="I6" s="128" t="s">
        <v>86</v>
      </c>
      <c r="J6" s="419" t="s">
        <v>88</v>
      </c>
      <c r="K6" s="419" t="s">
        <v>87</v>
      </c>
      <c r="L6" s="420" t="s">
        <v>89</v>
      </c>
      <c r="M6" s="352"/>
      <c r="N6" s="353"/>
      <c r="O6" s="354"/>
    </row>
    <row r="7" spans="1:16" x14ac:dyDescent="0.2">
      <c r="A7" s="954"/>
      <c r="B7" s="1329"/>
      <c r="C7" s="1339">
        <f t="shared" ref="C7:C41" si="0">RANK(G7,G$7:G$41,0)</f>
        <v>1</v>
      </c>
      <c r="D7" s="601">
        <v>1</v>
      </c>
      <c r="E7" s="654" t="s">
        <v>155</v>
      </c>
      <c r="F7" s="607">
        <v>100</v>
      </c>
      <c r="G7" s="1337">
        <f t="shared" ref="G7:G41" si="1">H7+I7</f>
        <v>100.12</v>
      </c>
      <c r="H7" s="134">
        <f t="shared" ref="H7:H41" si="2">IF(L7="",0,RANK(L7,L$7:L$41,1)/100)</f>
        <v>0.12</v>
      </c>
      <c r="I7" s="133">
        <f t="shared" ref="I7:I41" si="3">SUM(J7:L7)</f>
        <v>100</v>
      </c>
      <c r="J7" s="329">
        <v>40</v>
      </c>
      <c r="K7" s="330">
        <v>40</v>
      </c>
      <c r="L7" s="329">
        <v>20</v>
      </c>
      <c r="M7" s="136">
        <f t="shared" ref="M7:M41" si="4">COUNTIF(J7:L7,"&gt;=0")</f>
        <v>3</v>
      </c>
      <c r="N7" s="136">
        <f t="shared" ref="N7:N41" si="5">COUNTIF(J7:L7,"&gt;=30")</f>
        <v>2</v>
      </c>
      <c r="O7" s="136">
        <f t="shared" ref="O7:O41" si="6">COUNTIF(J7:L7,"=40")</f>
        <v>2</v>
      </c>
    </row>
    <row r="8" spans="1:16" x14ac:dyDescent="0.2">
      <c r="A8" s="954"/>
      <c r="B8" s="1329">
        <v>1</v>
      </c>
      <c r="C8" s="1339">
        <f t="shared" si="0"/>
        <v>2</v>
      </c>
      <c r="D8" s="601">
        <v>2</v>
      </c>
      <c r="E8" s="655" t="s">
        <v>166</v>
      </c>
      <c r="F8" s="600">
        <v>98</v>
      </c>
      <c r="G8" s="1337">
        <f t="shared" si="1"/>
        <v>98.16</v>
      </c>
      <c r="H8" s="134">
        <f t="shared" si="2"/>
        <v>0.16</v>
      </c>
      <c r="I8" s="133">
        <f t="shared" si="3"/>
        <v>98</v>
      </c>
      <c r="J8" s="329">
        <v>34</v>
      </c>
      <c r="K8" s="330">
        <v>34</v>
      </c>
      <c r="L8" s="329">
        <v>30</v>
      </c>
      <c r="M8" s="136">
        <f t="shared" si="4"/>
        <v>3</v>
      </c>
      <c r="N8" s="136">
        <f t="shared" si="5"/>
        <v>3</v>
      </c>
      <c r="O8" s="136">
        <f t="shared" si="6"/>
        <v>0</v>
      </c>
    </row>
    <row r="9" spans="1:16" x14ac:dyDescent="0.2">
      <c r="A9" s="954"/>
      <c r="B9" s="1329"/>
      <c r="C9" s="1339">
        <f t="shared" si="0"/>
        <v>3</v>
      </c>
      <c r="D9" s="601">
        <v>3</v>
      </c>
      <c r="E9" s="536" t="s">
        <v>156</v>
      </c>
      <c r="F9" s="600">
        <v>88</v>
      </c>
      <c r="G9" s="1337">
        <f t="shared" si="1"/>
        <v>88.13</v>
      </c>
      <c r="H9" s="134">
        <f t="shared" si="2"/>
        <v>0.13</v>
      </c>
      <c r="I9" s="133">
        <f t="shared" si="3"/>
        <v>88</v>
      </c>
      <c r="J9" s="329">
        <v>40</v>
      </c>
      <c r="K9" s="330">
        <v>26</v>
      </c>
      <c r="L9" s="329">
        <v>22</v>
      </c>
      <c r="M9" s="136">
        <f t="shared" si="4"/>
        <v>3</v>
      </c>
      <c r="N9" s="136">
        <f t="shared" si="5"/>
        <v>1</v>
      </c>
      <c r="O9" s="136">
        <f t="shared" si="6"/>
        <v>1</v>
      </c>
    </row>
    <row r="10" spans="1:16" x14ac:dyDescent="0.2">
      <c r="A10" s="954"/>
      <c r="B10" s="1329"/>
      <c r="C10" s="1339">
        <f t="shared" si="0"/>
        <v>4</v>
      </c>
      <c r="D10" s="601">
        <v>4</v>
      </c>
      <c r="E10" s="538" t="s">
        <v>177</v>
      </c>
      <c r="F10" s="600">
        <v>84</v>
      </c>
      <c r="G10" s="1337">
        <f t="shared" si="1"/>
        <v>84.17</v>
      </c>
      <c r="H10" s="134">
        <f t="shared" si="2"/>
        <v>0.17</v>
      </c>
      <c r="I10" s="133">
        <f t="shared" si="3"/>
        <v>84</v>
      </c>
      <c r="J10" s="329">
        <v>34</v>
      </c>
      <c r="K10" s="330">
        <v>16</v>
      </c>
      <c r="L10" s="329">
        <v>34</v>
      </c>
      <c r="M10" s="136">
        <f t="shared" si="4"/>
        <v>3</v>
      </c>
      <c r="N10" s="136">
        <f t="shared" si="5"/>
        <v>2</v>
      </c>
      <c r="O10" s="136">
        <f t="shared" si="6"/>
        <v>0</v>
      </c>
    </row>
    <row r="11" spans="1:16" x14ac:dyDescent="0.2">
      <c r="A11" s="954"/>
      <c r="B11" s="1329"/>
      <c r="C11" s="1339">
        <f t="shared" si="0"/>
        <v>5</v>
      </c>
      <c r="D11" s="601">
        <v>5</v>
      </c>
      <c r="E11" s="537" t="s">
        <v>157</v>
      </c>
      <c r="F11" s="600">
        <v>80</v>
      </c>
      <c r="G11" s="1337">
        <f t="shared" si="1"/>
        <v>80.14</v>
      </c>
      <c r="H11" s="134">
        <f t="shared" si="2"/>
        <v>0.14000000000000001</v>
      </c>
      <c r="I11" s="133">
        <f t="shared" si="3"/>
        <v>80</v>
      </c>
      <c r="J11" s="329">
        <v>30</v>
      </c>
      <c r="K11" s="330">
        <v>26</v>
      </c>
      <c r="L11" s="329">
        <v>24</v>
      </c>
      <c r="M11" s="136">
        <f t="shared" si="4"/>
        <v>3</v>
      </c>
      <c r="N11" s="136">
        <f t="shared" si="5"/>
        <v>1</v>
      </c>
      <c r="O11" s="136">
        <f t="shared" si="6"/>
        <v>0</v>
      </c>
    </row>
    <row r="12" spans="1:16" x14ac:dyDescent="0.2">
      <c r="A12" s="954"/>
      <c r="B12" s="1329"/>
      <c r="C12" s="1339">
        <f t="shared" si="0"/>
        <v>6</v>
      </c>
      <c r="D12" s="601">
        <v>6</v>
      </c>
      <c r="E12" s="537" t="s">
        <v>162</v>
      </c>
      <c r="F12" s="600">
        <v>76</v>
      </c>
      <c r="G12" s="1337">
        <f t="shared" si="1"/>
        <v>76.06</v>
      </c>
      <c r="H12" s="134">
        <f t="shared" si="2"/>
        <v>0.06</v>
      </c>
      <c r="I12" s="133">
        <f t="shared" si="3"/>
        <v>76</v>
      </c>
      <c r="J12" s="329">
        <v>34</v>
      </c>
      <c r="K12" s="330">
        <v>34</v>
      </c>
      <c r="L12" s="329">
        <v>8</v>
      </c>
      <c r="M12" s="136">
        <f t="shared" si="4"/>
        <v>3</v>
      </c>
      <c r="N12" s="136">
        <f t="shared" si="5"/>
        <v>2</v>
      </c>
      <c r="O12" s="136">
        <f t="shared" si="6"/>
        <v>0</v>
      </c>
    </row>
    <row r="13" spans="1:16" x14ac:dyDescent="0.2">
      <c r="A13" s="1328">
        <v>1</v>
      </c>
      <c r="B13" s="1330"/>
      <c r="C13" s="1339">
        <f t="shared" si="0"/>
        <v>7</v>
      </c>
      <c r="D13" s="601">
        <v>7</v>
      </c>
      <c r="E13" s="539" t="s">
        <v>171</v>
      </c>
      <c r="F13" s="600">
        <v>74</v>
      </c>
      <c r="G13" s="1337">
        <f t="shared" si="1"/>
        <v>74.09</v>
      </c>
      <c r="H13" s="134">
        <f t="shared" si="2"/>
        <v>0.09</v>
      </c>
      <c r="I13" s="133">
        <f t="shared" si="3"/>
        <v>74</v>
      </c>
      <c r="J13" s="329">
        <v>30</v>
      </c>
      <c r="K13" s="329">
        <v>30</v>
      </c>
      <c r="L13" s="329">
        <v>14</v>
      </c>
      <c r="M13" s="136">
        <f t="shared" si="4"/>
        <v>3</v>
      </c>
      <c r="N13" s="136">
        <f t="shared" si="5"/>
        <v>2</v>
      </c>
      <c r="O13" s="136">
        <f t="shared" si="6"/>
        <v>0</v>
      </c>
    </row>
    <row r="14" spans="1:16" x14ac:dyDescent="0.2">
      <c r="A14" s="954"/>
      <c r="B14" s="1329"/>
      <c r="C14" s="1339">
        <f t="shared" si="0"/>
        <v>8</v>
      </c>
      <c r="D14" s="601">
        <v>8</v>
      </c>
      <c r="E14" s="348" t="s">
        <v>164</v>
      </c>
      <c r="F14" s="600">
        <v>66</v>
      </c>
      <c r="G14" s="1337">
        <f t="shared" si="1"/>
        <v>66.05</v>
      </c>
      <c r="H14" s="134">
        <f t="shared" si="2"/>
        <v>0.05</v>
      </c>
      <c r="I14" s="133">
        <f t="shared" si="3"/>
        <v>66</v>
      </c>
      <c r="J14" s="330">
        <v>30</v>
      </c>
      <c r="K14" s="330">
        <v>30</v>
      </c>
      <c r="L14" s="329">
        <v>6</v>
      </c>
      <c r="M14" s="136">
        <f t="shared" si="4"/>
        <v>3</v>
      </c>
      <c r="N14" s="136">
        <f t="shared" si="5"/>
        <v>2</v>
      </c>
      <c r="O14" s="136">
        <f t="shared" si="6"/>
        <v>0</v>
      </c>
    </row>
    <row r="15" spans="1:16" x14ac:dyDescent="0.2">
      <c r="A15" s="954"/>
      <c r="B15" s="1329"/>
      <c r="C15" s="1339">
        <f t="shared" si="0"/>
        <v>9</v>
      </c>
      <c r="D15" s="601">
        <v>9</v>
      </c>
      <c r="E15" s="348" t="s">
        <v>170</v>
      </c>
      <c r="F15" s="600">
        <v>60</v>
      </c>
      <c r="G15" s="1337">
        <f t="shared" si="1"/>
        <v>60</v>
      </c>
      <c r="H15" s="134">
        <f t="shared" si="2"/>
        <v>0</v>
      </c>
      <c r="I15" s="133">
        <f t="shared" si="3"/>
        <v>60</v>
      </c>
      <c r="J15" s="329">
        <v>20</v>
      </c>
      <c r="K15" s="330">
        <v>40</v>
      </c>
      <c r="L15" s="330"/>
      <c r="M15" s="136">
        <f t="shared" si="4"/>
        <v>2</v>
      </c>
      <c r="N15" s="136">
        <f t="shared" si="5"/>
        <v>1</v>
      </c>
      <c r="O15" s="136">
        <f t="shared" si="6"/>
        <v>1</v>
      </c>
    </row>
    <row r="16" spans="1:16" x14ac:dyDescent="0.2">
      <c r="A16" s="1328"/>
      <c r="B16" s="1330"/>
      <c r="C16" s="1339">
        <f t="shared" si="0"/>
        <v>10</v>
      </c>
      <c r="D16" s="601">
        <v>10</v>
      </c>
      <c r="E16" s="348" t="s">
        <v>159</v>
      </c>
      <c r="F16" s="600">
        <v>58</v>
      </c>
      <c r="G16" s="1337">
        <f t="shared" si="1"/>
        <v>58.11</v>
      </c>
      <c r="H16" s="134">
        <f t="shared" si="2"/>
        <v>0.11</v>
      </c>
      <c r="I16" s="133">
        <f t="shared" si="3"/>
        <v>58</v>
      </c>
      <c r="J16" s="329">
        <v>24</v>
      </c>
      <c r="K16" s="329">
        <v>16</v>
      </c>
      <c r="L16" s="330">
        <v>18</v>
      </c>
      <c r="M16" s="136">
        <f t="shared" si="4"/>
        <v>3</v>
      </c>
      <c r="N16" s="136">
        <f t="shared" si="5"/>
        <v>0</v>
      </c>
      <c r="O16" s="136">
        <f t="shared" si="6"/>
        <v>0</v>
      </c>
    </row>
    <row r="17" spans="1:20" x14ac:dyDescent="0.2">
      <c r="A17" s="954"/>
      <c r="B17" s="1329"/>
      <c r="C17" s="1339">
        <f t="shared" si="0"/>
        <v>11</v>
      </c>
      <c r="D17" s="601">
        <v>11</v>
      </c>
      <c r="E17" s="349" t="s">
        <v>160</v>
      </c>
      <c r="F17" s="600">
        <v>51</v>
      </c>
      <c r="G17" s="1337">
        <f t="shared" si="1"/>
        <v>51.01</v>
      </c>
      <c r="H17" s="134">
        <f t="shared" si="2"/>
        <v>0.01</v>
      </c>
      <c r="I17" s="133">
        <f t="shared" si="3"/>
        <v>51</v>
      </c>
      <c r="J17" s="329">
        <v>26</v>
      </c>
      <c r="K17" s="330">
        <v>24</v>
      </c>
      <c r="L17" s="329">
        <v>1</v>
      </c>
      <c r="M17" s="136">
        <f t="shared" si="4"/>
        <v>3</v>
      </c>
      <c r="N17" s="136">
        <f t="shared" si="5"/>
        <v>0</v>
      </c>
      <c r="O17" s="136">
        <f t="shared" si="6"/>
        <v>0</v>
      </c>
    </row>
    <row r="18" spans="1:20" x14ac:dyDescent="0.2">
      <c r="A18" s="954"/>
      <c r="B18" s="1329"/>
      <c r="C18" s="1339">
        <f t="shared" si="0"/>
        <v>12</v>
      </c>
      <c r="D18" s="601">
        <v>12</v>
      </c>
      <c r="E18" s="348" t="s">
        <v>169</v>
      </c>
      <c r="F18" s="600">
        <v>48</v>
      </c>
      <c r="G18" s="1337">
        <f t="shared" si="1"/>
        <v>48.15</v>
      </c>
      <c r="H18" s="134">
        <f t="shared" si="2"/>
        <v>0.15</v>
      </c>
      <c r="I18" s="133">
        <f t="shared" si="3"/>
        <v>48</v>
      </c>
      <c r="J18" s="329">
        <v>22</v>
      </c>
      <c r="K18" s="330"/>
      <c r="L18" s="329">
        <v>26</v>
      </c>
      <c r="M18" s="136">
        <f t="shared" si="4"/>
        <v>2</v>
      </c>
      <c r="N18" s="136">
        <f t="shared" si="5"/>
        <v>0</v>
      </c>
      <c r="O18" s="136">
        <f t="shared" si="6"/>
        <v>0</v>
      </c>
    </row>
    <row r="19" spans="1:20" x14ac:dyDescent="0.2">
      <c r="A19" s="954"/>
      <c r="B19" s="1329"/>
      <c r="C19" s="1339">
        <f t="shared" si="0"/>
        <v>13</v>
      </c>
      <c r="D19" s="601">
        <v>13</v>
      </c>
      <c r="E19" s="537" t="s">
        <v>175</v>
      </c>
      <c r="F19" s="600">
        <v>41</v>
      </c>
      <c r="G19" s="1337">
        <f t="shared" si="1"/>
        <v>41.01</v>
      </c>
      <c r="H19" s="134">
        <f t="shared" si="2"/>
        <v>0.01</v>
      </c>
      <c r="I19" s="133">
        <f t="shared" si="3"/>
        <v>41</v>
      </c>
      <c r="J19" s="329">
        <v>16</v>
      </c>
      <c r="K19" s="330">
        <v>24</v>
      </c>
      <c r="L19" s="329">
        <v>1</v>
      </c>
      <c r="M19" s="136">
        <f t="shared" si="4"/>
        <v>3</v>
      </c>
      <c r="N19" s="136">
        <f t="shared" si="5"/>
        <v>0</v>
      </c>
      <c r="O19" s="136">
        <f t="shared" si="6"/>
        <v>0</v>
      </c>
    </row>
    <row r="20" spans="1:20" x14ac:dyDescent="0.2">
      <c r="A20" s="1328"/>
      <c r="B20" s="1330"/>
      <c r="C20" s="1339">
        <f t="shared" si="0"/>
        <v>14</v>
      </c>
      <c r="D20" s="605">
        <v>14</v>
      </c>
      <c r="E20" s="653" t="s">
        <v>173</v>
      </c>
      <c r="F20" s="600">
        <v>40</v>
      </c>
      <c r="G20" s="1337">
        <f t="shared" si="1"/>
        <v>40.18</v>
      </c>
      <c r="H20" s="134">
        <f t="shared" si="2"/>
        <v>0.18</v>
      </c>
      <c r="I20" s="133">
        <f t="shared" si="3"/>
        <v>40</v>
      </c>
      <c r="J20" s="329"/>
      <c r="K20" s="330"/>
      <c r="L20" s="329">
        <v>40</v>
      </c>
      <c r="M20" s="136">
        <f t="shared" si="4"/>
        <v>1</v>
      </c>
      <c r="N20" s="136">
        <f t="shared" si="5"/>
        <v>1</v>
      </c>
      <c r="O20" s="136">
        <f t="shared" si="6"/>
        <v>1</v>
      </c>
    </row>
    <row r="21" spans="1:20" x14ac:dyDescent="0.2">
      <c r="A21" s="954">
        <v>2</v>
      </c>
      <c r="B21" s="1329"/>
      <c r="C21" s="1339">
        <f t="shared" si="0"/>
        <v>15</v>
      </c>
      <c r="D21" s="601">
        <v>15</v>
      </c>
      <c r="E21" s="539" t="s">
        <v>165</v>
      </c>
      <c r="F21" s="600">
        <v>40</v>
      </c>
      <c r="G21" s="1337">
        <f t="shared" si="1"/>
        <v>40</v>
      </c>
      <c r="H21" s="134">
        <f t="shared" si="2"/>
        <v>0</v>
      </c>
      <c r="I21" s="133">
        <f t="shared" si="3"/>
        <v>40</v>
      </c>
      <c r="J21" s="329">
        <v>40</v>
      </c>
      <c r="K21" s="330"/>
      <c r="L21" s="329"/>
      <c r="M21" s="136">
        <f t="shared" si="4"/>
        <v>1</v>
      </c>
      <c r="N21" s="136">
        <f t="shared" si="5"/>
        <v>1</v>
      </c>
      <c r="O21" s="136">
        <f t="shared" si="6"/>
        <v>1</v>
      </c>
    </row>
    <row r="22" spans="1:20" x14ac:dyDescent="0.2">
      <c r="A22" s="954"/>
      <c r="B22" s="1329"/>
      <c r="C22" s="1339">
        <f t="shared" si="0"/>
        <v>16</v>
      </c>
      <c r="D22" s="601">
        <v>16</v>
      </c>
      <c r="E22" s="348" t="s">
        <v>161</v>
      </c>
      <c r="F22" s="600">
        <v>38</v>
      </c>
      <c r="G22" s="1337">
        <f t="shared" si="1"/>
        <v>38</v>
      </c>
      <c r="H22" s="134">
        <f t="shared" si="2"/>
        <v>0</v>
      </c>
      <c r="I22" s="133">
        <f t="shared" si="3"/>
        <v>38</v>
      </c>
      <c r="J22" s="329">
        <v>18</v>
      </c>
      <c r="K22" s="330">
        <v>20</v>
      </c>
      <c r="L22" s="329"/>
      <c r="M22" s="136">
        <f t="shared" si="4"/>
        <v>2</v>
      </c>
      <c r="N22" s="136">
        <f t="shared" si="5"/>
        <v>0</v>
      </c>
      <c r="O22" s="136">
        <f t="shared" si="6"/>
        <v>0</v>
      </c>
    </row>
    <row r="23" spans="1:20" s="140" customFormat="1" x14ac:dyDescent="0.2">
      <c r="A23" s="954">
        <v>3</v>
      </c>
      <c r="B23" s="1329"/>
      <c r="C23" s="1339">
        <f t="shared" si="0"/>
        <v>17</v>
      </c>
      <c r="D23" s="601">
        <v>17</v>
      </c>
      <c r="E23" s="541" t="s">
        <v>313</v>
      </c>
      <c r="F23" s="600">
        <v>34</v>
      </c>
      <c r="G23" s="1337">
        <f t="shared" si="1"/>
        <v>34</v>
      </c>
      <c r="H23" s="134">
        <f t="shared" si="2"/>
        <v>0</v>
      </c>
      <c r="I23" s="133">
        <f t="shared" si="3"/>
        <v>34</v>
      </c>
      <c r="J23" s="329">
        <v>16</v>
      </c>
      <c r="K23" s="330">
        <v>18</v>
      </c>
      <c r="L23" s="329"/>
      <c r="M23" s="136">
        <f t="shared" si="4"/>
        <v>2</v>
      </c>
      <c r="N23" s="136">
        <f t="shared" si="5"/>
        <v>0</v>
      </c>
      <c r="O23" s="136">
        <f t="shared" si="6"/>
        <v>0</v>
      </c>
      <c r="S23" s="108"/>
      <c r="T23" s="108"/>
    </row>
    <row r="24" spans="1:20" x14ac:dyDescent="0.2">
      <c r="A24" s="954"/>
      <c r="B24" s="1329"/>
      <c r="C24" s="1339">
        <f t="shared" si="0"/>
        <v>17</v>
      </c>
      <c r="D24" s="601">
        <v>17</v>
      </c>
      <c r="E24" s="348" t="s">
        <v>314</v>
      </c>
      <c r="F24" s="600">
        <v>34</v>
      </c>
      <c r="G24" s="1337">
        <f t="shared" si="1"/>
        <v>34</v>
      </c>
      <c r="H24" s="134">
        <f t="shared" si="2"/>
        <v>0</v>
      </c>
      <c r="I24" s="133">
        <f t="shared" si="3"/>
        <v>34</v>
      </c>
      <c r="J24" s="329">
        <v>16</v>
      </c>
      <c r="K24" s="330">
        <v>18</v>
      </c>
      <c r="L24" s="329"/>
      <c r="M24" s="136">
        <f t="shared" si="4"/>
        <v>2</v>
      </c>
      <c r="N24" s="136">
        <f t="shared" si="5"/>
        <v>0</v>
      </c>
      <c r="O24" s="136">
        <f t="shared" si="6"/>
        <v>0</v>
      </c>
    </row>
    <row r="25" spans="1:20" s="140" customFormat="1" x14ac:dyDescent="0.2">
      <c r="A25" s="954"/>
      <c r="B25" s="1329"/>
      <c r="C25" s="1339">
        <f t="shared" si="0"/>
        <v>19</v>
      </c>
      <c r="D25" s="601">
        <v>19</v>
      </c>
      <c r="E25" s="349" t="s">
        <v>168</v>
      </c>
      <c r="F25" s="600">
        <v>30</v>
      </c>
      <c r="G25" s="1337">
        <f t="shared" si="1"/>
        <v>30.07</v>
      </c>
      <c r="H25" s="134">
        <f t="shared" si="2"/>
        <v>7.0000000000000007E-2</v>
      </c>
      <c r="I25" s="133">
        <f t="shared" si="3"/>
        <v>30</v>
      </c>
      <c r="J25" s="329">
        <v>20</v>
      </c>
      <c r="K25" s="329"/>
      <c r="L25" s="330">
        <v>10</v>
      </c>
      <c r="M25" s="136">
        <f t="shared" si="4"/>
        <v>2</v>
      </c>
      <c r="N25" s="136">
        <f t="shared" si="5"/>
        <v>0</v>
      </c>
      <c r="O25" s="136">
        <f t="shared" si="6"/>
        <v>0</v>
      </c>
      <c r="S25" s="108"/>
      <c r="T25" s="108"/>
    </row>
    <row r="26" spans="1:20" x14ac:dyDescent="0.2">
      <c r="A26" s="1328"/>
      <c r="B26" s="1330"/>
      <c r="C26" s="1339">
        <f t="shared" si="0"/>
        <v>20</v>
      </c>
      <c r="D26" s="605">
        <v>20</v>
      </c>
      <c r="E26" s="538" t="s">
        <v>183</v>
      </c>
      <c r="F26" s="600">
        <v>26</v>
      </c>
      <c r="G26" s="1337">
        <f t="shared" si="1"/>
        <v>26.08</v>
      </c>
      <c r="H26" s="134">
        <f t="shared" si="2"/>
        <v>0.08</v>
      </c>
      <c r="I26" s="133">
        <f t="shared" si="3"/>
        <v>26</v>
      </c>
      <c r="J26" s="329">
        <v>14</v>
      </c>
      <c r="K26" s="329"/>
      <c r="L26" s="329">
        <v>12</v>
      </c>
      <c r="M26" s="136">
        <f t="shared" si="4"/>
        <v>2</v>
      </c>
      <c r="N26" s="136">
        <f t="shared" si="5"/>
        <v>0</v>
      </c>
      <c r="O26" s="136">
        <f t="shared" si="6"/>
        <v>0</v>
      </c>
    </row>
    <row r="27" spans="1:20" x14ac:dyDescent="0.2">
      <c r="A27" s="954">
        <v>4</v>
      </c>
      <c r="B27" s="1329"/>
      <c r="C27" s="1339">
        <f t="shared" si="0"/>
        <v>21</v>
      </c>
      <c r="D27" s="601">
        <v>21</v>
      </c>
      <c r="E27" s="539" t="s">
        <v>184</v>
      </c>
      <c r="F27" s="600">
        <v>26</v>
      </c>
      <c r="G27" s="1337">
        <f t="shared" si="1"/>
        <v>26.03</v>
      </c>
      <c r="H27" s="134">
        <f t="shared" si="2"/>
        <v>0.03</v>
      </c>
      <c r="I27" s="133">
        <f t="shared" si="3"/>
        <v>26</v>
      </c>
      <c r="J27" s="329">
        <v>24</v>
      </c>
      <c r="K27" s="330"/>
      <c r="L27" s="329">
        <v>2</v>
      </c>
      <c r="M27" s="136">
        <f t="shared" si="4"/>
        <v>2</v>
      </c>
      <c r="N27" s="136">
        <f t="shared" si="5"/>
        <v>0</v>
      </c>
      <c r="O27" s="136">
        <f t="shared" si="6"/>
        <v>0</v>
      </c>
    </row>
    <row r="28" spans="1:20" s="140" customFormat="1" x14ac:dyDescent="0.2">
      <c r="A28" s="954">
        <v>5</v>
      </c>
      <c r="B28" s="1329"/>
      <c r="C28" s="1339">
        <f t="shared" si="0"/>
        <v>22</v>
      </c>
      <c r="D28" s="605">
        <v>22</v>
      </c>
      <c r="E28" s="541" t="s">
        <v>178</v>
      </c>
      <c r="F28" s="600">
        <v>26</v>
      </c>
      <c r="G28" s="1337">
        <f t="shared" si="1"/>
        <v>26</v>
      </c>
      <c r="H28" s="134">
        <f t="shared" si="2"/>
        <v>0</v>
      </c>
      <c r="I28" s="133">
        <f t="shared" si="3"/>
        <v>26</v>
      </c>
      <c r="J28" s="329">
        <v>26</v>
      </c>
      <c r="K28" s="330"/>
      <c r="L28" s="329"/>
      <c r="M28" s="136">
        <f t="shared" si="4"/>
        <v>1</v>
      </c>
      <c r="N28" s="136">
        <f t="shared" si="5"/>
        <v>0</v>
      </c>
      <c r="O28" s="136">
        <f t="shared" si="6"/>
        <v>0</v>
      </c>
      <c r="S28" s="108"/>
      <c r="T28" s="108"/>
    </row>
    <row r="29" spans="1:20" x14ac:dyDescent="0.2">
      <c r="A29" s="954"/>
      <c r="B29" s="1329"/>
      <c r="C29" s="1339">
        <f t="shared" si="0"/>
        <v>22</v>
      </c>
      <c r="D29" s="601">
        <v>22</v>
      </c>
      <c r="E29" s="348" t="s">
        <v>163</v>
      </c>
      <c r="F29" s="600">
        <v>26</v>
      </c>
      <c r="G29" s="1337">
        <f t="shared" si="1"/>
        <v>26</v>
      </c>
      <c r="H29" s="134">
        <f t="shared" si="2"/>
        <v>0</v>
      </c>
      <c r="I29" s="133">
        <f t="shared" si="3"/>
        <v>26</v>
      </c>
      <c r="J29" s="329">
        <v>26</v>
      </c>
      <c r="K29" s="329"/>
      <c r="L29" s="330"/>
      <c r="M29" s="136">
        <f t="shared" si="4"/>
        <v>1</v>
      </c>
      <c r="N29" s="136">
        <f t="shared" si="5"/>
        <v>0</v>
      </c>
      <c r="O29" s="136">
        <f t="shared" si="6"/>
        <v>0</v>
      </c>
    </row>
    <row r="30" spans="1:20" x14ac:dyDescent="0.2">
      <c r="A30" s="954"/>
      <c r="B30" s="1329"/>
      <c r="C30" s="1339">
        <f t="shared" si="0"/>
        <v>24</v>
      </c>
      <c r="D30" s="605">
        <v>24</v>
      </c>
      <c r="E30" s="139" t="s">
        <v>167</v>
      </c>
      <c r="F30" s="600">
        <v>24</v>
      </c>
      <c r="G30" s="1337">
        <f t="shared" si="1"/>
        <v>24.04</v>
      </c>
      <c r="H30" s="134">
        <f t="shared" si="2"/>
        <v>0.04</v>
      </c>
      <c r="I30" s="133">
        <f t="shared" si="3"/>
        <v>24</v>
      </c>
      <c r="J30" s="329"/>
      <c r="K30" s="330">
        <v>20</v>
      </c>
      <c r="L30" s="329">
        <v>4</v>
      </c>
      <c r="M30" s="136">
        <f t="shared" si="4"/>
        <v>2</v>
      </c>
      <c r="N30" s="136">
        <f t="shared" si="5"/>
        <v>0</v>
      </c>
      <c r="O30" s="136">
        <f t="shared" si="6"/>
        <v>0</v>
      </c>
    </row>
    <row r="31" spans="1:20" s="140" customFormat="1" x14ac:dyDescent="0.2">
      <c r="A31" s="954"/>
      <c r="B31" s="1329"/>
      <c r="C31" s="1339">
        <f t="shared" si="0"/>
        <v>25</v>
      </c>
      <c r="D31" s="601">
        <v>25</v>
      </c>
      <c r="E31" s="349" t="s">
        <v>158</v>
      </c>
      <c r="F31" s="600">
        <v>24</v>
      </c>
      <c r="G31" s="1337">
        <f t="shared" si="1"/>
        <v>24</v>
      </c>
      <c r="H31" s="134">
        <f t="shared" si="2"/>
        <v>0</v>
      </c>
      <c r="I31" s="133">
        <f t="shared" si="3"/>
        <v>24</v>
      </c>
      <c r="J31" s="329">
        <v>24</v>
      </c>
      <c r="K31" s="330"/>
      <c r="L31" s="329"/>
      <c r="M31" s="136">
        <f t="shared" si="4"/>
        <v>1</v>
      </c>
      <c r="N31" s="136">
        <f t="shared" si="5"/>
        <v>0</v>
      </c>
      <c r="O31" s="136">
        <f t="shared" si="6"/>
        <v>0</v>
      </c>
      <c r="S31" s="108"/>
      <c r="T31" s="108"/>
    </row>
    <row r="32" spans="1:20" s="140" customFormat="1" x14ac:dyDescent="0.2">
      <c r="A32" s="954">
        <v>6</v>
      </c>
      <c r="B32" s="1329"/>
      <c r="C32" s="1339">
        <f t="shared" si="0"/>
        <v>26</v>
      </c>
      <c r="D32" s="601">
        <v>26</v>
      </c>
      <c r="E32" s="541" t="s">
        <v>330</v>
      </c>
      <c r="F32" s="600">
        <v>22</v>
      </c>
      <c r="G32" s="1337">
        <f t="shared" si="1"/>
        <v>22</v>
      </c>
      <c r="H32" s="134">
        <f t="shared" si="2"/>
        <v>0</v>
      </c>
      <c r="I32" s="133">
        <f t="shared" si="3"/>
        <v>22</v>
      </c>
      <c r="J32" s="329">
        <v>22</v>
      </c>
      <c r="K32" s="330"/>
      <c r="L32" s="329"/>
      <c r="M32" s="136">
        <f t="shared" si="4"/>
        <v>1</v>
      </c>
      <c r="N32" s="136">
        <f t="shared" si="5"/>
        <v>0</v>
      </c>
      <c r="O32" s="136">
        <f t="shared" si="6"/>
        <v>0</v>
      </c>
      <c r="S32" s="108"/>
      <c r="T32" s="108"/>
    </row>
    <row r="33" spans="1:20" s="140" customFormat="1" x14ac:dyDescent="0.2">
      <c r="A33" s="954"/>
      <c r="B33" s="1329"/>
      <c r="C33" s="1339">
        <f t="shared" si="0"/>
        <v>26</v>
      </c>
      <c r="D33" s="605">
        <v>26</v>
      </c>
      <c r="E33" s="348" t="s">
        <v>179</v>
      </c>
      <c r="F33" s="600">
        <v>22</v>
      </c>
      <c r="G33" s="1337">
        <f t="shared" si="1"/>
        <v>22</v>
      </c>
      <c r="H33" s="134">
        <f t="shared" si="2"/>
        <v>0</v>
      </c>
      <c r="I33" s="133">
        <f t="shared" si="3"/>
        <v>22</v>
      </c>
      <c r="J33" s="329">
        <v>22</v>
      </c>
      <c r="K33" s="330"/>
      <c r="L33" s="329"/>
      <c r="M33" s="136">
        <f t="shared" si="4"/>
        <v>1</v>
      </c>
      <c r="N33" s="136">
        <f t="shared" si="5"/>
        <v>0</v>
      </c>
      <c r="O33" s="136">
        <f t="shared" si="6"/>
        <v>0</v>
      </c>
      <c r="S33" s="108"/>
      <c r="T33" s="108"/>
    </row>
    <row r="34" spans="1:20" x14ac:dyDescent="0.2">
      <c r="A34" s="954"/>
      <c r="B34" s="1329"/>
      <c r="C34" s="1339">
        <f t="shared" si="0"/>
        <v>26</v>
      </c>
      <c r="D34" s="605">
        <v>26</v>
      </c>
      <c r="E34" s="153" t="s">
        <v>174</v>
      </c>
      <c r="F34" s="600">
        <v>22</v>
      </c>
      <c r="G34" s="1337">
        <f t="shared" si="1"/>
        <v>22</v>
      </c>
      <c r="H34" s="134">
        <f t="shared" si="2"/>
        <v>0</v>
      </c>
      <c r="I34" s="133">
        <f t="shared" si="3"/>
        <v>22</v>
      </c>
      <c r="J34" s="329"/>
      <c r="K34" s="330">
        <v>22</v>
      </c>
      <c r="L34" s="329"/>
      <c r="M34" s="136">
        <f t="shared" si="4"/>
        <v>1</v>
      </c>
      <c r="N34" s="136">
        <f t="shared" si="5"/>
        <v>0</v>
      </c>
      <c r="O34" s="136">
        <f t="shared" si="6"/>
        <v>0</v>
      </c>
    </row>
    <row r="35" spans="1:20" x14ac:dyDescent="0.2">
      <c r="A35" s="954"/>
      <c r="B35" s="1348"/>
      <c r="C35" s="1339">
        <f t="shared" si="0"/>
        <v>26</v>
      </c>
      <c r="D35" s="605">
        <v>26</v>
      </c>
      <c r="E35" s="139" t="s">
        <v>374</v>
      </c>
      <c r="F35" s="600">
        <v>22</v>
      </c>
      <c r="G35" s="1337">
        <f t="shared" si="1"/>
        <v>22</v>
      </c>
      <c r="H35" s="134">
        <f t="shared" si="2"/>
        <v>0</v>
      </c>
      <c r="I35" s="133">
        <f t="shared" si="3"/>
        <v>22</v>
      </c>
      <c r="J35" s="329"/>
      <c r="K35" s="330">
        <v>22</v>
      </c>
      <c r="L35" s="329"/>
      <c r="M35" s="136">
        <f t="shared" si="4"/>
        <v>1</v>
      </c>
      <c r="N35" s="136">
        <f t="shared" si="5"/>
        <v>0</v>
      </c>
      <c r="O35" s="136">
        <f t="shared" si="6"/>
        <v>0</v>
      </c>
    </row>
    <row r="36" spans="1:20" x14ac:dyDescent="0.2">
      <c r="A36" s="1328"/>
      <c r="B36" s="1330"/>
      <c r="C36" s="1339">
        <f t="shared" si="0"/>
        <v>30</v>
      </c>
      <c r="D36" s="605">
        <v>30</v>
      </c>
      <c r="E36" s="537" t="s">
        <v>176</v>
      </c>
      <c r="F36" s="600">
        <v>20</v>
      </c>
      <c r="G36" s="1337">
        <f t="shared" si="1"/>
        <v>20</v>
      </c>
      <c r="H36" s="134">
        <f t="shared" si="2"/>
        <v>0</v>
      </c>
      <c r="I36" s="133">
        <f t="shared" si="3"/>
        <v>20</v>
      </c>
      <c r="J36" s="329">
        <v>20</v>
      </c>
      <c r="K36" s="330"/>
      <c r="L36" s="329"/>
      <c r="M36" s="136">
        <f t="shared" si="4"/>
        <v>1</v>
      </c>
      <c r="N36" s="136">
        <f t="shared" si="5"/>
        <v>0</v>
      </c>
      <c r="O36" s="136">
        <f t="shared" si="6"/>
        <v>0</v>
      </c>
    </row>
    <row r="37" spans="1:20" x14ac:dyDescent="0.2">
      <c r="A37" s="954">
        <v>7</v>
      </c>
      <c r="B37" s="1329"/>
      <c r="C37" s="1339">
        <f t="shared" si="0"/>
        <v>31</v>
      </c>
      <c r="D37" s="601">
        <v>31</v>
      </c>
      <c r="E37" s="541" t="s">
        <v>331</v>
      </c>
      <c r="F37" s="600">
        <v>18</v>
      </c>
      <c r="G37" s="1337">
        <f t="shared" si="1"/>
        <v>18</v>
      </c>
      <c r="H37" s="134">
        <f t="shared" si="2"/>
        <v>0</v>
      </c>
      <c r="I37" s="133">
        <f t="shared" si="3"/>
        <v>18</v>
      </c>
      <c r="J37" s="329">
        <v>18</v>
      </c>
      <c r="K37" s="330"/>
      <c r="L37" s="329"/>
      <c r="M37" s="136">
        <f t="shared" si="4"/>
        <v>1</v>
      </c>
      <c r="N37" s="136">
        <f t="shared" si="5"/>
        <v>0</v>
      </c>
      <c r="O37" s="136">
        <f t="shared" si="6"/>
        <v>0</v>
      </c>
    </row>
    <row r="38" spans="1:20" x14ac:dyDescent="0.2">
      <c r="A38" s="954"/>
      <c r="B38" s="1329"/>
      <c r="C38" s="1339">
        <f t="shared" si="0"/>
        <v>31</v>
      </c>
      <c r="D38" s="601">
        <v>31</v>
      </c>
      <c r="E38" s="349" t="s">
        <v>182</v>
      </c>
      <c r="F38" s="600">
        <v>18</v>
      </c>
      <c r="G38" s="1337">
        <f t="shared" si="1"/>
        <v>18</v>
      </c>
      <c r="H38" s="134">
        <f t="shared" si="2"/>
        <v>0</v>
      </c>
      <c r="I38" s="133">
        <f t="shared" si="3"/>
        <v>18</v>
      </c>
      <c r="J38" s="329">
        <v>18</v>
      </c>
      <c r="K38" s="330"/>
      <c r="L38" s="329"/>
      <c r="M38" s="136">
        <f t="shared" si="4"/>
        <v>1</v>
      </c>
      <c r="N38" s="136">
        <f t="shared" si="5"/>
        <v>0</v>
      </c>
      <c r="O38" s="136">
        <f t="shared" si="6"/>
        <v>0</v>
      </c>
    </row>
    <row r="39" spans="1:20" x14ac:dyDescent="0.2">
      <c r="A39" s="954"/>
      <c r="B39" s="1348"/>
      <c r="C39" s="1339">
        <f t="shared" si="0"/>
        <v>33</v>
      </c>
      <c r="D39" s="605">
        <v>33</v>
      </c>
      <c r="E39" s="653" t="s">
        <v>172</v>
      </c>
      <c r="F39" s="600">
        <v>16</v>
      </c>
      <c r="G39" s="1337">
        <f t="shared" si="1"/>
        <v>16.100000000000001</v>
      </c>
      <c r="H39" s="134">
        <f t="shared" si="2"/>
        <v>0.1</v>
      </c>
      <c r="I39" s="133">
        <f t="shared" si="3"/>
        <v>16</v>
      </c>
      <c r="J39" s="329"/>
      <c r="K39" s="330"/>
      <c r="L39" s="329">
        <v>16</v>
      </c>
      <c r="M39" s="136">
        <f t="shared" si="4"/>
        <v>1</v>
      </c>
      <c r="N39" s="136">
        <f t="shared" si="5"/>
        <v>0</v>
      </c>
      <c r="O39" s="136">
        <f t="shared" si="6"/>
        <v>0</v>
      </c>
    </row>
    <row r="40" spans="1:20" x14ac:dyDescent="0.2">
      <c r="A40" s="1328"/>
      <c r="B40" s="1330"/>
      <c r="C40" s="1339">
        <f t="shared" si="0"/>
        <v>34</v>
      </c>
      <c r="D40" s="601">
        <v>34</v>
      </c>
      <c r="E40" s="538" t="s">
        <v>52</v>
      </c>
      <c r="F40" s="600">
        <v>14</v>
      </c>
      <c r="G40" s="1337">
        <f t="shared" si="1"/>
        <v>14</v>
      </c>
      <c r="H40" s="134">
        <f t="shared" si="2"/>
        <v>0</v>
      </c>
      <c r="I40" s="133">
        <f t="shared" si="3"/>
        <v>14</v>
      </c>
      <c r="J40" s="330">
        <v>14</v>
      </c>
      <c r="K40" s="330"/>
      <c r="L40" s="330"/>
      <c r="M40" s="136">
        <f t="shared" si="4"/>
        <v>1</v>
      </c>
      <c r="N40" s="136">
        <f t="shared" si="5"/>
        <v>0</v>
      </c>
      <c r="O40" s="136">
        <f t="shared" si="6"/>
        <v>0</v>
      </c>
    </row>
    <row r="41" spans="1:20" x14ac:dyDescent="0.2">
      <c r="A41" s="1328">
        <v>8</v>
      </c>
      <c r="B41" s="1330"/>
      <c r="C41" s="1339">
        <f t="shared" si="0"/>
        <v>34</v>
      </c>
      <c r="D41" s="605">
        <v>34</v>
      </c>
      <c r="E41" s="539" t="s">
        <v>332</v>
      </c>
      <c r="F41" s="600">
        <v>14</v>
      </c>
      <c r="G41" s="1337">
        <f t="shared" si="1"/>
        <v>14</v>
      </c>
      <c r="H41" s="134">
        <f t="shared" si="2"/>
        <v>0</v>
      </c>
      <c r="I41" s="133">
        <f t="shared" si="3"/>
        <v>14</v>
      </c>
      <c r="J41" s="329">
        <v>14</v>
      </c>
      <c r="K41" s="330"/>
      <c r="L41" s="329"/>
      <c r="M41" s="136">
        <f t="shared" si="4"/>
        <v>1</v>
      </c>
      <c r="N41" s="136">
        <f t="shared" si="5"/>
        <v>0</v>
      </c>
      <c r="O41" s="136">
        <f t="shared" si="6"/>
        <v>0</v>
      </c>
    </row>
    <row r="42" spans="1:20" x14ac:dyDescent="0.2">
      <c r="A42" s="143">
        <f>COUNT(A7:A41)</f>
        <v>8</v>
      </c>
      <c r="B42" s="144">
        <f>COUNT(B7:B41)</f>
        <v>1</v>
      </c>
      <c r="C42" s="141"/>
      <c r="D42" s="141">
        <f>COUNT(D7:D41)</f>
        <v>35</v>
      </c>
      <c r="E42" s="145" t="s">
        <v>90</v>
      </c>
      <c r="F42" s="146"/>
      <c r="G42" s="146"/>
      <c r="H42" s="146"/>
      <c r="I42" s="146"/>
      <c r="J42" s="147">
        <f>COUNTIF(J7:J41,"&gt;=0")</f>
        <v>30</v>
      </c>
      <c r="K42" s="147">
        <f>COUNTIF(K7:K41,"&gt;=0")</f>
        <v>18</v>
      </c>
      <c r="L42" s="147">
        <f>COUNTIF(L7:L41,"&gt;=0")</f>
        <v>18</v>
      </c>
      <c r="M42" s="145"/>
      <c r="N42" s="148">
        <f>SUM(N7:N41)</f>
        <v>18</v>
      </c>
      <c r="O42" s="148">
        <f>SUM(O7:O41)</f>
        <v>6</v>
      </c>
    </row>
    <row r="43" spans="1:20" x14ac:dyDescent="0.2">
      <c r="A43" s="118"/>
      <c r="B43" s="149"/>
      <c r="C43" s="118"/>
      <c r="D43" s="118"/>
      <c r="E43" s="145" t="s">
        <v>91</v>
      </c>
      <c r="F43" s="146"/>
      <c r="G43" s="146"/>
      <c r="H43" s="146"/>
      <c r="I43" s="146"/>
      <c r="J43" s="150">
        <f>IF((J42/(LEN(J6)-LEN(SUBSTITUTE(J6,"*","")))-0.5)&lt;0,"",J42/(LEN(J6)-LEN(SUBSTITUTE(J6,"*","")))-0.5)</f>
        <v>9.5</v>
      </c>
      <c r="K43" s="150">
        <f>IF((K42/(LEN(K6)-LEN(SUBSTITUTE(K6,"*","")))-0.5)&lt;0,"",K42/(LEN(K6)-LEN(SUBSTITUTE(K6,"*","")))-0.5)</f>
        <v>8.5</v>
      </c>
      <c r="L43" s="149"/>
      <c r="M43" s="118"/>
      <c r="N43" s="118"/>
      <c r="O43" s="118"/>
    </row>
    <row r="45" spans="1:20" x14ac:dyDescent="0.2">
      <c r="C45" s="155" t="s">
        <v>92</v>
      </c>
    </row>
    <row r="46" spans="1:20" x14ac:dyDescent="0.2">
      <c r="C46" s="108" t="s">
        <v>93</v>
      </c>
    </row>
  </sheetData>
  <autoFilter ref="M6:O6"/>
  <sortState ref="A6:Q53">
    <sortCondition descending="1" ref="F7"/>
  </sortState>
  <mergeCells count="3">
    <mergeCell ref="M4:M5"/>
    <mergeCell ref="N4:N5"/>
    <mergeCell ref="O4:O5"/>
  </mergeCells>
  <conditionalFormatting sqref="J42:L42">
    <cfRule type="top10" dxfId="803" priority="10" stopIfTrue="1" rank="1"/>
  </conditionalFormatting>
  <conditionalFormatting sqref="J7:L41">
    <cfRule type="cellIs" dxfId="802" priority="3" stopIfTrue="1" operator="equal">
      <formula>30</formula>
    </cfRule>
    <cfRule type="cellIs" dxfId="801" priority="4" stopIfTrue="1" operator="equal">
      <formula>34</formula>
    </cfRule>
    <cfRule type="cellIs" dxfId="800" priority="5" stopIfTrue="1" operator="equal">
      <formula>40</formula>
    </cfRule>
  </conditionalFormatting>
  <conditionalFormatting sqref="E7:E36">
    <cfRule type="duplicateValues" dxfId="799" priority="1" stopIfTrue="1"/>
  </conditionalFormatting>
  <conditionalFormatting sqref="E37:E41">
    <cfRule type="duplicateValues" dxfId="798" priority="170" stopIfTrue="1"/>
  </conditionalFormatting>
  <conditionalFormatting sqref="C7:C41">
    <cfRule type="duplicateValues" dxfId="797" priority="171" stopIfTrue="1"/>
  </conditionalFormatting>
  <conditionalFormatting sqref="N7:N41">
    <cfRule type="top10" dxfId="796" priority="172" stopIfTrue="1" rank="1"/>
  </conditionalFormatting>
  <conditionalFormatting sqref="O7:O41">
    <cfRule type="top10" dxfId="795" priority="173" stopIfTrue="1" rank="1"/>
  </conditionalFormatting>
  <conditionalFormatting sqref="M7:M41">
    <cfRule type="top10" dxfId="794" priority="174" stopIfTrue="1" rank="1"/>
  </conditionalFormatting>
  <conditionalFormatting sqref="G7:G41">
    <cfRule type="duplicateValues" dxfId="793" priority="175" stopIfTrue="1"/>
  </conditionalFormatting>
  <pageMargins left="0.78740157480314965" right="0.39370078740157483" top="0.78740157480314965" bottom="0.39370078740157483" header="0.59055118110236227" footer="0"/>
  <pageSetup paperSize="9" fitToHeight="0" orientation="portrait" useFirstPageNumber="1" verticalDpi="300" r:id="rId1"/>
  <headerFooter alignWithMargins="0">
    <oddHeader>&amp;R&amp;"Arial,Regular"&amp;9Page &amp;P of &amp;N</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42"/>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668" customWidth="1"/>
    <col min="2" max="2" width="18.7109375" style="668" bestFit="1" customWidth="1"/>
    <col min="3" max="22" width="2.85546875" style="668" customWidth="1"/>
    <col min="23" max="23" width="3" style="668" bestFit="1" customWidth="1"/>
    <col min="24" max="24" width="10.5703125" style="668" customWidth="1"/>
    <col min="25" max="26" width="4" style="668" hidden="1" customWidth="1"/>
    <col min="27" max="27" width="4.5703125" style="668" hidden="1" customWidth="1"/>
    <col min="28" max="16384" width="9.140625" style="668"/>
  </cols>
  <sheetData>
    <row r="1" spans="1:24" s="436" customFormat="1" x14ac:dyDescent="0.2">
      <c r="A1" s="1" t="str">
        <f>UPPER((Kalend!E14)&amp;" - "&amp;(Kalend!C14)&amp;" - "&amp;(Kalend!D14))</f>
        <v>4 - IVARI KARIKAS - TULISTAMINE</v>
      </c>
      <c r="N1" s="113" t="str">
        <f>HYPERLINK("#Kalend!I1","Kalender")</f>
        <v>Kalender</v>
      </c>
      <c r="O1" s="2"/>
      <c r="Q1" s="2"/>
      <c r="R1" s="2"/>
      <c r="S1" s="113" t="str">
        <f>HYPERLINK("#Reit!G1","Reiting")</f>
        <v>Reiting</v>
      </c>
      <c r="T1" s="2"/>
      <c r="U1" s="249"/>
      <c r="V1" s="249"/>
    </row>
    <row r="2" spans="1:24" s="436" customFormat="1" x14ac:dyDescent="0.2">
      <c r="A2" s="2" t="str">
        <f>"Toimumisaeg: "&amp;(Kalend!A14)&amp;" kell "&amp;(Kalend!B14)</f>
        <v>Toimumisaeg: N, 08.06.2017 kell 18:00</v>
      </c>
      <c r="R2" s="249"/>
      <c r="S2" s="249"/>
      <c r="T2" s="249"/>
    </row>
    <row r="3" spans="1:24" s="436" customFormat="1" x14ac:dyDescent="0.2">
      <c r="A3" s="2" t="str">
        <f>"Toimumiskoht: "&amp;(Kalend!F14)</f>
        <v>Toimumiskoht: K-Järve spordihoone</v>
      </c>
      <c r="R3" s="249"/>
      <c r="S3" s="249"/>
      <c r="T3" s="249"/>
    </row>
    <row r="4" spans="1:24" s="436" customFormat="1" x14ac:dyDescent="0.2">
      <c r="A4" s="2" t="str">
        <f>"Korraldaja: "&amp;(Kalend!G14)</f>
        <v>Korraldaja: K-Järve SHK, Ivar Viljaste</v>
      </c>
      <c r="R4" s="249"/>
      <c r="S4" s="249"/>
      <c r="T4" s="249"/>
    </row>
    <row r="5" spans="1:24" s="436" customFormat="1" ht="13.5" thickBot="1" x14ac:dyDescent="0.25">
      <c r="A5" s="249"/>
      <c r="B5" s="249"/>
      <c r="C5" s="249"/>
      <c r="D5" s="249"/>
      <c r="E5" s="249"/>
      <c r="F5" s="249"/>
      <c r="G5" s="249"/>
      <c r="H5" s="249"/>
      <c r="I5" s="249"/>
      <c r="J5" s="249"/>
      <c r="K5" s="249"/>
    </row>
    <row r="6" spans="1:24" ht="63.75" customHeight="1" thickBot="1" x14ac:dyDescent="0.25">
      <c r="A6" s="662"/>
      <c r="B6" s="663"/>
      <c r="C6" s="664"/>
      <c r="D6" s="664"/>
      <c r="E6" s="664"/>
      <c r="F6" s="664"/>
      <c r="G6" s="665"/>
      <c r="H6" s="664"/>
      <c r="I6" s="664"/>
      <c r="J6" s="666"/>
      <c r="K6" s="664"/>
      <c r="L6" s="664"/>
      <c r="M6" s="664"/>
      <c r="N6" s="664"/>
      <c r="O6" s="665"/>
      <c r="P6" s="664"/>
      <c r="Q6" s="664"/>
      <c r="R6" s="666"/>
      <c r="S6" s="664"/>
      <c r="T6" s="664"/>
      <c r="U6" s="664"/>
      <c r="V6" s="664"/>
      <c r="W6" s="667"/>
      <c r="X6" s="667"/>
    </row>
    <row r="7" spans="1:24" s="674" customFormat="1" ht="13.5" thickBot="1" x14ac:dyDescent="0.25">
      <c r="A7" s="744"/>
      <c r="B7" s="669"/>
      <c r="C7" s="670">
        <v>6</v>
      </c>
      <c r="D7" s="671">
        <v>7</v>
      </c>
      <c r="E7" s="671">
        <v>8</v>
      </c>
      <c r="F7" s="672">
        <v>9</v>
      </c>
      <c r="G7" s="670">
        <v>6</v>
      </c>
      <c r="H7" s="671">
        <v>7</v>
      </c>
      <c r="I7" s="671">
        <v>8</v>
      </c>
      <c r="J7" s="672">
        <v>9</v>
      </c>
      <c r="K7" s="670">
        <v>6</v>
      </c>
      <c r="L7" s="671">
        <v>7</v>
      </c>
      <c r="M7" s="671">
        <v>8</v>
      </c>
      <c r="N7" s="672">
        <v>9</v>
      </c>
      <c r="O7" s="670">
        <v>6</v>
      </c>
      <c r="P7" s="671">
        <v>7</v>
      </c>
      <c r="Q7" s="671">
        <v>8</v>
      </c>
      <c r="R7" s="672">
        <v>9</v>
      </c>
      <c r="S7" s="670">
        <v>6</v>
      </c>
      <c r="T7" s="671">
        <v>7</v>
      </c>
      <c r="U7" s="671">
        <v>8</v>
      </c>
      <c r="V7" s="672">
        <v>9</v>
      </c>
      <c r="W7" s="745" t="s">
        <v>83</v>
      </c>
      <c r="X7" s="673" t="s">
        <v>440</v>
      </c>
    </row>
    <row r="8" spans="1:24" x14ac:dyDescent="0.2">
      <c r="A8" s="746"/>
      <c r="B8" s="675" t="s">
        <v>425</v>
      </c>
      <c r="C8" s="676"/>
      <c r="D8" s="677"/>
      <c r="E8" s="677"/>
      <c r="F8" s="678"/>
      <c r="G8" s="676"/>
      <c r="H8" s="677"/>
      <c r="I8" s="677"/>
      <c r="J8" s="678"/>
      <c r="K8" s="676"/>
      <c r="L8" s="677"/>
      <c r="M8" s="677"/>
      <c r="N8" s="678"/>
      <c r="O8" s="676"/>
      <c r="P8" s="677"/>
      <c r="Q8" s="677"/>
      <c r="R8" s="678"/>
      <c r="S8" s="676"/>
      <c r="T8" s="677"/>
      <c r="U8" s="677"/>
      <c r="V8" s="678"/>
      <c r="W8" s="746"/>
      <c r="X8" s="679"/>
    </row>
    <row r="9" spans="1:24" x14ac:dyDescent="0.2">
      <c r="A9" s="747">
        <v>1</v>
      </c>
      <c r="B9" s="748" t="s">
        <v>156</v>
      </c>
      <c r="C9" s="749">
        <v>3</v>
      </c>
      <c r="D9" s="689">
        <v>0</v>
      </c>
      <c r="E9" s="689">
        <v>0</v>
      </c>
      <c r="F9" s="750">
        <v>0</v>
      </c>
      <c r="G9" s="749">
        <v>0</v>
      </c>
      <c r="H9" s="689">
        <v>3</v>
      </c>
      <c r="I9" s="689">
        <v>0</v>
      </c>
      <c r="J9" s="750">
        <v>1</v>
      </c>
      <c r="K9" s="749">
        <v>1</v>
      </c>
      <c r="L9" s="689">
        <v>0</v>
      </c>
      <c r="M9" s="689">
        <v>0</v>
      </c>
      <c r="N9" s="750">
        <v>0</v>
      </c>
      <c r="O9" s="749">
        <v>3</v>
      </c>
      <c r="P9" s="689">
        <v>5</v>
      </c>
      <c r="Q9" s="689">
        <v>0</v>
      </c>
      <c r="R9" s="750">
        <v>0</v>
      </c>
      <c r="S9" s="749">
        <v>0</v>
      </c>
      <c r="T9" s="689">
        <v>0</v>
      </c>
      <c r="U9" s="689">
        <v>0</v>
      </c>
      <c r="V9" s="750">
        <v>0</v>
      </c>
      <c r="W9" s="751">
        <f>IF(COUNTA(C9:V9)=0,"",SUM(C9:V9)+COUNTIF(C9:V9,5)/100+COUNTIF(C9:V9,3)/10000)</f>
        <v>16.010300000000001</v>
      </c>
      <c r="X9" s="751" t="str">
        <f>IF(COUNTA(C9:V9)=0,"",IF(RANK(W9,$W$9:$W$17)&lt;9,"edasi "&amp;RANK(W9,$W$9:$W$17),RANK(W9,$W$9:$W$17)))</f>
        <v>edasi 3</v>
      </c>
    </row>
    <row r="10" spans="1:24" x14ac:dyDescent="0.2">
      <c r="A10" s="747">
        <v>2</v>
      </c>
      <c r="B10" s="748" t="s">
        <v>175</v>
      </c>
      <c r="C10" s="749">
        <v>0</v>
      </c>
      <c r="D10" s="689">
        <v>3</v>
      </c>
      <c r="E10" s="689">
        <v>0</v>
      </c>
      <c r="F10" s="750">
        <v>0</v>
      </c>
      <c r="G10" s="749">
        <v>0</v>
      </c>
      <c r="H10" s="689">
        <v>0</v>
      </c>
      <c r="I10" s="689">
        <v>0</v>
      </c>
      <c r="J10" s="750">
        <v>0</v>
      </c>
      <c r="K10" s="749">
        <v>1</v>
      </c>
      <c r="L10" s="689">
        <v>5</v>
      </c>
      <c r="M10" s="689">
        <v>3</v>
      </c>
      <c r="N10" s="750">
        <v>0</v>
      </c>
      <c r="O10" s="749">
        <v>3</v>
      </c>
      <c r="P10" s="689">
        <v>0</v>
      </c>
      <c r="Q10" s="689">
        <v>0</v>
      </c>
      <c r="R10" s="750">
        <v>3</v>
      </c>
      <c r="S10" s="749">
        <v>0</v>
      </c>
      <c r="T10" s="689">
        <v>0</v>
      </c>
      <c r="U10" s="689">
        <v>0</v>
      </c>
      <c r="V10" s="750">
        <v>0</v>
      </c>
      <c r="W10" s="751">
        <f t="shared" ref="W10:W17" si="0">IF(COUNTA(C10:V10)=0,"",SUM(C10:V10)+COUNTIF(C10:V10,5)/100+COUNTIF(C10:V10,3)/10000)</f>
        <v>18.010400000000001</v>
      </c>
      <c r="X10" s="751" t="str">
        <f>IF(COUNTA(C10:V10)=0,"",IF(RANK(W10,$W$9:$W$17)&lt;9,"edasi "&amp;RANK(W10,$W$9:$W$17),RANK(W10,$W$9:$W$17)))</f>
        <v>edasi 2</v>
      </c>
    </row>
    <row r="11" spans="1:24" x14ac:dyDescent="0.2">
      <c r="A11" s="680">
        <v>3</v>
      </c>
      <c r="B11" s="772" t="s">
        <v>159</v>
      </c>
      <c r="C11" s="681">
        <v>0</v>
      </c>
      <c r="D11" s="682">
        <v>0</v>
      </c>
      <c r="E11" s="682">
        <v>0</v>
      </c>
      <c r="F11" s="683">
        <v>0</v>
      </c>
      <c r="G11" s="681">
        <v>0</v>
      </c>
      <c r="H11" s="682">
        <v>0</v>
      </c>
      <c r="I11" s="682">
        <v>3</v>
      </c>
      <c r="J11" s="683">
        <v>0</v>
      </c>
      <c r="K11" s="681">
        <v>0</v>
      </c>
      <c r="L11" s="682">
        <v>0</v>
      </c>
      <c r="M11" s="682">
        <v>0</v>
      </c>
      <c r="N11" s="683">
        <v>0</v>
      </c>
      <c r="O11" s="681">
        <v>0</v>
      </c>
      <c r="P11" s="682">
        <v>0</v>
      </c>
      <c r="Q11" s="682">
        <v>3</v>
      </c>
      <c r="R11" s="683">
        <v>0</v>
      </c>
      <c r="S11" s="681">
        <v>0</v>
      </c>
      <c r="T11" s="682">
        <v>0</v>
      </c>
      <c r="U11" s="682">
        <v>0</v>
      </c>
      <c r="V11" s="683">
        <v>0</v>
      </c>
      <c r="W11" s="684">
        <f t="shared" si="0"/>
        <v>6.0002000000000004</v>
      </c>
      <c r="X11" s="684">
        <v>8</v>
      </c>
    </row>
    <row r="12" spans="1:24" x14ac:dyDescent="0.2">
      <c r="A12" s="680">
        <v>4</v>
      </c>
      <c r="B12" s="763" t="s">
        <v>161</v>
      </c>
      <c r="C12" s="681">
        <v>0</v>
      </c>
      <c r="D12" s="682">
        <v>0</v>
      </c>
      <c r="E12" s="682">
        <v>0</v>
      </c>
      <c r="F12" s="683">
        <v>0</v>
      </c>
      <c r="G12" s="681">
        <v>0</v>
      </c>
      <c r="H12" s="682">
        <v>0</v>
      </c>
      <c r="I12" s="682">
        <v>3</v>
      </c>
      <c r="J12" s="683">
        <v>0</v>
      </c>
      <c r="K12" s="681">
        <v>0</v>
      </c>
      <c r="L12" s="682">
        <v>0</v>
      </c>
      <c r="M12" s="682">
        <v>0</v>
      </c>
      <c r="N12" s="683">
        <v>0</v>
      </c>
      <c r="O12" s="681">
        <v>0</v>
      </c>
      <c r="P12" s="682">
        <v>1</v>
      </c>
      <c r="Q12" s="682">
        <v>0</v>
      </c>
      <c r="R12" s="683">
        <v>0</v>
      </c>
      <c r="S12" s="681">
        <v>0</v>
      </c>
      <c r="T12" s="682">
        <v>0</v>
      </c>
      <c r="U12" s="682">
        <v>0</v>
      </c>
      <c r="V12" s="683">
        <v>0</v>
      </c>
      <c r="W12" s="684">
        <f t="shared" si="0"/>
        <v>4.0000999999999998</v>
      </c>
      <c r="X12" s="684">
        <f>IF(COUNTA(C12:V12)=0,"",IF(RANK(W12,$W$9:$W$17)&lt;9,"edasi "&amp;RANK(W12,$W$9:$W$17),RANK(W12,$W$9:$W$17)))</f>
        <v>9</v>
      </c>
    </row>
    <row r="13" spans="1:24" x14ac:dyDescent="0.2">
      <c r="A13" s="747">
        <v>5</v>
      </c>
      <c r="B13" s="771" t="s">
        <v>162</v>
      </c>
      <c r="C13" s="749">
        <v>0</v>
      </c>
      <c r="D13" s="689">
        <v>0</v>
      </c>
      <c r="E13" s="689">
        <v>0</v>
      </c>
      <c r="F13" s="750">
        <v>0</v>
      </c>
      <c r="G13" s="749">
        <v>0</v>
      </c>
      <c r="H13" s="689">
        <v>3</v>
      </c>
      <c r="I13" s="689">
        <v>0</v>
      </c>
      <c r="J13" s="750">
        <v>0</v>
      </c>
      <c r="K13" s="749">
        <v>5</v>
      </c>
      <c r="L13" s="689">
        <v>0</v>
      </c>
      <c r="M13" s="689">
        <v>0</v>
      </c>
      <c r="N13" s="750">
        <v>0</v>
      </c>
      <c r="O13" s="749">
        <v>0</v>
      </c>
      <c r="P13" s="689">
        <v>0</v>
      </c>
      <c r="Q13" s="689">
        <v>0</v>
      </c>
      <c r="R13" s="750">
        <v>0</v>
      </c>
      <c r="S13" s="749">
        <v>0</v>
      </c>
      <c r="T13" s="689">
        <v>0</v>
      </c>
      <c r="U13" s="689">
        <v>0</v>
      </c>
      <c r="V13" s="750">
        <v>0</v>
      </c>
      <c r="W13" s="751">
        <f t="shared" si="0"/>
        <v>8.0100999999999996</v>
      </c>
      <c r="X13" s="751">
        <v>6</v>
      </c>
    </row>
    <row r="14" spans="1:24" x14ac:dyDescent="0.2">
      <c r="A14" s="747">
        <v>6</v>
      </c>
      <c r="B14" s="762" t="s">
        <v>166</v>
      </c>
      <c r="C14" s="749">
        <v>3</v>
      </c>
      <c r="D14" s="689">
        <v>5</v>
      </c>
      <c r="E14" s="689">
        <v>5</v>
      </c>
      <c r="F14" s="750">
        <v>0</v>
      </c>
      <c r="G14" s="749">
        <v>3</v>
      </c>
      <c r="H14" s="689">
        <v>0</v>
      </c>
      <c r="I14" s="689">
        <v>0</v>
      </c>
      <c r="J14" s="750">
        <v>0</v>
      </c>
      <c r="K14" s="749">
        <v>0</v>
      </c>
      <c r="L14" s="689">
        <v>1</v>
      </c>
      <c r="M14" s="689">
        <v>0</v>
      </c>
      <c r="N14" s="750">
        <v>0</v>
      </c>
      <c r="O14" s="749">
        <v>0</v>
      </c>
      <c r="P14" s="689">
        <v>0</v>
      </c>
      <c r="Q14" s="689">
        <v>0</v>
      </c>
      <c r="R14" s="750">
        <v>3</v>
      </c>
      <c r="S14" s="749">
        <v>5</v>
      </c>
      <c r="T14" s="689">
        <v>0</v>
      </c>
      <c r="U14" s="689">
        <v>0</v>
      </c>
      <c r="V14" s="750">
        <v>0</v>
      </c>
      <c r="W14" s="751">
        <f t="shared" si="0"/>
        <v>25.0303</v>
      </c>
      <c r="X14" s="751" t="str">
        <f>IF(COUNTA(C14:V14)=0,"",IF(RANK(W14,$W$9:$W$17)&lt;9,"edasi "&amp;RANK(W14,$W$9:$W$17),RANK(W14,$W$9:$W$17)))</f>
        <v>edasi 1</v>
      </c>
    </row>
    <row r="15" spans="1:24" x14ac:dyDescent="0.2">
      <c r="A15" s="680">
        <v>7</v>
      </c>
      <c r="B15" s="763" t="s">
        <v>170</v>
      </c>
      <c r="C15" s="681">
        <v>0</v>
      </c>
      <c r="D15" s="682">
        <v>3</v>
      </c>
      <c r="E15" s="682">
        <v>3</v>
      </c>
      <c r="F15" s="683">
        <v>0</v>
      </c>
      <c r="G15" s="681">
        <v>0</v>
      </c>
      <c r="H15" s="682">
        <v>0</v>
      </c>
      <c r="I15" s="682">
        <v>0</v>
      </c>
      <c r="J15" s="683">
        <v>3</v>
      </c>
      <c r="K15" s="681">
        <v>1</v>
      </c>
      <c r="L15" s="682">
        <v>0</v>
      </c>
      <c r="M15" s="682">
        <v>0</v>
      </c>
      <c r="N15" s="683">
        <v>0</v>
      </c>
      <c r="O15" s="681">
        <v>0</v>
      </c>
      <c r="P15" s="682">
        <v>3</v>
      </c>
      <c r="Q15" s="682">
        <v>0</v>
      </c>
      <c r="R15" s="683">
        <v>0</v>
      </c>
      <c r="S15" s="681">
        <v>0</v>
      </c>
      <c r="T15" s="682">
        <v>0</v>
      </c>
      <c r="U15" s="682">
        <v>0</v>
      </c>
      <c r="V15" s="683">
        <v>0</v>
      </c>
      <c r="W15" s="684">
        <f t="shared" si="0"/>
        <v>13.000400000000001</v>
      </c>
      <c r="X15" s="684" t="str">
        <f>IF(COUNTA(C15:V15)=0,"",IF(RANK(W15,$W$9:$W$17)&lt;9,"edasi "&amp;RANK(W15,$W$9:$W$17),RANK(W15,$W$9:$W$17)))</f>
        <v>edasi 4</v>
      </c>
    </row>
    <row r="16" spans="1:24" x14ac:dyDescent="0.2">
      <c r="A16" s="680">
        <v>8</v>
      </c>
      <c r="B16" s="763" t="s">
        <v>155</v>
      </c>
      <c r="C16" s="681">
        <v>0</v>
      </c>
      <c r="D16" s="682">
        <v>1</v>
      </c>
      <c r="E16" s="682">
        <v>0</v>
      </c>
      <c r="F16" s="683">
        <v>0</v>
      </c>
      <c r="G16" s="681">
        <v>0</v>
      </c>
      <c r="H16" s="682">
        <v>0</v>
      </c>
      <c r="I16" s="682">
        <v>0</v>
      </c>
      <c r="J16" s="683">
        <v>0</v>
      </c>
      <c r="K16" s="681">
        <v>0</v>
      </c>
      <c r="L16" s="682">
        <v>1</v>
      </c>
      <c r="M16" s="682">
        <v>1</v>
      </c>
      <c r="N16" s="683">
        <v>3</v>
      </c>
      <c r="O16" s="681">
        <v>3</v>
      </c>
      <c r="P16" s="682">
        <v>0</v>
      </c>
      <c r="Q16" s="682">
        <v>0</v>
      </c>
      <c r="R16" s="683">
        <v>3</v>
      </c>
      <c r="S16" s="681">
        <v>0</v>
      </c>
      <c r="T16" s="682">
        <v>0</v>
      </c>
      <c r="U16" s="682">
        <v>0</v>
      </c>
      <c r="V16" s="683">
        <v>0</v>
      </c>
      <c r="W16" s="684">
        <f t="shared" si="0"/>
        <v>12.000299999999999</v>
      </c>
      <c r="X16" s="684">
        <v>5</v>
      </c>
    </row>
    <row r="17" spans="1:24" ht="13.5" thickBot="1" x14ac:dyDescent="0.25">
      <c r="A17" s="747">
        <v>9</v>
      </c>
      <c r="B17" s="771" t="s">
        <v>157</v>
      </c>
      <c r="C17" s="749">
        <v>0</v>
      </c>
      <c r="D17" s="689">
        <v>3</v>
      </c>
      <c r="E17" s="689">
        <v>0</v>
      </c>
      <c r="F17" s="750">
        <v>0</v>
      </c>
      <c r="G17" s="749">
        <v>0</v>
      </c>
      <c r="H17" s="689">
        <v>0</v>
      </c>
      <c r="I17" s="689">
        <v>0</v>
      </c>
      <c r="J17" s="750">
        <v>0</v>
      </c>
      <c r="K17" s="749">
        <v>0</v>
      </c>
      <c r="L17" s="689">
        <v>1</v>
      </c>
      <c r="M17" s="689">
        <v>0</v>
      </c>
      <c r="N17" s="750">
        <v>0</v>
      </c>
      <c r="O17" s="749">
        <v>0</v>
      </c>
      <c r="P17" s="689">
        <v>3</v>
      </c>
      <c r="Q17" s="689">
        <v>0</v>
      </c>
      <c r="R17" s="750">
        <v>0</v>
      </c>
      <c r="S17" s="749">
        <v>0</v>
      </c>
      <c r="T17" s="689">
        <v>0</v>
      </c>
      <c r="U17" s="689">
        <v>0</v>
      </c>
      <c r="V17" s="750">
        <v>0</v>
      </c>
      <c r="W17" s="751">
        <f t="shared" si="0"/>
        <v>7.0002000000000004</v>
      </c>
      <c r="X17" s="751">
        <v>7</v>
      </c>
    </row>
    <row r="18" spans="1:24" x14ac:dyDescent="0.2">
      <c r="A18" s="685"/>
      <c r="B18" s="675" t="s">
        <v>426</v>
      </c>
      <c r="C18" s="676"/>
      <c r="D18" s="677"/>
      <c r="E18" s="677"/>
      <c r="F18" s="678"/>
      <c r="G18" s="676"/>
      <c r="H18" s="677"/>
      <c r="I18" s="677"/>
      <c r="J18" s="678"/>
      <c r="K18" s="676"/>
      <c r="L18" s="677"/>
      <c r="M18" s="677"/>
      <c r="N18" s="678"/>
      <c r="O18" s="676"/>
      <c r="P18" s="677"/>
      <c r="Q18" s="677"/>
      <c r="R18" s="678"/>
      <c r="S18" s="676"/>
      <c r="T18" s="677"/>
      <c r="U18" s="677"/>
      <c r="V18" s="678"/>
      <c r="W18" s="679"/>
      <c r="X18" s="679"/>
    </row>
    <row r="19" spans="1:24" x14ac:dyDescent="0.2">
      <c r="A19" s="752">
        <v>3</v>
      </c>
      <c r="B19" s="748" t="s">
        <v>156</v>
      </c>
      <c r="C19" s="753">
        <v>0</v>
      </c>
      <c r="D19" s="754">
        <v>0</v>
      </c>
      <c r="E19" s="754">
        <v>0</v>
      </c>
      <c r="F19" s="755">
        <v>0</v>
      </c>
      <c r="G19" s="753">
        <v>0</v>
      </c>
      <c r="H19" s="754">
        <v>0</v>
      </c>
      <c r="I19" s="754">
        <v>0</v>
      </c>
      <c r="J19" s="755">
        <v>0</v>
      </c>
      <c r="K19" s="753">
        <v>1</v>
      </c>
      <c r="L19" s="754">
        <v>3</v>
      </c>
      <c r="M19" s="754">
        <v>0</v>
      </c>
      <c r="N19" s="755">
        <v>0</v>
      </c>
      <c r="O19" s="753">
        <v>0</v>
      </c>
      <c r="P19" s="754">
        <v>0</v>
      </c>
      <c r="Q19" s="754">
        <v>0</v>
      </c>
      <c r="R19" s="755">
        <v>0</v>
      </c>
      <c r="S19" s="753">
        <v>0</v>
      </c>
      <c r="T19" s="754">
        <v>0</v>
      </c>
      <c r="U19" s="754">
        <v>0</v>
      </c>
      <c r="V19" s="755">
        <v>0</v>
      </c>
      <c r="W19" s="751">
        <f>SUM(C19:V19)</f>
        <v>4</v>
      </c>
      <c r="X19" s="756" t="str">
        <f>IF(COUNTA(C19:V19)=0,"",IF(W19=W20,"ümbervisk",IF(W19&gt;W20,"finaali "&amp;(IF(W19&lt;MAX(W21:W22),2,IF(W19=MAX(W21:W22),"",1))),"pronksi "&amp;(IF(W19&lt;MIN(W21:W22),2,IF(W19=MIN(W21:W22),"",1))))))</f>
        <v>pronksi 2</v>
      </c>
    </row>
    <row r="20" spans="1:24" x14ac:dyDescent="0.2">
      <c r="A20" s="752">
        <v>2</v>
      </c>
      <c r="B20" s="762" t="s">
        <v>175</v>
      </c>
      <c r="C20" s="753">
        <v>0</v>
      </c>
      <c r="D20" s="754">
        <v>3</v>
      </c>
      <c r="E20" s="754">
        <v>1</v>
      </c>
      <c r="F20" s="755">
        <v>0</v>
      </c>
      <c r="G20" s="753">
        <v>0</v>
      </c>
      <c r="H20" s="754">
        <v>3</v>
      </c>
      <c r="I20" s="754">
        <v>3</v>
      </c>
      <c r="J20" s="755">
        <v>0</v>
      </c>
      <c r="K20" s="753">
        <v>3</v>
      </c>
      <c r="L20" s="754">
        <v>0</v>
      </c>
      <c r="M20" s="754">
        <v>1</v>
      </c>
      <c r="N20" s="755">
        <v>0</v>
      </c>
      <c r="O20" s="753">
        <v>3</v>
      </c>
      <c r="P20" s="754">
        <v>0</v>
      </c>
      <c r="Q20" s="754">
        <v>0</v>
      </c>
      <c r="R20" s="755">
        <v>0</v>
      </c>
      <c r="S20" s="753">
        <v>3</v>
      </c>
      <c r="T20" s="754">
        <v>0</v>
      </c>
      <c r="U20" s="754">
        <v>0</v>
      </c>
      <c r="V20" s="755">
        <v>0</v>
      </c>
      <c r="W20" s="751">
        <f>SUM(C20:V20)</f>
        <v>20</v>
      </c>
      <c r="X20" s="756" t="str">
        <f>IF(COUNTA(C20:V20)=0,"",IF(W19=W20,"ümbervisk",IF(W20&gt;W19,"finaali "&amp;(IF(W20&lt;MAX(W21:W22),2,IF(W20=MAX(W21:W22),"",1))),"pronksi "&amp;(IF(W20&lt;MIN(W21:W22),2,IF(W20=MIN(W21:W22),"",1))))))</f>
        <v>finaali 1</v>
      </c>
    </row>
    <row r="21" spans="1:24" x14ac:dyDescent="0.2">
      <c r="A21" s="691">
        <v>1</v>
      </c>
      <c r="B21" s="764" t="s">
        <v>166</v>
      </c>
      <c r="C21" s="686">
        <v>3</v>
      </c>
      <c r="D21" s="687">
        <v>3</v>
      </c>
      <c r="E21" s="687">
        <v>1</v>
      </c>
      <c r="F21" s="688">
        <v>3</v>
      </c>
      <c r="G21" s="686">
        <v>3</v>
      </c>
      <c r="H21" s="687">
        <v>3</v>
      </c>
      <c r="I21" s="687">
        <v>0</v>
      </c>
      <c r="J21" s="688">
        <v>0</v>
      </c>
      <c r="K21" s="686">
        <v>1</v>
      </c>
      <c r="L21" s="687">
        <v>0</v>
      </c>
      <c r="M21" s="687">
        <v>1</v>
      </c>
      <c r="N21" s="688">
        <v>0</v>
      </c>
      <c r="O21" s="686">
        <v>0</v>
      </c>
      <c r="P21" s="687">
        <v>0</v>
      </c>
      <c r="Q21" s="687">
        <v>0</v>
      </c>
      <c r="R21" s="688">
        <v>0</v>
      </c>
      <c r="S21" s="686">
        <v>0</v>
      </c>
      <c r="T21" s="687">
        <v>0</v>
      </c>
      <c r="U21" s="687">
        <v>0</v>
      </c>
      <c r="V21" s="688">
        <v>0</v>
      </c>
      <c r="W21" s="684">
        <f>SUM(C21:V21)</f>
        <v>18</v>
      </c>
      <c r="X21" s="692" t="str">
        <f>IF(COUNTA(C21:V21)=0,"",IF(W21=W22,"ümbervisk",IF(W21&gt;W22,"finaali "&amp;(IF(W21&lt;MAX(W19:W20),2,IF(W21=MAX(W19:W20),"",1))),"pronksi "&amp;(IF(W21&lt;MIN(W19:W20),2,IF(W21=MIN(W19:W20),"",1))))))</f>
        <v>finaali 2</v>
      </c>
    </row>
    <row r="22" spans="1:24" ht="13.5" thickBot="1" x14ac:dyDescent="0.25">
      <c r="A22" s="693">
        <v>4</v>
      </c>
      <c r="B22" s="765" t="s">
        <v>170</v>
      </c>
      <c r="C22" s="694">
        <v>3</v>
      </c>
      <c r="D22" s="695">
        <v>0</v>
      </c>
      <c r="E22" s="695">
        <v>1</v>
      </c>
      <c r="F22" s="696">
        <v>1</v>
      </c>
      <c r="G22" s="694">
        <v>0</v>
      </c>
      <c r="H22" s="695">
        <v>0</v>
      </c>
      <c r="I22" s="695">
        <v>0</v>
      </c>
      <c r="J22" s="696">
        <v>1</v>
      </c>
      <c r="K22" s="694">
        <v>3</v>
      </c>
      <c r="L22" s="695">
        <v>0</v>
      </c>
      <c r="M22" s="695">
        <v>3</v>
      </c>
      <c r="N22" s="696">
        <v>0</v>
      </c>
      <c r="O22" s="694">
        <v>0</v>
      </c>
      <c r="P22" s="695">
        <v>0</v>
      </c>
      <c r="Q22" s="695">
        <v>3</v>
      </c>
      <c r="R22" s="696">
        <v>0</v>
      </c>
      <c r="S22" s="694">
        <v>0</v>
      </c>
      <c r="T22" s="695">
        <v>0</v>
      </c>
      <c r="U22" s="695">
        <v>0</v>
      </c>
      <c r="V22" s="696">
        <v>0</v>
      </c>
      <c r="W22" s="690">
        <f>SUM(C22:V22)</f>
        <v>15</v>
      </c>
      <c r="X22" s="697" t="str">
        <f>IF(COUNTA(C22:V22)=0,"",IF(W21=W22,"ümbervisk",IF(W22&gt;W21,"finaali "&amp;(IF(W22&lt;MAX(W19:W20),2,IF(W22=MAX(W19:W20),"",1))),"pronksi "&amp;(IF(W22&lt;MIN(W19:W20),2,IF(W22=MIN(W19:W20),"",1))))))</f>
        <v>pronksi 1</v>
      </c>
    </row>
    <row r="23" spans="1:24" x14ac:dyDescent="0.2">
      <c r="A23" s="685"/>
      <c r="B23" s="698" t="s">
        <v>427</v>
      </c>
      <c r="C23" s="676"/>
      <c r="D23" s="677"/>
      <c r="E23" s="677"/>
      <c r="F23" s="678"/>
      <c r="G23" s="676"/>
      <c r="H23" s="677"/>
      <c r="I23" s="677"/>
      <c r="J23" s="678"/>
      <c r="K23" s="676"/>
      <c r="L23" s="677"/>
      <c r="M23" s="677"/>
      <c r="N23" s="678"/>
      <c r="O23" s="676"/>
      <c r="P23" s="677"/>
      <c r="Q23" s="677"/>
      <c r="R23" s="678"/>
      <c r="S23" s="676"/>
      <c r="T23" s="677"/>
      <c r="U23" s="677"/>
      <c r="V23" s="678"/>
      <c r="W23" s="757"/>
      <c r="X23" s="679"/>
    </row>
    <row r="24" spans="1:24" x14ac:dyDescent="0.2">
      <c r="A24" s="691"/>
      <c r="B24" s="764" t="s">
        <v>170</v>
      </c>
      <c r="C24" s="686"/>
      <c r="D24" s="687"/>
      <c r="E24" s="687"/>
      <c r="F24" s="688"/>
      <c r="G24" s="686"/>
      <c r="H24" s="687"/>
      <c r="I24" s="687"/>
      <c r="J24" s="688"/>
      <c r="K24" s="686"/>
      <c r="L24" s="687"/>
      <c r="M24" s="687"/>
      <c r="N24" s="688"/>
      <c r="O24" s="686"/>
      <c r="P24" s="687"/>
      <c r="Q24" s="687"/>
      <c r="R24" s="688"/>
      <c r="S24" s="686"/>
      <c r="T24" s="687"/>
      <c r="U24" s="687"/>
      <c r="V24" s="688"/>
      <c r="W24" s="684"/>
      <c r="X24" s="699">
        <f ca="1">IF( INDIRECT("RC[-1]",0)=MAX(( INDIRECT("R[-1]C[-1]",0)):( INDIRECT("R[1]C[-1]",0))),3,4)</f>
        <v>3</v>
      </c>
    </row>
    <row r="25" spans="1:24" x14ac:dyDescent="0.2">
      <c r="A25" s="691"/>
      <c r="B25" s="764" t="s">
        <v>156</v>
      </c>
      <c r="C25" s="766" t="s">
        <v>306</v>
      </c>
      <c r="D25" s="767" t="s">
        <v>306</v>
      </c>
      <c r="E25" s="767" t="s">
        <v>306</v>
      </c>
      <c r="F25" s="768" t="s">
        <v>306</v>
      </c>
      <c r="G25" s="766" t="s">
        <v>306</v>
      </c>
      <c r="H25" s="767" t="s">
        <v>306</v>
      </c>
      <c r="I25" s="767" t="s">
        <v>306</v>
      </c>
      <c r="J25" s="769" t="s">
        <v>306</v>
      </c>
      <c r="K25" s="766" t="s">
        <v>306</v>
      </c>
      <c r="L25" s="767" t="s">
        <v>306</v>
      </c>
      <c r="M25" s="767" t="s">
        <v>306</v>
      </c>
      <c r="N25" s="768" t="s">
        <v>306</v>
      </c>
      <c r="O25" s="766" t="s">
        <v>306</v>
      </c>
      <c r="P25" s="767" t="s">
        <v>306</v>
      </c>
      <c r="Q25" s="767" t="s">
        <v>306</v>
      </c>
      <c r="R25" s="768" t="s">
        <v>306</v>
      </c>
      <c r="S25" s="766" t="s">
        <v>306</v>
      </c>
      <c r="T25" s="767" t="s">
        <v>306</v>
      </c>
      <c r="U25" s="767" t="s">
        <v>306</v>
      </c>
      <c r="V25" s="768" t="s">
        <v>306</v>
      </c>
      <c r="W25" s="774" t="s">
        <v>306</v>
      </c>
      <c r="X25" s="699">
        <v>4</v>
      </c>
    </row>
    <row r="26" spans="1:24" x14ac:dyDescent="0.2">
      <c r="A26" s="691"/>
      <c r="B26" s="758" t="s">
        <v>428</v>
      </c>
      <c r="C26" s="686"/>
      <c r="D26" s="687"/>
      <c r="E26" s="687"/>
      <c r="F26" s="688"/>
      <c r="G26" s="686"/>
      <c r="H26" s="687"/>
      <c r="I26" s="687"/>
      <c r="J26" s="688"/>
      <c r="K26" s="686"/>
      <c r="L26" s="687"/>
      <c r="M26" s="687"/>
      <c r="N26" s="688"/>
      <c r="O26" s="686"/>
      <c r="P26" s="687"/>
      <c r="Q26" s="687"/>
      <c r="R26" s="688"/>
      <c r="S26" s="686"/>
      <c r="T26" s="687"/>
      <c r="U26" s="687"/>
      <c r="V26" s="688"/>
      <c r="W26" s="684"/>
      <c r="X26" s="692"/>
    </row>
    <row r="27" spans="1:24" x14ac:dyDescent="0.2">
      <c r="A27" s="691"/>
      <c r="B27" s="770" t="s">
        <v>166</v>
      </c>
      <c r="C27" s="686">
        <v>3</v>
      </c>
      <c r="D27" s="687">
        <v>0</v>
      </c>
      <c r="E27" s="687">
        <v>0</v>
      </c>
      <c r="F27" s="688">
        <v>3</v>
      </c>
      <c r="G27" s="686">
        <v>0</v>
      </c>
      <c r="H27" s="687">
        <v>0</v>
      </c>
      <c r="I27" s="687">
        <v>0</v>
      </c>
      <c r="J27" s="688">
        <v>0</v>
      </c>
      <c r="K27" s="686">
        <v>3</v>
      </c>
      <c r="L27" s="687">
        <v>0</v>
      </c>
      <c r="M27" s="687">
        <v>0</v>
      </c>
      <c r="N27" s="688">
        <v>0</v>
      </c>
      <c r="O27" s="686">
        <v>0</v>
      </c>
      <c r="P27" s="687">
        <v>0</v>
      </c>
      <c r="Q27" s="687">
        <v>0</v>
      </c>
      <c r="R27" s="688">
        <v>3</v>
      </c>
      <c r="S27" s="686">
        <v>5</v>
      </c>
      <c r="T27" s="687">
        <v>5</v>
      </c>
      <c r="U27" s="687">
        <v>0</v>
      </c>
      <c r="V27" s="688">
        <v>5</v>
      </c>
      <c r="W27" s="684">
        <f>SUM(C27:V27)</f>
        <v>27</v>
      </c>
      <c r="X27" s="699">
        <f ca="1">IF( INDIRECT("RC[-1]",0)=MAX(( INDIRECT("R[-1]C[-1]",0)):( INDIRECT("R[1]C[-1]",0))),1,2)</f>
        <v>1</v>
      </c>
    </row>
    <row r="28" spans="1:24" ht="13.5" thickBot="1" x14ac:dyDescent="0.25">
      <c r="A28" s="693"/>
      <c r="B28" s="765" t="s">
        <v>175</v>
      </c>
      <c r="C28" s="694">
        <v>0</v>
      </c>
      <c r="D28" s="695">
        <v>1</v>
      </c>
      <c r="E28" s="695">
        <v>0</v>
      </c>
      <c r="F28" s="696">
        <v>0</v>
      </c>
      <c r="G28" s="694">
        <v>0</v>
      </c>
      <c r="H28" s="695">
        <v>0</v>
      </c>
      <c r="I28" s="695">
        <v>0</v>
      </c>
      <c r="J28" s="696">
        <v>3</v>
      </c>
      <c r="K28" s="694">
        <v>0</v>
      </c>
      <c r="L28" s="695">
        <v>0</v>
      </c>
      <c r="M28" s="695">
        <v>0</v>
      </c>
      <c r="N28" s="696">
        <v>0</v>
      </c>
      <c r="O28" s="694">
        <v>0</v>
      </c>
      <c r="P28" s="695">
        <v>3</v>
      </c>
      <c r="Q28" s="695">
        <v>3</v>
      </c>
      <c r="R28" s="696">
        <v>0</v>
      </c>
      <c r="S28" s="694">
        <v>0</v>
      </c>
      <c r="T28" s="695">
        <v>0</v>
      </c>
      <c r="U28" s="695">
        <v>5</v>
      </c>
      <c r="V28" s="696">
        <v>0</v>
      </c>
      <c r="W28" s="690">
        <f>SUM(C28:V28)</f>
        <v>15</v>
      </c>
      <c r="X28" s="700">
        <f ca="1">IF( INDIRECT("RC[-1]",0)=MAX(( INDIRECT("R[-1]C[-1]",0)):( INDIRECT("R[1]C[-1]",0))),1,2)</f>
        <v>2</v>
      </c>
    </row>
    <row r="29" spans="1:24" x14ac:dyDescent="0.2">
      <c r="A29" s="701"/>
      <c r="B29" s="701"/>
      <c r="C29" s="701"/>
      <c r="D29" s="701"/>
      <c r="E29" s="701"/>
      <c r="F29" s="701"/>
      <c r="G29" s="701"/>
      <c r="H29" s="701"/>
      <c r="I29" s="701"/>
      <c r="J29" s="701"/>
      <c r="K29" s="701"/>
      <c r="L29" s="701"/>
      <c r="M29" s="701"/>
      <c r="N29" s="701"/>
      <c r="O29" s="701"/>
      <c r="P29" s="701"/>
      <c r="Q29" s="701"/>
      <c r="R29" s="701"/>
      <c r="S29" s="701"/>
      <c r="T29" s="701"/>
      <c r="U29" s="701"/>
      <c r="V29" s="701"/>
      <c r="W29" s="701"/>
      <c r="X29" s="701"/>
    </row>
    <row r="30" spans="1:24" x14ac:dyDescent="0.2">
      <c r="A30" s="702">
        <v>1</v>
      </c>
      <c r="B30" s="704" t="s">
        <v>166</v>
      </c>
      <c r="C30" s="701"/>
      <c r="D30" s="701"/>
      <c r="E30" s="701"/>
      <c r="F30" s="701"/>
      <c r="G30" s="701"/>
      <c r="H30" s="701"/>
      <c r="I30" s="701"/>
      <c r="J30" s="701"/>
      <c r="K30" s="701"/>
      <c r="L30" s="701"/>
      <c r="M30" s="701"/>
      <c r="N30" s="701"/>
      <c r="O30" s="701"/>
      <c r="P30" s="701"/>
      <c r="Q30" s="701"/>
      <c r="R30" s="701"/>
      <c r="S30" s="701"/>
      <c r="T30" s="701"/>
      <c r="U30" s="701"/>
      <c r="V30" s="701"/>
      <c r="W30" s="701"/>
      <c r="X30" s="701"/>
    </row>
    <row r="31" spans="1:24" x14ac:dyDescent="0.2">
      <c r="A31" s="702">
        <v>2</v>
      </c>
      <c r="B31" s="703" t="s">
        <v>175</v>
      </c>
      <c r="C31" s="701"/>
      <c r="D31" s="701"/>
      <c r="E31" s="701"/>
      <c r="F31" s="701"/>
      <c r="G31" s="701"/>
      <c r="H31" s="701"/>
      <c r="I31" s="701"/>
      <c r="J31" s="701"/>
      <c r="K31" s="701"/>
      <c r="L31" s="701"/>
      <c r="M31" s="701"/>
      <c r="N31" s="701"/>
      <c r="O31" s="701"/>
      <c r="P31" s="701"/>
      <c r="Q31" s="701"/>
      <c r="R31" s="701"/>
      <c r="S31" s="701"/>
      <c r="T31" s="701"/>
      <c r="U31" s="701"/>
      <c r="V31" s="701"/>
      <c r="W31" s="701"/>
      <c r="X31" s="701"/>
    </row>
    <row r="32" spans="1:24" x14ac:dyDescent="0.2">
      <c r="A32" s="702">
        <v>3</v>
      </c>
      <c r="B32" s="773" t="s">
        <v>170</v>
      </c>
      <c r="C32" s="701"/>
      <c r="D32" s="701"/>
      <c r="E32" s="701"/>
      <c r="F32" s="701"/>
      <c r="G32" s="701"/>
      <c r="H32" s="701"/>
      <c r="I32" s="701"/>
      <c r="J32" s="701"/>
      <c r="K32" s="701"/>
      <c r="L32" s="701"/>
      <c r="M32" s="701"/>
      <c r="N32" s="701"/>
      <c r="O32" s="701"/>
      <c r="P32" s="701"/>
      <c r="Q32" s="701"/>
      <c r="R32" s="701"/>
      <c r="S32" s="701"/>
      <c r="T32" s="701"/>
      <c r="U32" s="701"/>
      <c r="V32" s="701"/>
      <c r="W32" s="701"/>
      <c r="X32" s="701"/>
    </row>
    <row r="33" spans="1:24" x14ac:dyDescent="0.2">
      <c r="A33" s="702">
        <v>4</v>
      </c>
      <c r="B33" s="759" t="s">
        <v>156</v>
      </c>
      <c r="C33" s="701"/>
      <c r="D33" s="701"/>
      <c r="E33" s="701"/>
      <c r="F33" s="701"/>
      <c r="G33" s="701"/>
      <c r="H33" s="701"/>
      <c r="I33" s="701"/>
      <c r="J33" s="701"/>
      <c r="K33" s="701"/>
      <c r="L33" s="701"/>
      <c r="M33" s="701"/>
      <c r="N33" s="701"/>
      <c r="O33" s="701"/>
      <c r="P33" s="701"/>
      <c r="Q33" s="701"/>
      <c r="R33" s="701"/>
      <c r="S33" s="701"/>
      <c r="T33" s="701"/>
      <c r="U33" s="701"/>
      <c r="V33" s="701"/>
      <c r="W33" s="701"/>
      <c r="X33" s="701"/>
    </row>
    <row r="34" spans="1:24" x14ac:dyDescent="0.2">
      <c r="A34" s="702">
        <v>5</v>
      </c>
      <c r="B34" s="759" t="s">
        <v>155</v>
      </c>
      <c r="C34" s="701"/>
      <c r="D34" s="701"/>
      <c r="E34" s="701"/>
      <c r="F34" s="701"/>
      <c r="G34" s="701"/>
      <c r="H34" s="701"/>
      <c r="I34" s="701"/>
      <c r="J34" s="701"/>
      <c r="K34" s="701"/>
      <c r="L34" s="701"/>
      <c r="M34" s="701"/>
      <c r="N34" s="701"/>
      <c r="O34" s="701"/>
      <c r="P34" s="701"/>
      <c r="Q34" s="701"/>
      <c r="R34" s="701"/>
      <c r="S34" s="701"/>
      <c r="T34" s="701"/>
      <c r="U34" s="701"/>
      <c r="V34" s="701"/>
      <c r="W34" s="701"/>
      <c r="X34" s="701"/>
    </row>
    <row r="35" spans="1:24" x14ac:dyDescent="0.2">
      <c r="A35" s="702">
        <v>6</v>
      </c>
      <c r="B35" s="760" t="s">
        <v>162</v>
      </c>
      <c r="C35" s="701"/>
      <c r="D35" s="701"/>
      <c r="E35" s="701"/>
      <c r="F35" s="701"/>
      <c r="G35" s="701"/>
      <c r="H35" s="701"/>
      <c r="I35" s="701"/>
      <c r="J35" s="701"/>
      <c r="K35" s="701"/>
      <c r="L35" s="701"/>
      <c r="M35" s="701"/>
      <c r="N35" s="701"/>
      <c r="O35" s="701"/>
      <c r="P35" s="701"/>
      <c r="Q35" s="701"/>
      <c r="R35" s="701"/>
      <c r="S35" s="701"/>
      <c r="T35" s="701"/>
      <c r="U35" s="701"/>
      <c r="V35" s="701"/>
      <c r="W35" s="701"/>
      <c r="X35" s="701"/>
    </row>
    <row r="36" spans="1:24" x14ac:dyDescent="0.2">
      <c r="A36" s="702">
        <v>7</v>
      </c>
      <c r="B36" s="761" t="s">
        <v>157</v>
      </c>
      <c r="C36" s="701"/>
      <c r="D36" s="701"/>
      <c r="E36" s="701"/>
      <c r="F36" s="701"/>
      <c r="G36" s="701"/>
      <c r="H36" s="701"/>
      <c r="I36" s="701"/>
      <c r="J36" s="701"/>
      <c r="K36" s="701"/>
      <c r="L36" s="701"/>
      <c r="M36" s="701"/>
      <c r="N36" s="701"/>
      <c r="O36" s="701"/>
      <c r="P36" s="701"/>
      <c r="Q36" s="701"/>
      <c r="R36" s="701"/>
      <c r="S36" s="701"/>
      <c r="T36" s="701"/>
      <c r="U36" s="701"/>
      <c r="V36" s="701"/>
      <c r="W36" s="701"/>
      <c r="X36" s="701"/>
    </row>
    <row r="37" spans="1:24" x14ac:dyDescent="0.2">
      <c r="A37" s="702">
        <v>8</v>
      </c>
      <c r="B37" s="760" t="s">
        <v>159</v>
      </c>
      <c r="C37" s="701"/>
      <c r="D37" s="701"/>
      <c r="E37" s="701"/>
      <c r="F37" s="701"/>
      <c r="G37" s="701"/>
      <c r="H37" s="701"/>
      <c r="I37" s="701"/>
      <c r="J37" s="701"/>
      <c r="K37" s="701"/>
      <c r="L37" s="701"/>
      <c r="M37" s="701"/>
      <c r="N37" s="701"/>
      <c r="O37" s="701"/>
      <c r="P37" s="701"/>
      <c r="Q37" s="701"/>
      <c r="R37" s="701"/>
      <c r="S37" s="701"/>
      <c r="T37" s="701"/>
      <c r="U37" s="701"/>
      <c r="V37" s="701"/>
      <c r="W37" s="701"/>
      <c r="X37" s="701"/>
    </row>
    <row r="38" spans="1:24" x14ac:dyDescent="0.2">
      <c r="A38" s="702">
        <v>9</v>
      </c>
      <c r="B38" s="760" t="s">
        <v>161</v>
      </c>
      <c r="C38" s="701"/>
      <c r="D38" s="701"/>
      <c r="E38" s="701"/>
      <c r="F38" s="701"/>
      <c r="G38" s="701"/>
      <c r="H38" s="701"/>
      <c r="I38" s="701"/>
      <c r="J38" s="701"/>
      <c r="K38" s="701"/>
      <c r="L38" s="701"/>
      <c r="M38" s="701"/>
      <c r="N38" s="701"/>
      <c r="O38" s="701"/>
      <c r="P38" s="701"/>
      <c r="Q38" s="701"/>
      <c r="R38" s="701"/>
      <c r="S38" s="701"/>
      <c r="T38" s="701"/>
      <c r="U38" s="701"/>
      <c r="V38" s="701"/>
      <c r="W38" s="701"/>
      <c r="X38" s="701"/>
    </row>
    <row r="39" spans="1:24" x14ac:dyDescent="0.2">
      <c r="C39" s="701"/>
      <c r="D39" s="701"/>
      <c r="E39" s="701"/>
      <c r="F39" s="701"/>
      <c r="G39" s="701"/>
      <c r="H39" s="701"/>
      <c r="I39" s="701"/>
      <c r="J39" s="701"/>
      <c r="K39" s="701"/>
      <c r="L39" s="701"/>
      <c r="M39" s="701"/>
      <c r="N39" s="701"/>
      <c r="O39" s="701"/>
      <c r="P39" s="701"/>
      <c r="Q39" s="701"/>
      <c r="R39" s="701"/>
      <c r="S39" s="701"/>
      <c r="T39" s="701"/>
      <c r="U39" s="701"/>
      <c r="V39" s="701"/>
      <c r="W39" s="701"/>
      <c r="X39" s="701"/>
    </row>
    <row r="40" spans="1:24" x14ac:dyDescent="0.2">
      <c r="C40" s="701"/>
      <c r="D40" s="701"/>
      <c r="E40" s="701"/>
      <c r="F40" s="701"/>
      <c r="G40" s="701"/>
      <c r="H40" s="701"/>
      <c r="I40" s="701"/>
      <c r="J40" s="701"/>
      <c r="K40" s="701"/>
      <c r="L40" s="701"/>
      <c r="M40" s="701"/>
      <c r="N40" s="701"/>
      <c r="O40" s="701"/>
      <c r="P40" s="701"/>
      <c r="Q40" s="701"/>
      <c r="R40" s="701"/>
      <c r="S40" s="701"/>
      <c r="T40" s="701"/>
      <c r="U40" s="701"/>
      <c r="V40" s="701"/>
      <c r="W40" s="701"/>
      <c r="X40" s="701"/>
    </row>
    <row r="41" spans="1:24" x14ac:dyDescent="0.2">
      <c r="C41" s="701"/>
      <c r="D41" s="701"/>
      <c r="E41" s="701"/>
      <c r="F41" s="701"/>
      <c r="G41" s="701"/>
      <c r="H41" s="701"/>
      <c r="I41" s="701"/>
      <c r="J41" s="701"/>
      <c r="K41" s="701"/>
      <c r="L41" s="701"/>
      <c r="M41" s="701"/>
      <c r="N41" s="701"/>
      <c r="O41" s="701"/>
      <c r="P41" s="701"/>
      <c r="Q41" s="701"/>
      <c r="R41" s="701"/>
      <c r="S41" s="701"/>
      <c r="T41" s="701"/>
      <c r="U41" s="701"/>
      <c r="V41" s="701"/>
      <c r="W41" s="701"/>
      <c r="X41" s="701"/>
    </row>
    <row r="42" spans="1:24" x14ac:dyDescent="0.2">
      <c r="C42" s="701"/>
      <c r="D42" s="701"/>
      <c r="E42" s="701"/>
      <c r="F42" s="701"/>
      <c r="G42" s="701"/>
      <c r="H42" s="701"/>
      <c r="I42" s="701"/>
      <c r="J42" s="701"/>
      <c r="K42" s="701"/>
      <c r="L42" s="701"/>
      <c r="M42" s="701"/>
      <c r="N42" s="701"/>
      <c r="O42" s="701"/>
      <c r="P42" s="701"/>
      <c r="Q42" s="701"/>
      <c r="R42" s="701"/>
      <c r="S42" s="701"/>
      <c r="T42" s="701"/>
      <c r="U42" s="701"/>
      <c r="V42" s="701"/>
      <c r="W42" s="701"/>
      <c r="X42" s="701"/>
    </row>
  </sheetData>
  <conditionalFormatting sqref="W27:W28">
    <cfRule type="top10" dxfId="792" priority="11" rank="1"/>
  </conditionalFormatting>
  <conditionalFormatting sqref="W19:W20">
    <cfRule type="top10" dxfId="791" priority="14" rank="1"/>
  </conditionalFormatting>
  <conditionalFormatting sqref="W21:W22">
    <cfRule type="top10" dxfId="790" priority="13" rank="1"/>
  </conditionalFormatting>
  <conditionalFormatting sqref="W24:W25">
    <cfRule type="top10" dxfId="789" priority="12" rank="1"/>
  </conditionalFormatting>
  <conditionalFormatting sqref="B36">
    <cfRule type="duplicateValues" dxfId="788" priority="5" stopIfTrue="1"/>
  </conditionalFormatting>
  <conditionalFormatting sqref="X19:X22">
    <cfRule type="duplicateValues" dxfId="787" priority="19"/>
  </conditionalFormatting>
  <conditionalFormatting sqref="X9:X17">
    <cfRule type="duplicateValues" dxfId="786" priority="189"/>
    <cfRule type="top10" dxfId="785" priority="190" stopIfTrue="1" rank="100"/>
  </conditionalFormatting>
  <conditionalFormatting sqref="B9:B17">
    <cfRule type="duplicateValues" dxfId="784" priority="191" stopIfTrue="1"/>
  </conditionalFormatting>
  <conditionalFormatting sqref="W9:W28">
    <cfRule type="top10" dxfId="783" priority="197" stopIfTrue="1" rank="1"/>
  </conditionalFormatting>
  <conditionalFormatting sqref="B19">
    <cfRule type="duplicateValues" dxfId="782" priority="2" stopIfTrue="1"/>
  </conditionalFormatting>
  <conditionalFormatting sqref="B20">
    <cfRule type="duplicateValues" dxfId="781" priority="1" stopIfTrue="1"/>
  </conditionalFormatting>
  <conditionalFormatting sqref="B30:B33 B37:B38">
    <cfRule type="duplicateValues" dxfId="780" priority="198" stopIfTrue="1"/>
  </conditionalFormatting>
  <pageMargins left="0.78740157480314965" right="0.31496062992125984" top="0.78740157480314965" bottom="0.39370078740157483" header="0.59055118110236227" footer="0"/>
  <pageSetup paperSize="9" fitToHeight="0" orientation="portrait" r:id="rId1"/>
  <headerFooter alignWithMargins="0">
    <oddHeader>&amp;R&amp;"Arial,Regular"&amp;9Page &amp;P of &amp;N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6"/>
  <sheetViews>
    <sheetView showGridLines="0" showRowColHeaders="0" zoomScaleNormal="100" workbookViewId="0">
      <pane ySplit="2" topLeftCell="A3" activePane="bottomLeft" state="frozen"/>
      <selection activeCell="G1" sqref="G1"/>
      <selection pane="bottomLeft" activeCell="J1" sqref="J1"/>
    </sheetView>
  </sheetViews>
  <sheetFormatPr defaultRowHeight="12.75" x14ac:dyDescent="0.2"/>
  <cols>
    <col min="1" max="1" width="4" style="152" customWidth="1"/>
    <col min="2" max="2" width="20.7109375" style="152" bestFit="1" customWidth="1"/>
    <col min="3" max="3" width="9.140625" style="152" customWidth="1"/>
    <col min="4" max="4" width="20.140625" style="152" customWidth="1"/>
    <col min="5" max="14" width="9.140625" style="152" customWidth="1"/>
    <col min="15" max="16384" width="9.140625" style="152"/>
  </cols>
  <sheetData>
    <row r="1" spans="1:14" x14ac:dyDescent="0.2">
      <c r="A1" s="151" t="str">
        <f>UPPER((Kalend!E16)&amp;" - "&amp;(Kalend!C16)&amp;" - "&amp;(Kalend!D16))</f>
        <v>MU - TOILA VALLA MV (16. MURUTURNIIR) - ÜKSIK</v>
      </c>
      <c r="F1" s="113" t="str">
        <f>HYPERLINK("#Kalend!I1","Kalender")</f>
        <v>Kalender</v>
      </c>
      <c r="G1" s="2"/>
      <c r="H1" s="113" t="str">
        <f>HYPERLINK("#Reit!G1","Reiting")</f>
        <v>Reiting</v>
      </c>
      <c r="I1" s="2"/>
      <c r="N1" s="2"/>
    </row>
    <row r="2" spans="1:14" x14ac:dyDescent="0.2">
      <c r="A2" s="2" t="str">
        <f>"Toimumisaeg: "&amp;(Kalend!A16)&amp;" kell "&amp;(Kalend!B16)</f>
        <v>Toimumisaeg: P, 11.06.2017 kell 11:00</v>
      </c>
    </row>
    <row r="3" spans="1:14" x14ac:dyDescent="0.2">
      <c r="A3" s="2" t="str">
        <f>"Toimumiskoht: "&amp;(Kalend!F16)</f>
        <v>Toimumiskoht: Voka staadion</v>
      </c>
    </row>
    <row r="4" spans="1:14" x14ac:dyDescent="0.2">
      <c r="A4" s="2" t="str">
        <f>"Korraldaja: "&amp;(Kalend!G16)</f>
        <v>Korraldaja: Toila vald, Johannes Neiland</v>
      </c>
    </row>
    <row r="10" spans="1:14" x14ac:dyDescent="0.2">
      <c r="A10" s="216" t="s">
        <v>122</v>
      </c>
      <c r="C10" s="210"/>
      <c r="D10" s="222" t="s">
        <v>447</v>
      </c>
    </row>
    <row r="11" spans="1:14" x14ac:dyDescent="0.2">
      <c r="C11" s="210"/>
      <c r="D11" s="210"/>
    </row>
    <row r="12" spans="1:14" x14ac:dyDescent="0.2">
      <c r="A12" s="777">
        <v>1</v>
      </c>
      <c r="B12" s="257" t="s">
        <v>160</v>
      </c>
      <c r="C12" s="218">
        <v>1</v>
      </c>
      <c r="D12" s="226" t="s">
        <v>441</v>
      </c>
      <c r="E12" s="210"/>
      <c r="F12" s="219"/>
    </row>
    <row r="13" spans="1:14" x14ac:dyDescent="0.2">
      <c r="A13" s="777">
        <v>2</v>
      </c>
      <c r="B13" s="775" t="s">
        <v>159</v>
      </c>
      <c r="C13" s="218">
        <v>2</v>
      </c>
      <c r="D13" s="228" t="s">
        <v>184</v>
      </c>
      <c r="E13" s="210"/>
      <c r="F13" s="213"/>
    </row>
    <row r="14" spans="1:14" x14ac:dyDescent="0.2">
      <c r="A14" s="777">
        <v>3</v>
      </c>
      <c r="B14" s="776" t="s">
        <v>314</v>
      </c>
      <c r="C14" s="218">
        <v>3</v>
      </c>
      <c r="D14" s="230" t="s">
        <v>313</v>
      </c>
      <c r="E14" s="210"/>
      <c r="F14" s="213"/>
    </row>
    <row r="15" spans="1:14" x14ac:dyDescent="0.2">
      <c r="A15" s="777">
        <v>4</v>
      </c>
      <c r="B15" s="546" t="s">
        <v>52</v>
      </c>
      <c r="C15" s="225"/>
      <c r="D15" s="210"/>
      <c r="F15" s="258"/>
    </row>
    <row r="16" spans="1:14" x14ac:dyDescent="0.2">
      <c r="A16" s="777">
        <v>5</v>
      </c>
      <c r="B16" s="546" t="s">
        <v>354</v>
      </c>
      <c r="F16" s="258"/>
    </row>
    <row r="17" spans="1:6" x14ac:dyDescent="0.2">
      <c r="A17" s="777">
        <v>6</v>
      </c>
      <c r="B17" s="546" t="s">
        <v>441</v>
      </c>
      <c r="C17" s="210"/>
      <c r="D17" s="222" t="s">
        <v>448</v>
      </c>
      <c r="F17" s="258"/>
    </row>
    <row r="18" spans="1:6" x14ac:dyDescent="0.2">
      <c r="A18" s="777">
        <v>7</v>
      </c>
      <c r="B18" s="546" t="s">
        <v>355</v>
      </c>
      <c r="C18" s="210"/>
      <c r="D18" s="210"/>
      <c r="F18" s="258"/>
    </row>
    <row r="19" spans="1:6" x14ac:dyDescent="0.2">
      <c r="A19" s="777">
        <v>8</v>
      </c>
      <c r="B19" s="546" t="s">
        <v>442</v>
      </c>
      <c r="C19" s="218">
        <v>1</v>
      </c>
      <c r="D19" s="226" t="s">
        <v>351</v>
      </c>
    </row>
    <row r="20" spans="1:6" x14ac:dyDescent="0.2">
      <c r="A20" s="777">
        <v>9</v>
      </c>
      <c r="B20" s="546" t="s">
        <v>348</v>
      </c>
      <c r="C20" s="218">
        <v>2</v>
      </c>
      <c r="D20" s="228" t="s">
        <v>512</v>
      </c>
    </row>
    <row r="21" spans="1:6" x14ac:dyDescent="0.2">
      <c r="A21" s="777">
        <v>10</v>
      </c>
      <c r="B21" s="546" t="s">
        <v>353</v>
      </c>
      <c r="C21" s="218"/>
      <c r="D21" s="778"/>
    </row>
    <row r="22" spans="1:6" x14ac:dyDescent="0.2">
      <c r="A22" s="777">
        <v>11</v>
      </c>
      <c r="B22" s="546" t="s">
        <v>443</v>
      </c>
    </row>
    <row r="23" spans="1:6" x14ac:dyDescent="0.2">
      <c r="A23" s="777">
        <v>12</v>
      </c>
      <c r="B23" s="546" t="s">
        <v>184</v>
      </c>
      <c r="C23" s="210"/>
      <c r="D23" s="222" t="s">
        <v>449</v>
      </c>
    </row>
    <row r="24" spans="1:6" x14ac:dyDescent="0.2">
      <c r="A24" s="777">
        <v>13</v>
      </c>
      <c r="B24" s="546" t="s">
        <v>183</v>
      </c>
      <c r="C24" s="210"/>
      <c r="D24" s="210"/>
    </row>
    <row r="25" spans="1:6" x14ac:dyDescent="0.2">
      <c r="A25" s="777">
        <v>14</v>
      </c>
      <c r="B25" s="546" t="s">
        <v>397</v>
      </c>
      <c r="C25" s="218">
        <v>1</v>
      </c>
      <c r="D25" s="226" t="s">
        <v>355</v>
      </c>
    </row>
    <row r="26" spans="1:6" x14ac:dyDescent="0.2">
      <c r="A26" s="777">
        <v>15</v>
      </c>
      <c r="B26" s="546" t="s">
        <v>313</v>
      </c>
      <c r="C26" s="218">
        <v>2</v>
      </c>
      <c r="D26" s="228" t="s">
        <v>350</v>
      </c>
    </row>
    <row r="27" spans="1:6" x14ac:dyDescent="0.2">
      <c r="A27" s="777">
        <v>16</v>
      </c>
      <c r="B27" s="546" t="s">
        <v>396</v>
      </c>
      <c r="C27" s="218">
        <v>3</v>
      </c>
      <c r="D27" s="230" t="s">
        <v>354</v>
      </c>
    </row>
    <row r="28" spans="1:6" x14ac:dyDescent="0.2">
      <c r="A28" s="777">
        <v>17</v>
      </c>
      <c r="B28" s="546" t="s">
        <v>400</v>
      </c>
      <c r="C28" s="218"/>
      <c r="D28" s="210"/>
    </row>
    <row r="29" spans="1:6" x14ac:dyDescent="0.2">
      <c r="A29" s="777">
        <v>18</v>
      </c>
      <c r="B29" s="546" t="s">
        <v>444</v>
      </c>
      <c r="C29" s="218"/>
      <c r="D29" s="210"/>
    </row>
    <row r="30" spans="1:6" x14ac:dyDescent="0.2">
      <c r="A30" s="777">
        <v>19</v>
      </c>
      <c r="B30" s="546" t="s">
        <v>445</v>
      </c>
      <c r="C30" s="218"/>
      <c r="D30" s="210"/>
    </row>
    <row r="31" spans="1:6" x14ac:dyDescent="0.2">
      <c r="A31" s="777">
        <v>20</v>
      </c>
      <c r="B31" s="546" t="s">
        <v>446</v>
      </c>
      <c r="C31" s="218"/>
      <c r="D31" s="210"/>
    </row>
    <row r="32" spans="1:6" x14ac:dyDescent="0.2">
      <c r="A32" s="777">
        <v>21</v>
      </c>
      <c r="B32" s="546" t="s">
        <v>404</v>
      </c>
      <c r="C32" s="218"/>
      <c r="D32" s="233"/>
    </row>
    <row r="33" spans="1:4" x14ac:dyDescent="0.2">
      <c r="A33" s="777">
        <v>22</v>
      </c>
      <c r="B33" s="546" t="s">
        <v>351</v>
      </c>
      <c r="C33" s="218"/>
      <c r="D33" s="210"/>
    </row>
    <row r="34" spans="1:4" x14ac:dyDescent="0.2">
      <c r="C34" s="218"/>
      <c r="D34" s="233"/>
    </row>
    <row r="35" spans="1:4" x14ac:dyDescent="0.2">
      <c r="C35" s="218"/>
      <c r="D35" s="210"/>
    </row>
    <row r="36" spans="1:4" x14ac:dyDescent="0.2">
      <c r="C36" s="218"/>
      <c r="D36" s="210"/>
    </row>
  </sheetData>
  <pageMargins left="0.39370078740157483" right="0.39370078740157483" top="0.78740157480314965" bottom="0.39370078740157483" header="0.59055118110236227" footer="0"/>
  <pageSetup paperSize="9" fitToHeight="0" orientation="portrait" r:id="rId1"/>
  <headerFooter>
    <oddHeader>&amp;R&amp;9Page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45"/>
  <sheetViews>
    <sheetView showGridLines="0" showRowColHeaders="0" zoomScaleNormal="100" workbookViewId="0">
      <pane ySplit="2" topLeftCell="A3" activePane="bottomLeft" state="frozen"/>
      <selection activeCell="I1" sqref="I1"/>
      <selection pane="bottomLeft" activeCell="J1" sqref="J1"/>
    </sheetView>
  </sheetViews>
  <sheetFormatPr defaultRowHeight="12.75" x14ac:dyDescent="0.2"/>
  <cols>
    <col min="1" max="1" width="3.28515625" style="2" customWidth="1"/>
    <col min="2" max="2" width="18.7109375" style="2" bestFit="1" customWidth="1"/>
    <col min="3" max="3" width="7.28515625" style="2" customWidth="1"/>
    <col min="4" max="4" width="7.42578125" style="2" bestFit="1" customWidth="1"/>
    <col min="5" max="16384" width="9.140625" style="2"/>
  </cols>
  <sheetData>
    <row r="1" spans="1:8" x14ac:dyDescent="0.2">
      <c r="A1" s="1" t="str">
        <f>UPPER((Kalend!E19)&amp;" - "&amp;(Kalend!C19)&amp;" - "&amp;(Kalend!D19))</f>
        <v>5 - IDA-VIRUMAA MV - ÜKSIK</v>
      </c>
      <c r="F1" s="113" t="str">
        <f>HYPERLINK("#Kalend!I1","Kalender")</f>
        <v>Kalender</v>
      </c>
      <c r="H1" s="113" t="str">
        <f>HYPERLINK("#Reit!K1","Reiting")</f>
        <v>Reiting</v>
      </c>
    </row>
    <row r="2" spans="1:8" x14ac:dyDescent="0.2">
      <c r="A2" s="2" t="str">
        <f>"Toimumisaeg: "&amp;(Kalend!A19)&amp;" kell "&amp;(Kalend!B19)</f>
        <v>Toimumisaeg: N, 15.06.2017 kell 18:00</v>
      </c>
    </row>
    <row r="3" spans="1:8" x14ac:dyDescent="0.2">
      <c r="A3" s="2" t="str">
        <f>"Toimumiskoht: "&amp;(Kalend!F19)</f>
        <v>Toimumiskoht: Voka staadion</v>
      </c>
    </row>
    <row r="4" spans="1:8" x14ac:dyDescent="0.2">
      <c r="A4" s="2" t="str">
        <f>"Korraldaja: "&amp;(Kalend!G19)</f>
        <v>Korraldaja: K-Järve SHK, Ivar Viljaste</v>
      </c>
      <c r="C4" s="194" t="s">
        <v>513</v>
      </c>
    </row>
    <row r="8" spans="1:8" x14ac:dyDescent="0.2">
      <c r="A8" s="223">
        <v>1</v>
      </c>
      <c r="B8" s="224" t="s">
        <v>183</v>
      </c>
    </row>
    <row r="9" spans="1:8" x14ac:dyDescent="0.2">
      <c r="A9" s="223">
        <v>2</v>
      </c>
      <c r="B9" s="535" t="s">
        <v>158</v>
      </c>
    </row>
    <row r="10" spans="1:8" x14ac:dyDescent="0.2">
      <c r="A10" s="223">
        <v>3</v>
      </c>
      <c r="B10" s="536" t="s">
        <v>155</v>
      </c>
    </row>
    <row r="11" spans="1:8" x14ac:dyDescent="0.2">
      <c r="A11" s="223">
        <v>4</v>
      </c>
      <c r="B11" s="540" t="s">
        <v>164</v>
      </c>
    </row>
    <row r="12" spans="1:8" x14ac:dyDescent="0.2">
      <c r="A12" s="223">
        <v>5</v>
      </c>
      <c r="B12" s="540" t="s">
        <v>182</v>
      </c>
    </row>
    <row r="13" spans="1:8" x14ac:dyDescent="0.2">
      <c r="A13" s="223">
        <v>6</v>
      </c>
      <c r="B13" s="540" t="s">
        <v>175</v>
      </c>
    </row>
    <row r="14" spans="1:8" x14ac:dyDescent="0.2">
      <c r="A14" s="223">
        <v>7</v>
      </c>
      <c r="B14" s="540" t="s">
        <v>313</v>
      </c>
    </row>
    <row r="15" spans="1:8" x14ac:dyDescent="0.2">
      <c r="A15" s="808">
        <v>8</v>
      </c>
      <c r="B15" s="540" t="s">
        <v>177</v>
      </c>
    </row>
    <row r="16" spans="1:8" x14ac:dyDescent="0.2">
      <c r="A16" s="808">
        <v>8</v>
      </c>
      <c r="B16" s="540" t="s">
        <v>156</v>
      </c>
    </row>
    <row r="17" spans="1:2" x14ac:dyDescent="0.2">
      <c r="A17" s="223">
        <v>10</v>
      </c>
      <c r="B17" s="540" t="s">
        <v>168</v>
      </c>
    </row>
    <row r="18" spans="1:2" x14ac:dyDescent="0.2">
      <c r="A18" s="223">
        <v>11</v>
      </c>
      <c r="B18" s="540" t="s">
        <v>157</v>
      </c>
    </row>
    <row r="19" spans="1:2" x14ac:dyDescent="0.2">
      <c r="A19" s="223">
        <v>12</v>
      </c>
      <c r="B19" s="540" t="s">
        <v>166</v>
      </c>
    </row>
    <row r="20" spans="1:2" x14ac:dyDescent="0.2">
      <c r="A20" s="223">
        <v>13</v>
      </c>
      <c r="B20" s="540" t="s">
        <v>159</v>
      </c>
    </row>
    <row r="21" spans="1:2" x14ac:dyDescent="0.2">
      <c r="A21" s="223">
        <v>14</v>
      </c>
      <c r="B21" s="348" t="s">
        <v>170</v>
      </c>
    </row>
    <row r="22" spans="1:2" x14ac:dyDescent="0.2">
      <c r="A22" s="223">
        <v>15</v>
      </c>
      <c r="B22" s="231" t="s">
        <v>314</v>
      </c>
    </row>
    <row r="23" spans="1:2" x14ac:dyDescent="0.2">
      <c r="A23" s="808">
        <v>16</v>
      </c>
      <c r="B23" s="540" t="s">
        <v>176</v>
      </c>
    </row>
    <row r="24" spans="1:2" x14ac:dyDescent="0.2">
      <c r="A24" s="808">
        <v>16</v>
      </c>
      <c r="B24" s="540" t="s">
        <v>171</v>
      </c>
    </row>
    <row r="25" spans="1:2" x14ac:dyDescent="0.2">
      <c r="A25" s="223">
        <v>18</v>
      </c>
      <c r="B25" s="540" t="s">
        <v>161</v>
      </c>
    </row>
    <row r="26" spans="1:2" x14ac:dyDescent="0.2">
      <c r="A26" s="223">
        <v>19</v>
      </c>
      <c r="B26" s="348" t="s">
        <v>179</v>
      </c>
    </row>
    <row r="27" spans="1:2" x14ac:dyDescent="0.2">
      <c r="A27" s="223">
        <v>20</v>
      </c>
      <c r="B27" s="540" t="s">
        <v>350</v>
      </c>
    </row>
    <row r="28" spans="1:2" x14ac:dyDescent="0.2">
      <c r="A28" s="223">
        <v>21</v>
      </c>
      <c r="B28" s="540" t="s">
        <v>174</v>
      </c>
    </row>
    <row r="29" spans="1:2" x14ac:dyDescent="0.2">
      <c r="A29" s="223">
        <v>22</v>
      </c>
      <c r="B29" s="540" t="s">
        <v>396</v>
      </c>
    </row>
    <row r="30" spans="1:2" x14ac:dyDescent="0.2">
      <c r="A30" s="808">
        <v>23</v>
      </c>
      <c r="B30" s="540" t="s">
        <v>162</v>
      </c>
    </row>
    <row r="31" spans="1:2" x14ac:dyDescent="0.2">
      <c r="A31" s="808">
        <v>23</v>
      </c>
      <c r="B31" s="540" t="s">
        <v>165</v>
      </c>
    </row>
    <row r="32" spans="1:2" x14ac:dyDescent="0.2">
      <c r="A32" s="223">
        <v>25</v>
      </c>
      <c r="B32" s="540" t="s">
        <v>456</v>
      </c>
    </row>
    <row r="33" spans="1:2" x14ac:dyDescent="0.2">
      <c r="A33" s="223">
        <v>26</v>
      </c>
      <c r="B33" s="540" t="s">
        <v>457</v>
      </c>
    </row>
    <row r="34" spans="1:2" x14ac:dyDescent="0.2">
      <c r="A34" s="223">
        <v>27</v>
      </c>
      <c r="B34" s="537" t="s">
        <v>169</v>
      </c>
    </row>
    <row r="35" spans="1:2" x14ac:dyDescent="0.2">
      <c r="A35" s="223">
        <v>28</v>
      </c>
      <c r="B35" s="540" t="s">
        <v>351</v>
      </c>
    </row>
    <row r="36" spans="1:2" x14ac:dyDescent="0.2">
      <c r="A36" s="223">
        <v>29</v>
      </c>
      <c r="B36" s="540" t="s">
        <v>404</v>
      </c>
    </row>
    <row r="37" spans="1:2" x14ac:dyDescent="0.2">
      <c r="A37" s="223">
        <v>30</v>
      </c>
      <c r="B37" s="540" t="s">
        <v>160</v>
      </c>
    </row>
    <row r="38" spans="1:2" x14ac:dyDescent="0.2">
      <c r="A38" s="223">
        <v>31</v>
      </c>
      <c r="B38" s="540" t="s">
        <v>353</v>
      </c>
    </row>
    <row r="39" spans="1:2" x14ac:dyDescent="0.2">
      <c r="A39" s="808">
        <v>32</v>
      </c>
      <c r="B39" s="540" t="s">
        <v>348</v>
      </c>
    </row>
    <row r="40" spans="1:2" x14ac:dyDescent="0.2">
      <c r="A40" s="808">
        <v>32</v>
      </c>
      <c r="B40" s="540" t="s">
        <v>184</v>
      </c>
    </row>
    <row r="41" spans="1:2" x14ac:dyDescent="0.2">
      <c r="A41" s="223">
        <v>34</v>
      </c>
      <c r="B41" s="540" t="s">
        <v>332</v>
      </c>
    </row>
    <row r="42" spans="1:2" x14ac:dyDescent="0.2">
      <c r="A42" s="223">
        <v>35</v>
      </c>
      <c r="B42" s="540" t="s">
        <v>354</v>
      </c>
    </row>
    <row r="43" spans="1:2" x14ac:dyDescent="0.2">
      <c r="A43" s="223">
        <v>36</v>
      </c>
      <c r="B43" s="540" t="s">
        <v>397</v>
      </c>
    </row>
    <row r="44" spans="1:2" x14ac:dyDescent="0.2">
      <c r="A44" s="223">
        <v>37</v>
      </c>
      <c r="B44" s="540" t="s">
        <v>387</v>
      </c>
    </row>
    <row r="45" spans="1:2" x14ac:dyDescent="0.2">
      <c r="A45" s="223">
        <v>38</v>
      </c>
      <c r="B45" s="231" t="s">
        <v>436</v>
      </c>
    </row>
  </sheetData>
  <conditionalFormatting sqref="B21">
    <cfRule type="duplicateValues" dxfId="779" priority="3" stopIfTrue="1"/>
  </conditionalFormatting>
  <conditionalFormatting sqref="B26">
    <cfRule type="duplicateValues" dxfId="778" priority="2" stopIfTrue="1"/>
  </conditionalFormatting>
  <conditionalFormatting sqref="B34">
    <cfRule type="duplicateValues" dxfId="777" priority="1" stopIfTrue="1"/>
  </conditionalFormatting>
  <pageMargins left="0.78740157480314965" right="0.39370078740157483" top="0.78740157480314965" bottom="0.39370078740157483" header="0.59055118110236227" footer="0"/>
  <pageSetup paperSize="9" scale="97" fitToHeight="0" orientation="portrait" r:id="rId1"/>
  <headerFooter>
    <oddHeader>&amp;R&amp;"Arial,Regular"&amp;9Page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G103"/>
  <sheetViews>
    <sheetView showGridLines="0" showRowColHeaders="0" zoomScaleNormal="100" workbookViewId="0">
      <pane ySplit="2" topLeftCell="A3" activePane="bottomLeft" state="frozen"/>
      <selection activeCell="G1" sqref="G1"/>
      <selection pane="bottomLeft" activeCell="H1" sqref="H1"/>
    </sheetView>
  </sheetViews>
  <sheetFormatPr defaultRowHeight="12.75" x14ac:dyDescent="0.2"/>
  <cols>
    <col min="1" max="1" width="6" style="152" customWidth="1"/>
    <col min="2" max="2" width="6" style="152" bestFit="1" customWidth="1"/>
    <col min="3" max="6" width="8.7109375" style="152" customWidth="1"/>
    <col min="7" max="7" width="37.5703125" style="152" customWidth="1"/>
    <col min="8" max="16384" width="9.140625" style="152"/>
  </cols>
  <sheetData>
    <row r="1" spans="1:7" x14ac:dyDescent="0.2">
      <c r="A1" s="151" t="str">
        <f>UPPER((Kalend!E20)&amp;" - "&amp;(Kalend!C20)&amp;" - "&amp;(Kalend!D20))</f>
        <v>24H - VOKA 24 TUNNI TURNIIR - TRIO</v>
      </c>
      <c r="G1" s="792" t="str">
        <f>HYPERLINK("#Kalend!I1","Kalender")</f>
        <v>Kalender</v>
      </c>
    </row>
    <row r="2" spans="1:7" x14ac:dyDescent="0.2">
      <c r="A2" s="2" t="str">
        <f>"Toimumisaeg: "&amp;(Kalend!A20)&amp;" kell "&amp;(Kalend!B20)</f>
        <v>Toimumisaeg: R, 16.06.2017 kell 18:00</v>
      </c>
    </row>
    <row r="3" spans="1:7" x14ac:dyDescent="0.2">
      <c r="A3" s="2" t="str">
        <f>"Toimumiskoht: "&amp;(Kalend!F20)</f>
        <v>Toimumiskoht: Voka staadion</v>
      </c>
    </row>
    <row r="4" spans="1:7" x14ac:dyDescent="0.2">
      <c r="A4" s="2" t="str">
        <f>"Korraldaja: "&amp;(Kalend!G20)</f>
        <v>Korraldaja: Toila vald, Johannes Neiland</v>
      </c>
    </row>
    <row r="5" spans="1:7" x14ac:dyDescent="0.2">
      <c r="A5" s="2"/>
    </row>
    <row r="6" spans="1:7" x14ac:dyDescent="0.2">
      <c r="C6" s="802" t="s">
        <v>508</v>
      </c>
      <c r="E6" s="802" t="s">
        <v>509</v>
      </c>
    </row>
    <row r="7" spans="1:7" x14ac:dyDescent="0.2">
      <c r="C7" s="152" t="s">
        <v>164</v>
      </c>
      <c r="E7" s="152" t="s">
        <v>397</v>
      </c>
    </row>
    <row r="8" spans="1:7" x14ac:dyDescent="0.2">
      <c r="C8" s="152" t="s">
        <v>466</v>
      </c>
      <c r="E8" s="801" t="s">
        <v>353</v>
      </c>
    </row>
    <row r="9" spans="1:7" x14ac:dyDescent="0.2">
      <c r="C9" s="152" t="s">
        <v>351</v>
      </c>
      <c r="E9" s="152" t="s">
        <v>396</v>
      </c>
    </row>
    <row r="10" spans="1:7" x14ac:dyDescent="0.2">
      <c r="C10" s="152" t="s">
        <v>400</v>
      </c>
      <c r="E10" s="152" t="s">
        <v>313</v>
      </c>
    </row>
    <row r="11" spans="1:7" x14ac:dyDescent="0.2">
      <c r="C11" s="152" t="s">
        <v>348</v>
      </c>
      <c r="E11" s="152" t="s">
        <v>350</v>
      </c>
    </row>
    <row r="12" spans="1:7" x14ac:dyDescent="0.2">
      <c r="C12" s="152" t="s">
        <v>52</v>
      </c>
      <c r="E12" s="152" t="s">
        <v>458</v>
      </c>
    </row>
    <row r="13" spans="1:7" x14ac:dyDescent="0.2">
      <c r="C13" s="152" t="s">
        <v>445</v>
      </c>
      <c r="E13" s="152" t="s">
        <v>332</v>
      </c>
    </row>
    <row r="14" spans="1:7" x14ac:dyDescent="0.2">
      <c r="C14" s="152" t="s">
        <v>404</v>
      </c>
      <c r="E14" s="152" t="s">
        <v>183</v>
      </c>
    </row>
    <row r="15" spans="1:7" x14ac:dyDescent="0.2">
      <c r="C15" s="152" t="s">
        <v>158</v>
      </c>
      <c r="E15" s="152" t="s">
        <v>314</v>
      </c>
    </row>
    <row r="16" spans="1:7" x14ac:dyDescent="0.2">
      <c r="E16" s="152" t="s">
        <v>355</v>
      </c>
    </row>
    <row r="18" spans="1:6" x14ac:dyDescent="0.2">
      <c r="A18" s="782"/>
      <c r="B18" s="782"/>
      <c r="C18" s="1444" t="s">
        <v>462</v>
      </c>
      <c r="D18" s="1445"/>
      <c r="E18" s="1446" t="s">
        <v>464</v>
      </c>
      <c r="F18" s="1447"/>
    </row>
    <row r="19" spans="1:6" x14ac:dyDescent="0.2">
      <c r="A19" s="782" t="s">
        <v>460</v>
      </c>
      <c r="B19" s="782" t="s">
        <v>461</v>
      </c>
      <c r="C19" s="784" t="s">
        <v>463</v>
      </c>
      <c r="D19" s="784" t="s">
        <v>144</v>
      </c>
      <c r="E19" s="786" t="s">
        <v>463</v>
      </c>
      <c r="F19" s="786" t="s">
        <v>144</v>
      </c>
    </row>
    <row r="20" spans="1:6" x14ac:dyDescent="0.2">
      <c r="A20" s="782">
        <v>1</v>
      </c>
      <c r="B20" s="783">
        <v>0.75</v>
      </c>
      <c r="C20" s="785">
        <v>13</v>
      </c>
      <c r="D20" s="784">
        <v>13</v>
      </c>
      <c r="E20" s="787">
        <v>2</v>
      </c>
      <c r="F20" s="786">
        <v>2</v>
      </c>
    </row>
    <row r="21" spans="1:6" x14ac:dyDescent="0.2">
      <c r="A21" s="782">
        <v>2</v>
      </c>
      <c r="B21" s="783">
        <v>0.76250000000000007</v>
      </c>
      <c r="C21" s="785">
        <v>4</v>
      </c>
      <c r="D21" s="784">
        <f>D20+C21</f>
        <v>17</v>
      </c>
      <c r="E21" s="787">
        <v>13</v>
      </c>
      <c r="F21" s="786">
        <f>F20+E21</f>
        <v>15</v>
      </c>
    </row>
    <row r="22" spans="1:6" x14ac:dyDescent="0.2">
      <c r="A22" s="782">
        <v>3</v>
      </c>
      <c r="B22" s="783">
        <v>0.78472222222222221</v>
      </c>
      <c r="C22" s="785">
        <v>5</v>
      </c>
      <c r="D22" s="784">
        <f t="shared" ref="D22:D49" si="0">D21+C22</f>
        <v>22</v>
      </c>
      <c r="E22" s="787">
        <v>15</v>
      </c>
      <c r="F22" s="786">
        <f t="shared" ref="F22:F49" si="1">F21+E22</f>
        <v>30</v>
      </c>
    </row>
    <row r="23" spans="1:6" x14ac:dyDescent="0.2">
      <c r="A23" s="782">
        <v>4</v>
      </c>
      <c r="B23" s="783">
        <v>0.82013888888888886</v>
      </c>
      <c r="C23" s="785">
        <v>13</v>
      </c>
      <c r="D23" s="784">
        <f t="shared" si="0"/>
        <v>35</v>
      </c>
      <c r="E23" s="787">
        <v>6</v>
      </c>
      <c r="F23" s="786">
        <f t="shared" si="1"/>
        <v>36</v>
      </c>
    </row>
    <row r="24" spans="1:6" x14ac:dyDescent="0.2">
      <c r="A24" s="782">
        <v>5</v>
      </c>
      <c r="B24" s="783">
        <v>0.84791666666666676</v>
      </c>
      <c r="C24" s="785">
        <v>16</v>
      </c>
      <c r="D24" s="784">
        <f t="shared" si="0"/>
        <v>51</v>
      </c>
      <c r="E24" s="787">
        <v>5</v>
      </c>
      <c r="F24" s="786">
        <f t="shared" si="1"/>
        <v>41</v>
      </c>
    </row>
    <row r="25" spans="1:6" x14ac:dyDescent="0.2">
      <c r="A25" s="782">
        <v>6</v>
      </c>
      <c r="B25" s="783">
        <v>0.88402777777777775</v>
      </c>
      <c r="C25" s="785">
        <v>13</v>
      </c>
      <c r="D25" s="784">
        <f t="shared" si="0"/>
        <v>64</v>
      </c>
      <c r="E25" s="787">
        <v>12</v>
      </c>
      <c r="F25" s="786">
        <f t="shared" si="1"/>
        <v>53</v>
      </c>
    </row>
    <row r="26" spans="1:6" x14ac:dyDescent="0.2">
      <c r="A26" s="782">
        <v>7</v>
      </c>
      <c r="B26" s="783">
        <v>0.91249999999999998</v>
      </c>
      <c r="C26" s="785">
        <v>9</v>
      </c>
      <c r="D26" s="784">
        <f t="shared" si="0"/>
        <v>73</v>
      </c>
      <c r="E26" s="787">
        <v>14</v>
      </c>
      <c r="F26" s="786">
        <f t="shared" si="1"/>
        <v>67</v>
      </c>
    </row>
    <row r="27" spans="1:6" x14ac:dyDescent="0.2">
      <c r="A27" s="782">
        <v>8</v>
      </c>
      <c r="B27" s="783">
        <v>0.95833333333333337</v>
      </c>
      <c r="C27" s="785">
        <v>15</v>
      </c>
      <c r="D27" s="784">
        <f t="shared" si="0"/>
        <v>88</v>
      </c>
      <c r="E27" s="787">
        <v>10</v>
      </c>
      <c r="F27" s="786">
        <f t="shared" si="1"/>
        <v>77</v>
      </c>
    </row>
    <row r="28" spans="1:6" x14ac:dyDescent="0.2">
      <c r="A28" s="782">
        <v>9</v>
      </c>
      <c r="B28" s="783">
        <v>0.99791666666666667</v>
      </c>
      <c r="C28" s="785">
        <v>13</v>
      </c>
      <c r="D28" s="784">
        <f t="shared" si="0"/>
        <v>101</v>
      </c>
      <c r="E28" s="787">
        <v>4</v>
      </c>
      <c r="F28" s="786">
        <f t="shared" si="1"/>
        <v>81</v>
      </c>
    </row>
    <row r="29" spans="1:6" x14ac:dyDescent="0.2">
      <c r="A29" s="782">
        <v>10</v>
      </c>
      <c r="B29" s="783">
        <v>1.9444444444444445E-2</v>
      </c>
      <c r="C29" s="785">
        <v>3</v>
      </c>
      <c r="D29" s="784">
        <f t="shared" si="0"/>
        <v>104</v>
      </c>
      <c r="E29" s="787">
        <v>14</v>
      </c>
      <c r="F29" s="786">
        <f t="shared" si="1"/>
        <v>95</v>
      </c>
    </row>
    <row r="30" spans="1:6" x14ac:dyDescent="0.2">
      <c r="A30" s="782">
        <v>11</v>
      </c>
      <c r="B30" s="783">
        <v>4.3750000000000004E-2</v>
      </c>
      <c r="C30" s="785">
        <v>13</v>
      </c>
      <c r="D30" s="784">
        <f t="shared" si="0"/>
        <v>117</v>
      </c>
      <c r="E30" s="787">
        <v>10</v>
      </c>
      <c r="F30" s="786">
        <f t="shared" si="1"/>
        <v>105</v>
      </c>
    </row>
    <row r="31" spans="1:6" x14ac:dyDescent="0.2">
      <c r="A31" s="782">
        <v>12</v>
      </c>
      <c r="B31" s="783">
        <v>9.3055555555555558E-2</v>
      </c>
      <c r="C31" s="785">
        <v>14</v>
      </c>
      <c r="D31" s="784">
        <f t="shared" si="0"/>
        <v>131</v>
      </c>
      <c r="E31" s="787">
        <v>10</v>
      </c>
      <c r="F31" s="786">
        <f t="shared" si="1"/>
        <v>115</v>
      </c>
    </row>
    <row r="32" spans="1:6" x14ac:dyDescent="0.2">
      <c r="A32" s="782">
        <v>13</v>
      </c>
      <c r="B32" s="783">
        <v>0.14097222222222222</v>
      </c>
      <c r="C32" s="785">
        <v>15</v>
      </c>
      <c r="D32" s="784">
        <f t="shared" si="0"/>
        <v>146</v>
      </c>
      <c r="E32" s="787">
        <v>11</v>
      </c>
      <c r="F32" s="786">
        <f t="shared" si="1"/>
        <v>126</v>
      </c>
    </row>
    <row r="33" spans="1:6" x14ac:dyDescent="0.2">
      <c r="A33" s="782">
        <v>14</v>
      </c>
      <c r="B33" s="783">
        <v>0.16805555555555554</v>
      </c>
      <c r="C33" s="785">
        <v>15</v>
      </c>
      <c r="D33" s="784">
        <f t="shared" si="0"/>
        <v>161</v>
      </c>
      <c r="E33" s="787">
        <v>6</v>
      </c>
      <c r="F33" s="786">
        <f t="shared" si="1"/>
        <v>132</v>
      </c>
    </row>
    <row r="34" spans="1:6" x14ac:dyDescent="0.2">
      <c r="A34" s="782">
        <v>15</v>
      </c>
      <c r="B34" s="783">
        <v>0.21875</v>
      </c>
      <c r="C34" s="785">
        <v>11</v>
      </c>
      <c r="D34" s="784">
        <f t="shared" si="0"/>
        <v>172</v>
      </c>
      <c r="E34" s="787">
        <v>13</v>
      </c>
      <c r="F34" s="786">
        <f t="shared" si="1"/>
        <v>145</v>
      </c>
    </row>
    <row r="35" spans="1:6" x14ac:dyDescent="0.2">
      <c r="A35" s="782">
        <v>16</v>
      </c>
      <c r="B35" s="783">
        <v>0.26805555555555555</v>
      </c>
      <c r="C35" s="785">
        <v>14</v>
      </c>
      <c r="D35" s="784">
        <f t="shared" si="0"/>
        <v>186</v>
      </c>
      <c r="E35" s="787">
        <v>8</v>
      </c>
      <c r="F35" s="786">
        <f t="shared" si="1"/>
        <v>153</v>
      </c>
    </row>
    <row r="36" spans="1:6" x14ac:dyDescent="0.2">
      <c r="A36" s="782">
        <v>17</v>
      </c>
      <c r="B36" s="783">
        <v>0.30694444444444441</v>
      </c>
      <c r="C36" s="785">
        <v>14</v>
      </c>
      <c r="D36" s="784">
        <f t="shared" si="0"/>
        <v>200</v>
      </c>
      <c r="E36" s="787">
        <v>3</v>
      </c>
      <c r="F36" s="786">
        <f t="shared" si="1"/>
        <v>156</v>
      </c>
    </row>
    <row r="37" spans="1:6" x14ac:dyDescent="0.2">
      <c r="A37" s="782">
        <v>18</v>
      </c>
      <c r="B37" s="783">
        <v>0.34027777777777773</v>
      </c>
      <c r="C37" s="785">
        <v>13</v>
      </c>
      <c r="D37" s="784">
        <f t="shared" si="0"/>
        <v>213</v>
      </c>
      <c r="E37" s="787">
        <v>9</v>
      </c>
      <c r="F37" s="786">
        <f t="shared" si="1"/>
        <v>165</v>
      </c>
    </row>
    <row r="38" spans="1:6" x14ac:dyDescent="0.2">
      <c r="A38" s="782">
        <v>19</v>
      </c>
      <c r="B38" s="783">
        <v>0.37916666666666665</v>
      </c>
      <c r="C38" s="785">
        <v>9</v>
      </c>
      <c r="D38" s="784">
        <f t="shared" si="0"/>
        <v>222</v>
      </c>
      <c r="E38" s="787">
        <v>14</v>
      </c>
      <c r="F38" s="786">
        <f t="shared" si="1"/>
        <v>179</v>
      </c>
    </row>
    <row r="39" spans="1:6" x14ac:dyDescent="0.2">
      <c r="A39" s="782">
        <v>20</v>
      </c>
      <c r="B39" s="783">
        <v>0.41319444444444442</v>
      </c>
      <c r="C39" s="785">
        <v>13</v>
      </c>
      <c r="D39" s="784">
        <f t="shared" si="0"/>
        <v>235</v>
      </c>
      <c r="E39" s="787">
        <v>3</v>
      </c>
      <c r="F39" s="786">
        <f t="shared" si="1"/>
        <v>182</v>
      </c>
    </row>
    <row r="40" spans="1:6" x14ac:dyDescent="0.2">
      <c r="A40" s="782">
        <v>21</v>
      </c>
      <c r="B40" s="783">
        <v>0.43541666666666662</v>
      </c>
      <c r="C40" s="785">
        <v>13</v>
      </c>
      <c r="D40" s="784">
        <f t="shared" si="0"/>
        <v>248</v>
      </c>
      <c r="E40" s="787">
        <v>10</v>
      </c>
      <c r="F40" s="786">
        <f t="shared" si="1"/>
        <v>192</v>
      </c>
    </row>
    <row r="41" spans="1:6" x14ac:dyDescent="0.2">
      <c r="A41" s="782">
        <v>22</v>
      </c>
      <c r="B41" s="783">
        <v>0.47291666666666665</v>
      </c>
      <c r="C41" s="785">
        <v>17</v>
      </c>
      <c r="D41" s="784">
        <f t="shared" si="0"/>
        <v>265</v>
      </c>
      <c r="E41" s="787">
        <v>8</v>
      </c>
      <c r="F41" s="786">
        <f t="shared" si="1"/>
        <v>200</v>
      </c>
    </row>
    <row r="42" spans="1:6" x14ac:dyDescent="0.2">
      <c r="A42" s="782">
        <v>23</v>
      </c>
      <c r="B42" s="783">
        <v>0.49652777777777773</v>
      </c>
      <c r="C42" s="785">
        <v>11</v>
      </c>
      <c r="D42" s="784">
        <f t="shared" si="0"/>
        <v>276</v>
      </c>
      <c r="E42" s="787">
        <v>13</v>
      </c>
      <c r="F42" s="786">
        <f t="shared" si="1"/>
        <v>213</v>
      </c>
    </row>
    <row r="43" spans="1:6" x14ac:dyDescent="0.2">
      <c r="A43" s="782">
        <v>24</v>
      </c>
      <c r="B43" s="783">
        <v>0.53541666666666665</v>
      </c>
      <c r="C43" s="785">
        <v>13</v>
      </c>
      <c r="D43" s="784">
        <f t="shared" si="0"/>
        <v>289</v>
      </c>
      <c r="E43" s="787">
        <v>3</v>
      </c>
      <c r="F43" s="786">
        <f t="shared" si="1"/>
        <v>216</v>
      </c>
    </row>
    <row r="44" spans="1:6" x14ac:dyDescent="0.2">
      <c r="A44" s="782">
        <v>25</v>
      </c>
      <c r="B44" s="783">
        <v>0.56458333333333333</v>
      </c>
      <c r="C44" s="785">
        <v>15</v>
      </c>
      <c r="D44" s="784">
        <f t="shared" si="0"/>
        <v>304</v>
      </c>
      <c r="E44" s="787">
        <v>3</v>
      </c>
      <c r="F44" s="786">
        <f t="shared" si="1"/>
        <v>219</v>
      </c>
    </row>
    <row r="45" spans="1:6" x14ac:dyDescent="0.2">
      <c r="A45" s="782">
        <v>26</v>
      </c>
      <c r="B45" s="783">
        <v>0.58333333333333337</v>
      </c>
      <c r="C45" s="785">
        <v>13</v>
      </c>
      <c r="D45" s="784">
        <f t="shared" si="0"/>
        <v>317</v>
      </c>
      <c r="E45" s="787">
        <v>1</v>
      </c>
      <c r="F45" s="786">
        <f t="shared" si="1"/>
        <v>220</v>
      </c>
    </row>
    <row r="46" spans="1:6" x14ac:dyDescent="0.2">
      <c r="A46" s="782">
        <v>27</v>
      </c>
      <c r="B46" s="783">
        <v>0.60416666666666663</v>
      </c>
      <c r="C46" s="785">
        <v>14</v>
      </c>
      <c r="D46" s="784">
        <f t="shared" si="0"/>
        <v>331</v>
      </c>
      <c r="E46" s="787">
        <v>8</v>
      </c>
      <c r="F46" s="786">
        <f t="shared" si="1"/>
        <v>228</v>
      </c>
    </row>
    <row r="47" spans="1:6" x14ac:dyDescent="0.2">
      <c r="A47" s="782">
        <v>28</v>
      </c>
      <c r="B47" s="783">
        <v>0.64513888888888882</v>
      </c>
      <c r="C47" s="785">
        <v>15</v>
      </c>
      <c r="D47" s="784">
        <f t="shared" si="0"/>
        <v>346</v>
      </c>
      <c r="E47" s="787">
        <v>9</v>
      </c>
      <c r="F47" s="786">
        <f t="shared" si="1"/>
        <v>237</v>
      </c>
    </row>
    <row r="48" spans="1:6" x14ac:dyDescent="0.2">
      <c r="A48" s="782">
        <v>29</v>
      </c>
      <c r="B48" s="783">
        <v>0.69444444444444453</v>
      </c>
      <c r="C48" s="785">
        <v>8</v>
      </c>
      <c r="D48" s="784">
        <f t="shared" si="0"/>
        <v>354</v>
      </c>
      <c r="E48" s="787">
        <v>13</v>
      </c>
      <c r="F48" s="786">
        <f t="shared" si="1"/>
        <v>250</v>
      </c>
    </row>
    <row r="49" spans="1:7" x14ac:dyDescent="0.2">
      <c r="A49" s="782">
        <v>30</v>
      </c>
      <c r="B49" s="783">
        <v>0.71944444444444444</v>
      </c>
      <c r="C49" s="784">
        <v>10</v>
      </c>
      <c r="D49" s="784">
        <f t="shared" si="0"/>
        <v>364</v>
      </c>
      <c r="E49" s="787">
        <v>4</v>
      </c>
      <c r="F49" s="786">
        <f t="shared" si="1"/>
        <v>254</v>
      </c>
    </row>
    <row r="50" spans="1:7" x14ac:dyDescent="0.2">
      <c r="A50" s="202" t="s">
        <v>465</v>
      </c>
      <c r="B50" s="788">
        <v>0.75</v>
      </c>
      <c r="C50" s="805"/>
      <c r="D50" s="803">
        <v>364</v>
      </c>
      <c r="E50" s="806"/>
      <c r="F50" s="804">
        <v>254</v>
      </c>
    </row>
    <row r="51" spans="1:7" x14ac:dyDescent="0.2">
      <c r="B51" s="202" t="s">
        <v>502</v>
      </c>
      <c r="C51" s="803">
        <v>22</v>
      </c>
      <c r="D51" s="805"/>
      <c r="E51" s="804">
        <v>8</v>
      </c>
      <c r="F51" s="804"/>
    </row>
    <row r="52" spans="1:7" s="210" customFormat="1" x14ac:dyDescent="0.2">
      <c r="B52" s="807"/>
      <c r="C52" s="807"/>
      <c r="D52" s="209"/>
      <c r="E52" s="807"/>
      <c r="F52" s="807"/>
    </row>
    <row r="53" spans="1:7" x14ac:dyDescent="0.2">
      <c r="A53" s="202"/>
      <c r="B53" s="788"/>
      <c r="C53" s="201"/>
      <c r="D53" s="202"/>
      <c r="E53" s="201"/>
      <c r="F53" s="202"/>
    </row>
    <row r="54" spans="1:7" x14ac:dyDescent="0.2">
      <c r="A54" s="1" t="s">
        <v>504</v>
      </c>
      <c r="B54" s="788"/>
      <c r="C54" s="201"/>
      <c r="D54" s="202"/>
      <c r="E54" s="201"/>
      <c r="F54" s="202"/>
    </row>
    <row r="55" spans="1:7" x14ac:dyDescent="0.2">
      <c r="A55" s="2"/>
    </row>
    <row r="56" spans="1:7" x14ac:dyDescent="0.2">
      <c r="A56" s="790" t="s">
        <v>38</v>
      </c>
      <c r="B56" s="1448" t="s">
        <v>462</v>
      </c>
      <c r="C56" s="1449"/>
      <c r="D56" s="1449"/>
      <c r="E56" s="1449"/>
      <c r="F56" s="1450"/>
      <c r="G56" s="797" t="s">
        <v>464</v>
      </c>
    </row>
    <row r="57" spans="1:7" x14ac:dyDescent="0.2">
      <c r="A57" s="789">
        <v>0.75</v>
      </c>
      <c r="B57" s="793" t="s">
        <v>52</v>
      </c>
      <c r="C57" s="794"/>
      <c r="D57" s="794"/>
      <c r="E57" s="794"/>
      <c r="F57" s="795"/>
      <c r="G57" s="798" t="s">
        <v>350</v>
      </c>
    </row>
    <row r="58" spans="1:7" x14ac:dyDescent="0.2">
      <c r="A58" s="791"/>
      <c r="B58" s="793" t="s">
        <v>351</v>
      </c>
      <c r="C58" s="794"/>
      <c r="D58" s="794"/>
      <c r="E58" s="794"/>
      <c r="F58" s="795"/>
      <c r="G58" s="798" t="s">
        <v>313</v>
      </c>
    </row>
    <row r="59" spans="1:7" x14ac:dyDescent="0.2">
      <c r="A59" s="791"/>
      <c r="B59" s="793" t="s">
        <v>466</v>
      </c>
      <c r="C59" s="794"/>
      <c r="D59" s="794"/>
      <c r="E59" s="794"/>
      <c r="F59" s="795"/>
      <c r="G59" s="798" t="s">
        <v>314</v>
      </c>
    </row>
    <row r="60" spans="1:7" x14ac:dyDescent="0.2">
      <c r="A60" s="789">
        <v>0.75347222222222221</v>
      </c>
      <c r="B60" s="796" t="s">
        <v>467</v>
      </c>
      <c r="C60" s="794"/>
      <c r="D60" s="794"/>
      <c r="E60" s="794"/>
      <c r="F60" s="795"/>
      <c r="G60" s="799"/>
    </row>
    <row r="61" spans="1:7" x14ac:dyDescent="0.2">
      <c r="A61" s="789">
        <v>0.7597222222222223</v>
      </c>
      <c r="B61" s="796"/>
      <c r="C61" s="794"/>
      <c r="D61" s="794"/>
      <c r="E61" s="794"/>
      <c r="F61" s="795"/>
      <c r="G61" s="798" t="s">
        <v>468</v>
      </c>
    </row>
    <row r="62" spans="1:7" x14ac:dyDescent="0.2">
      <c r="A62" s="789">
        <v>0.78472222222222221</v>
      </c>
      <c r="B62" s="796"/>
      <c r="C62" s="794"/>
      <c r="D62" s="794"/>
      <c r="E62" s="794"/>
      <c r="F62" s="795"/>
      <c r="G62" s="798" t="s">
        <v>469</v>
      </c>
    </row>
    <row r="63" spans="1:7" x14ac:dyDescent="0.2">
      <c r="A63" s="789">
        <v>0.84791666666666676</v>
      </c>
      <c r="B63" s="796"/>
      <c r="C63" s="794"/>
      <c r="D63" s="794"/>
      <c r="E63" s="794"/>
      <c r="F63" s="795"/>
      <c r="G63" s="798" t="s">
        <v>468</v>
      </c>
    </row>
    <row r="64" spans="1:7" x14ac:dyDescent="0.2">
      <c r="A64" s="789">
        <v>0.85972222222222217</v>
      </c>
      <c r="B64" s="796" t="s">
        <v>470</v>
      </c>
      <c r="C64" s="794"/>
      <c r="D64" s="794"/>
      <c r="E64" s="794"/>
      <c r="F64" s="795"/>
      <c r="G64" s="799"/>
    </row>
    <row r="65" spans="1:7" x14ac:dyDescent="0.2">
      <c r="A65" s="789">
        <v>0.90347222222222223</v>
      </c>
      <c r="B65" s="796" t="s">
        <v>471</v>
      </c>
      <c r="C65" s="794"/>
      <c r="D65" s="794"/>
      <c r="E65" s="794"/>
      <c r="F65" s="795"/>
      <c r="G65" s="799"/>
    </row>
    <row r="66" spans="1:7" x14ac:dyDescent="0.2">
      <c r="A66" s="789">
        <v>0.90555555555555556</v>
      </c>
      <c r="B66" s="796"/>
      <c r="C66" s="794"/>
      <c r="D66" s="794"/>
      <c r="E66" s="794"/>
      <c r="F66" s="795"/>
      <c r="G66" s="799" t="s">
        <v>472</v>
      </c>
    </row>
    <row r="67" spans="1:7" x14ac:dyDescent="0.2">
      <c r="A67" s="789">
        <v>0.95486111111111116</v>
      </c>
      <c r="B67" s="796" t="s">
        <v>473</v>
      </c>
      <c r="C67" s="794"/>
      <c r="D67" s="794"/>
      <c r="E67" s="794"/>
      <c r="F67" s="795"/>
      <c r="G67" s="799"/>
    </row>
    <row r="68" spans="1:7" x14ac:dyDescent="0.2">
      <c r="A68" s="789">
        <v>0.97083333333333333</v>
      </c>
      <c r="B68" s="796"/>
      <c r="C68" s="794"/>
      <c r="D68" s="794"/>
      <c r="E68" s="794"/>
      <c r="F68" s="795"/>
      <c r="G68" s="799" t="s">
        <v>458</v>
      </c>
    </row>
    <row r="69" spans="1:7" x14ac:dyDescent="0.2">
      <c r="A69" s="789">
        <v>0.97777777777777775</v>
      </c>
      <c r="B69" s="796" t="s">
        <v>474</v>
      </c>
      <c r="C69" s="794"/>
      <c r="D69" s="794"/>
      <c r="E69" s="794"/>
      <c r="F69" s="795"/>
      <c r="G69" s="799"/>
    </row>
    <row r="70" spans="1:7" x14ac:dyDescent="0.2">
      <c r="A70" s="789">
        <v>0.99652777777777779</v>
      </c>
      <c r="B70" s="796" t="s">
        <v>475</v>
      </c>
      <c r="C70" s="794"/>
      <c r="D70" s="794"/>
      <c r="E70" s="794"/>
      <c r="F70" s="795"/>
      <c r="G70" s="799"/>
    </row>
    <row r="71" spans="1:7" x14ac:dyDescent="0.2">
      <c r="A71" s="789">
        <v>1.8749999999999999E-2</v>
      </c>
      <c r="B71" s="796" t="s">
        <v>476</v>
      </c>
      <c r="C71" s="794"/>
      <c r="D71" s="794"/>
      <c r="E71" s="794"/>
      <c r="F71" s="795"/>
      <c r="G71" s="799"/>
    </row>
    <row r="72" spans="1:7" x14ac:dyDescent="0.2">
      <c r="A72" s="789">
        <v>2.2916666666666669E-2</v>
      </c>
      <c r="B72" s="796" t="s">
        <v>477</v>
      </c>
      <c r="C72" s="794"/>
      <c r="D72" s="794"/>
      <c r="E72" s="794"/>
      <c r="F72" s="795"/>
      <c r="G72" s="799"/>
    </row>
    <row r="73" spans="1:7" x14ac:dyDescent="0.2">
      <c r="A73" s="789">
        <v>4.4444444444444446E-2</v>
      </c>
      <c r="B73" s="796" t="s">
        <v>478</v>
      </c>
      <c r="C73" s="794"/>
      <c r="D73" s="794"/>
      <c r="E73" s="794"/>
      <c r="F73" s="795"/>
      <c r="G73" s="799"/>
    </row>
    <row r="74" spans="1:7" x14ac:dyDescent="0.2">
      <c r="A74" s="789">
        <v>9.3055555555555558E-2</v>
      </c>
      <c r="B74" s="796" t="s">
        <v>479</v>
      </c>
      <c r="C74" s="794"/>
      <c r="D74" s="794"/>
      <c r="E74" s="794"/>
      <c r="F74" s="795"/>
      <c r="G74" s="799"/>
    </row>
    <row r="75" spans="1:7" x14ac:dyDescent="0.2">
      <c r="A75" s="789">
        <v>0.12708333333333333</v>
      </c>
      <c r="B75" s="796"/>
      <c r="C75" s="794"/>
      <c r="D75" s="794"/>
      <c r="E75" s="794"/>
      <c r="F75" s="795"/>
      <c r="G75" s="799" t="s">
        <v>480</v>
      </c>
    </row>
    <row r="76" spans="1:7" x14ac:dyDescent="0.2">
      <c r="A76" s="789">
        <v>0.13749999999999998</v>
      </c>
      <c r="B76" s="796"/>
      <c r="C76" s="794"/>
      <c r="D76" s="794"/>
      <c r="E76" s="794"/>
      <c r="F76" s="795"/>
      <c r="G76" s="799" t="s">
        <v>481</v>
      </c>
    </row>
    <row r="77" spans="1:7" x14ac:dyDescent="0.2">
      <c r="A77" s="789">
        <v>0.15625</v>
      </c>
      <c r="B77" s="796" t="s">
        <v>478</v>
      </c>
      <c r="C77" s="794"/>
      <c r="D77" s="794"/>
      <c r="E77" s="794"/>
      <c r="F77" s="795"/>
      <c r="G77" s="799"/>
    </row>
    <row r="78" spans="1:7" x14ac:dyDescent="0.2">
      <c r="A78" s="789">
        <v>0.18333333333333335</v>
      </c>
      <c r="B78" s="796"/>
      <c r="C78" s="794"/>
      <c r="D78" s="794"/>
      <c r="E78" s="794"/>
      <c r="F78" s="795"/>
      <c r="G78" s="799" t="s">
        <v>482</v>
      </c>
    </row>
    <row r="79" spans="1:7" x14ac:dyDescent="0.2">
      <c r="A79" s="789">
        <v>0.19375000000000001</v>
      </c>
      <c r="B79" s="796" t="s">
        <v>483</v>
      </c>
      <c r="C79" s="794"/>
      <c r="D79" s="794"/>
      <c r="E79" s="794"/>
      <c r="F79" s="795"/>
      <c r="G79" s="799"/>
    </row>
    <row r="80" spans="1:7" x14ac:dyDescent="0.2">
      <c r="A80" s="789">
        <v>0.19444444444444445</v>
      </c>
      <c r="B80" s="796"/>
      <c r="C80" s="794"/>
      <c r="D80" s="794"/>
      <c r="E80" s="794"/>
      <c r="F80" s="795"/>
      <c r="G80" s="799" t="s">
        <v>484</v>
      </c>
    </row>
    <row r="81" spans="1:7" x14ac:dyDescent="0.2">
      <c r="A81" s="789">
        <v>0.20138888888888887</v>
      </c>
      <c r="B81" s="796"/>
      <c r="C81" s="794"/>
      <c r="D81" s="794"/>
      <c r="E81" s="794"/>
      <c r="F81" s="795"/>
      <c r="G81" s="799" t="s">
        <v>485</v>
      </c>
    </row>
    <row r="82" spans="1:7" x14ac:dyDescent="0.2">
      <c r="A82" s="789">
        <v>0.20972222222222223</v>
      </c>
      <c r="B82" s="796"/>
      <c r="C82" s="794"/>
      <c r="D82" s="794"/>
      <c r="E82" s="794"/>
      <c r="F82" s="795"/>
      <c r="G82" s="799" t="s">
        <v>486</v>
      </c>
    </row>
    <row r="83" spans="1:7" x14ac:dyDescent="0.2">
      <c r="A83" s="789">
        <v>0.22013888888888888</v>
      </c>
      <c r="B83" s="796"/>
      <c r="C83" s="794"/>
      <c r="D83" s="794"/>
      <c r="E83" s="794"/>
      <c r="F83" s="795"/>
      <c r="G83" s="799" t="s">
        <v>487</v>
      </c>
    </row>
    <row r="84" spans="1:7" x14ac:dyDescent="0.2">
      <c r="A84" s="789">
        <v>0.26805555555555555</v>
      </c>
      <c r="B84" s="796" t="s">
        <v>479</v>
      </c>
      <c r="C84" s="794"/>
      <c r="D84" s="794"/>
      <c r="E84" s="794"/>
      <c r="F84" s="795"/>
      <c r="G84" s="799"/>
    </row>
    <row r="85" spans="1:7" x14ac:dyDescent="0.2">
      <c r="A85" s="789">
        <v>0.29166666666666669</v>
      </c>
      <c r="B85" s="796" t="s">
        <v>488</v>
      </c>
      <c r="C85" s="794"/>
      <c r="D85" s="794"/>
      <c r="E85" s="794"/>
      <c r="F85" s="795"/>
      <c r="G85" s="799"/>
    </row>
    <row r="86" spans="1:7" x14ac:dyDescent="0.2">
      <c r="A86" s="789">
        <v>0.32222222222222224</v>
      </c>
      <c r="B86" s="796" t="s">
        <v>477</v>
      </c>
      <c r="C86" s="794"/>
      <c r="D86" s="794"/>
      <c r="E86" s="794"/>
      <c r="F86" s="795"/>
      <c r="G86" s="799"/>
    </row>
    <row r="87" spans="1:7" x14ac:dyDescent="0.2">
      <c r="A87" s="789">
        <v>0.34027777777777773</v>
      </c>
      <c r="B87" s="796"/>
      <c r="C87" s="794"/>
      <c r="D87" s="794"/>
      <c r="E87" s="794"/>
      <c r="F87" s="795"/>
      <c r="G87" s="799" t="s">
        <v>489</v>
      </c>
    </row>
    <row r="88" spans="1:7" x14ac:dyDescent="0.2">
      <c r="A88" s="789">
        <v>0.34375</v>
      </c>
      <c r="B88" s="796"/>
      <c r="C88" s="794"/>
      <c r="D88" s="794"/>
      <c r="E88" s="794"/>
      <c r="F88" s="795"/>
      <c r="G88" s="799" t="s">
        <v>469</v>
      </c>
    </row>
    <row r="89" spans="1:7" x14ac:dyDescent="0.2">
      <c r="A89" s="789">
        <v>0.37916666666666665</v>
      </c>
      <c r="B89" s="796" t="s">
        <v>490</v>
      </c>
      <c r="C89" s="794"/>
      <c r="D89" s="794"/>
      <c r="E89" s="794"/>
      <c r="F89" s="795"/>
      <c r="G89" s="799"/>
    </row>
    <row r="90" spans="1:7" x14ac:dyDescent="0.2">
      <c r="A90" s="789">
        <v>0.37916666666666665</v>
      </c>
      <c r="B90" s="796" t="s">
        <v>491</v>
      </c>
      <c r="C90" s="794"/>
      <c r="D90" s="794"/>
      <c r="E90" s="794"/>
      <c r="F90" s="795"/>
      <c r="G90" s="799"/>
    </row>
    <row r="91" spans="1:7" x14ac:dyDescent="0.2">
      <c r="A91" s="789">
        <v>0.41319444444444442</v>
      </c>
      <c r="B91" s="796" t="s">
        <v>492</v>
      </c>
      <c r="C91" s="794"/>
      <c r="D91" s="794"/>
      <c r="E91" s="794"/>
      <c r="F91" s="795"/>
      <c r="G91" s="799"/>
    </row>
    <row r="92" spans="1:7" x14ac:dyDescent="0.2">
      <c r="A92" s="789">
        <v>0.4201388888888889</v>
      </c>
      <c r="B92" s="796" t="s">
        <v>493</v>
      </c>
      <c r="C92" s="794"/>
      <c r="D92" s="794"/>
      <c r="E92" s="794"/>
      <c r="F92" s="795"/>
      <c r="G92" s="799"/>
    </row>
    <row r="93" spans="1:7" x14ac:dyDescent="0.2">
      <c r="A93" s="789">
        <v>0.43055555555555558</v>
      </c>
      <c r="B93" s="796" t="s">
        <v>494</v>
      </c>
      <c r="C93" s="794"/>
      <c r="D93" s="794"/>
      <c r="E93" s="794"/>
      <c r="F93" s="795"/>
      <c r="G93" s="799"/>
    </row>
    <row r="94" spans="1:7" x14ac:dyDescent="0.2">
      <c r="A94" s="789">
        <v>0.43402777777777773</v>
      </c>
      <c r="B94" s="796" t="s">
        <v>495</v>
      </c>
      <c r="C94" s="794"/>
      <c r="D94" s="794"/>
      <c r="E94" s="794"/>
      <c r="F94" s="795"/>
      <c r="G94" s="799"/>
    </row>
    <row r="95" spans="1:7" x14ac:dyDescent="0.2">
      <c r="A95" s="789">
        <v>0.47222222222222227</v>
      </c>
      <c r="B95" s="796"/>
      <c r="C95" s="794"/>
      <c r="D95" s="794"/>
      <c r="E95" s="794"/>
      <c r="F95" s="795"/>
      <c r="G95" s="799" t="s">
        <v>496</v>
      </c>
    </row>
    <row r="96" spans="1:7" x14ac:dyDescent="0.2">
      <c r="A96" s="789">
        <v>0.47569444444444442</v>
      </c>
      <c r="B96" s="796"/>
      <c r="C96" s="794"/>
      <c r="D96" s="794"/>
      <c r="E96" s="794"/>
      <c r="F96" s="795"/>
      <c r="G96" s="799" t="s">
        <v>497</v>
      </c>
    </row>
    <row r="97" spans="1:7" x14ac:dyDescent="0.2">
      <c r="A97" s="791"/>
      <c r="B97" s="796" t="s">
        <v>494</v>
      </c>
      <c r="C97" s="794"/>
      <c r="D97" s="794"/>
      <c r="E97" s="794"/>
      <c r="F97" s="795"/>
      <c r="G97" s="799"/>
    </row>
    <row r="98" spans="1:7" x14ac:dyDescent="0.2">
      <c r="A98" s="789">
        <v>0.5083333333333333</v>
      </c>
      <c r="B98" s="796" t="s">
        <v>498</v>
      </c>
      <c r="C98" s="794"/>
      <c r="D98" s="794"/>
      <c r="E98" s="794"/>
      <c r="F98" s="795"/>
      <c r="G98" s="799"/>
    </row>
    <row r="99" spans="1:7" x14ac:dyDescent="0.2">
      <c r="A99" s="789">
        <v>0.55555555555555558</v>
      </c>
      <c r="B99" s="796" t="s">
        <v>499</v>
      </c>
      <c r="C99" s="794"/>
      <c r="D99" s="794"/>
      <c r="E99" s="794"/>
      <c r="F99" s="795"/>
      <c r="G99" s="799"/>
    </row>
    <row r="100" spans="1:7" x14ac:dyDescent="0.2">
      <c r="A100" s="789">
        <v>0.71250000000000002</v>
      </c>
      <c r="B100" s="796" t="s">
        <v>500</v>
      </c>
      <c r="C100" s="794"/>
      <c r="D100" s="794"/>
      <c r="E100" s="794"/>
      <c r="F100" s="795"/>
      <c r="G100" s="799"/>
    </row>
    <row r="102" spans="1:7" x14ac:dyDescent="0.2">
      <c r="B102" s="801" t="s">
        <v>503</v>
      </c>
    </row>
    <row r="103" spans="1:7" x14ac:dyDescent="0.2">
      <c r="B103" s="801" t="s">
        <v>514</v>
      </c>
    </row>
  </sheetData>
  <mergeCells count="3">
    <mergeCell ref="C18:D18"/>
    <mergeCell ref="E18:F18"/>
    <mergeCell ref="B56:F56"/>
  </mergeCells>
  <conditionalFormatting sqref="C20:C49 E20:E49">
    <cfRule type="cellIs" dxfId="776" priority="1" operator="greaterThan">
      <formula>12</formula>
    </cfRule>
  </conditionalFormatting>
  <pageMargins left="0.78740157480314965" right="0.39370078740157483" top="0.78740157480314965" bottom="0.39370078740157483" header="0.59055118110236227" footer="0"/>
  <pageSetup paperSize="9" fitToHeight="0" orientation="portrait" r:id="rId1"/>
  <headerFooter>
    <oddHeader>&amp;R&amp;9Page &amp;P of &amp;N</oddHeader>
  </headerFooter>
  <rowBreaks count="1" manualBreakCount="1">
    <brk id="5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showGridLines="0" showRowColHeaders="0" zoomScaleNormal="100" workbookViewId="0">
      <pane ySplit="6" topLeftCell="A7" activePane="bottomLeft" state="frozen"/>
      <selection pane="bottomLeft" activeCell="S1" sqref="S1"/>
    </sheetView>
  </sheetViews>
  <sheetFormatPr defaultRowHeight="12.75" x14ac:dyDescent="0.2"/>
  <cols>
    <col min="1" max="1" width="3.28515625" style="152" customWidth="1"/>
    <col min="2" max="2" width="18.7109375" style="152" bestFit="1" customWidth="1"/>
    <col min="3" max="18" width="3.42578125" style="152" customWidth="1"/>
    <col min="19" max="19" width="6.5703125" style="249" bestFit="1" customWidth="1"/>
    <col min="20" max="20" width="5.140625" style="152" bestFit="1" customWidth="1"/>
    <col min="21" max="21" width="5.28515625" style="152" bestFit="1" customWidth="1"/>
    <col min="22" max="22" width="5.140625" style="152" bestFit="1" customWidth="1"/>
    <col min="23" max="16384" width="9.140625" style="152"/>
  </cols>
  <sheetData>
    <row r="1" spans="1:22" x14ac:dyDescent="0.2">
      <c r="A1" s="151" t="str">
        <f>UPPER((Kalend!E20)&amp;" - "&amp;(Kalend!C20)&amp;" - "&amp;"PLIKS-PLAKS 1")</f>
        <v>24H - VOKA 24 TUNNI TURNIIR - PLIKS-PLAKS 1</v>
      </c>
      <c r="L1" s="113" t="str">
        <f>HYPERLINK("#Kalend!I1","Kalender")</f>
        <v>Kalender</v>
      </c>
      <c r="M1" s="2"/>
      <c r="O1" s="113" t="str">
        <f>HYPERLINK("#Reit!G1","Reiting")</f>
        <v>Reiting</v>
      </c>
      <c r="U1" s="249" t="s">
        <v>140</v>
      </c>
    </row>
    <row r="2" spans="1:22" x14ac:dyDescent="0.2">
      <c r="A2" s="2" t="str">
        <f>"Toimumisaeg: "&amp;(Kalend!A20)&amp;" kell 18:30"</f>
        <v>Toimumisaeg: R, 16.06.2017 kell 18:30</v>
      </c>
      <c r="S2" s="152"/>
      <c r="U2" s="249" t="s">
        <v>141</v>
      </c>
    </row>
    <row r="3" spans="1:22" x14ac:dyDescent="0.2">
      <c r="A3" s="2" t="str">
        <f>"Toimumiskoht: "&amp;(Kalend!F20)</f>
        <v>Toimumiskoht: Voka staadion</v>
      </c>
      <c r="S3" s="152"/>
      <c r="U3" s="249" t="s">
        <v>142</v>
      </c>
    </row>
    <row r="4" spans="1:22" x14ac:dyDescent="0.2">
      <c r="A4" s="2" t="str">
        <f>"Korraldaja: "&amp;(Kalend!G20)</f>
        <v>Korraldaja: Toila vald, Johannes Neiland</v>
      </c>
      <c r="S4" s="355"/>
    </row>
    <row r="5" spans="1:22" x14ac:dyDescent="0.2">
      <c r="S5" s="356"/>
    </row>
    <row r="6" spans="1:22" s="249" customFormat="1" x14ac:dyDescent="0.2">
      <c r="A6" s="357" t="s">
        <v>197</v>
      </c>
      <c r="B6" s="306" t="s">
        <v>84</v>
      </c>
      <c r="C6" s="306" t="s">
        <v>197</v>
      </c>
      <c r="D6" s="306">
        <v>1</v>
      </c>
      <c r="E6" s="306">
        <v>2</v>
      </c>
      <c r="F6" s="306">
        <v>3</v>
      </c>
      <c r="G6" s="306">
        <v>4</v>
      </c>
      <c r="H6" s="306">
        <v>5</v>
      </c>
      <c r="I6" s="306">
        <v>6</v>
      </c>
      <c r="J6" s="306">
        <v>7</v>
      </c>
      <c r="K6" s="306">
        <v>8</v>
      </c>
      <c r="L6" s="306">
        <v>9</v>
      </c>
      <c r="M6" s="306">
        <v>10</v>
      </c>
      <c r="N6" s="306">
        <v>11</v>
      </c>
      <c r="O6" s="306">
        <v>12</v>
      </c>
      <c r="P6" s="306">
        <v>13</v>
      </c>
      <c r="Q6" s="306">
        <v>14</v>
      </c>
      <c r="R6" s="306" t="s">
        <v>197</v>
      </c>
      <c r="S6" s="306" t="s">
        <v>144</v>
      </c>
      <c r="T6" s="306" t="s">
        <v>145</v>
      </c>
      <c r="U6" s="249" t="s">
        <v>77</v>
      </c>
      <c r="V6" s="249" t="s">
        <v>146</v>
      </c>
    </row>
    <row r="7" spans="1:22" s="249" customFormat="1" x14ac:dyDescent="0.2">
      <c r="A7" s="359">
        <v>1</v>
      </c>
      <c r="B7" s="252" t="s">
        <v>354</v>
      </c>
      <c r="C7" s="306">
        <v>1</v>
      </c>
      <c r="D7" s="253"/>
      <c r="E7" s="254">
        <v>0</v>
      </c>
      <c r="F7" s="250">
        <v>0</v>
      </c>
      <c r="G7" s="250">
        <v>1</v>
      </c>
      <c r="H7" s="250">
        <v>1</v>
      </c>
      <c r="I7" s="250">
        <v>0</v>
      </c>
      <c r="J7" s="250">
        <v>1</v>
      </c>
      <c r="K7" s="250">
        <v>0</v>
      </c>
      <c r="L7" s="250">
        <v>1</v>
      </c>
      <c r="M7" s="250">
        <v>1</v>
      </c>
      <c r="N7" s="250">
        <v>2</v>
      </c>
      <c r="O7" s="250">
        <v>1</v>
      </c>
      <c r="P7" s="250">
        <v>1</v>
      </c>
      <c r="Q7" s="250">
        <v>0</v>
      </c>
      <c r="R7" s="306">
        <v>1</v>
      </c>
      <c r="S7" s="132">
        <f t="shared" ref="S7:S20" si="0">SUM(D7:Q7)+COUNTIF(D7:Q7,2)/100</f>
        <v>9.01</v>
      </c>
      <c r="T7" s="781">
        <f t="shared" ref="T7:T20" si="1">RANK(S7,S$7:S$20,0)</f>
        <v>12</v>
      </c>
      <c r="U7" s="360">
        <f t="shared" ref="U7:U20" si="2">COUNTIF(D7:Q7,"=2")</f>
        <v>1</v>
      </c>
      <c r="V7" s="361">
        <f t="shared" ref="V7:V20" si="3">COUNTIF(D7:Q7,"=1")</f>
        <v>7</v>
      </c>
    </row>
    <row r="8" spans="1:22" s="249" customFormat="1" x14ac:dyDescent="0.2">
      <c r="A8" s="359">
        <v>2</v>
      </c>
      <c r="B8" s="252" t="s">
        <v>351</v>
      </c>
      <c r="C8" s="306">
        <v>2</v>
      </c>
      <c r="D8" s="254">
        <v>2</v>
      </c>
      <c r="E8" s="253"/>
      <c r="F8" s="250">
        <v>0</v>
      </c>
      <c r="G8" s="250">
        <v>1</v>
      </c>
      <c r="H8" s="250">
        <v>1</v>
      </c>
      <c r="I8" s="250">
        <v>1</v>
      </c>
      <c r="J8" s="250">
        <v>0</v>
      </c>
      <c r="K8" s="250">
        <v>0</v>
      </c>
      <c r="L8" s="250">
        <v>1</v>
      </c>
      <c r="M8" s="250">
        <v>0</v>
      </c>
      <c r="N8" s="250">
        <v>0</v>
      </c>
      <c r="O8" s="250">
        <v>0</v>
      </c>
      <c r="P8" s="250">
        <v>0</v>
      </c>
      <c r="Q8" s="250">
        <v>2</v>
      </c>
      <c r="R8" s="306">
        <v>2</v>
      </c>
      <c r="S8" s="132">
        <f t="shared" si="0"/>
        <v>8.02</v>
      </c>
      <c r="T8" s="781">
        <f t="shared" si="1"/>
        <v>14</v>
      </c>
      <c r="U8" s="360">
        <f t="shared" si="2"/>
        <v>2</v>
      </c>
      <c r="V8" s="361">
        <f t="shared" si="3"/>
        <v>4</v>
      </c>
    </row>
    <row r="9" spans="1:22" s="249" customFormat="1" x14ac:dyDescent="0.2">
      <c r="A9" s="359">
        <v>3</v>
      </c>
      <c r="B9" s="653" t="s">
        <v>397</v>
      </c>
      <c r="C9" s="306">
        <v>3</v>
      </c>
      <c r="D9" s="254">
        <v>2</v>
      </c>
      <c r="E9" s="250">
        <v>2</v>
      </c>
      <c r="F9" s="253"/>
      <c r="G9" s="250">
        <v>0</v>
      </c>
      <c r="H9" s="250">
        <v>2</v>
      </c>
      <c r="I9" s="250">
        <v>0</v>
      </c>
      <c r="J9" s="250">
        <v>2</v>
      </c>
      <c r="K9" s="250">
        <v>2</v>
      </c>
      <c r="L9" s="250">
        <v>2</v>
      </c>
      <c r="M9" s="250">
        <v>2</v>
      </c>
      <c r="N9" s="250">
        <v>0</v>
      </c>
      <c r="O9" s="250">
        <v>2</v>
      </c>
      <c r="P9" s="250">
        <v>0</v>
      </c>
      <c r="Q9" s="250">
        <v>0</v>
      </c>
      <c r="R9" s="306">
        <v>3</v>
      </c>
      <c r="S9" s="132">
        <f t="shared" si="0"/>
        <v>16.079999999999998</v>
      </c>
      <c r="T9" s="781">
        <f t="shared" si="1"/>
        <v>4</v>
      </c>
      <c r="U9" s="360">
        <f t="shared" si="2"/>
        <v>8</v>
      </c>
      <c r="V9" s="361">
        <f t="shared" si="3"/>
        <v>0</v>
      </c>
    </row>
    <row r="10" spans="1:22" s="249" customFormat="1" x14ac:dyDescent="0.2">
      <c r="A10" s="359">
        <v>4</v>
      </c>
      <c r="B10" s="252" t="s">
        <v>348</v>
      </c>
      <c r="C10" s="306">
        <v>4</v>
      </c>
      <c r="D10" s="254">
        <v>1</v>
      </c>
      <c r="E10" s="250">
        <v>1</v>
      </c>
      <c r="F10" s="250">
        <v>2</v>
      </c>
      <c r="G10" s="253"/>
      <c r="H10" s="250">
        <v>0</v>
      </c>
      <c r="I10" s="250">
        <v>0</v>
      </c>
      <c r="J10" s="250">
        <v>0</v>
      </c>
      <c r="K10" s="250">
        <v>2</v>
      </c>
      <c r="L10" s="250">
        <v>2</v>
      </c>
      <c r="M10" s="250">
        <v>1</v>
      </c>
      <c r="N10" s="250">
        <v>2</v>
      </c>
      <c r="O10" s="250">
        <v>1</v>
      </c>
      <c r="P10" s="250">
        <v>0</v>
      </c>
      <c r="Q10" s="250">
        <v>2</v>
      </c>
      <c r="R10" s="306">
        <v>4</v>
      </c>
      <c r="S10" s="132">
        <f t="shared" si="0"/>
        <v>14.05</v>
      </c>
      <c r="T10" s="781">
        <f t="shared" si="1"/>
        <v>7</v>
      </c>
      <c r="U10" s="360">
        <f t="shared" si="2"/>
        <v>5</v>
      </c>
      <c r="V10" s="361">
        <f t="shared" si="3"/>
        <v>4</v>
      </c>
    </row>
    <row r="11" spans="1:22" s="249" customFormat="1" x14ac:dyDescent="0.2">
      <c r="A11" s="359">
        <v>5</v>
      </c>
      <c r="B11" s="252" t="s">
        <v>458</v>
      </c>
      <c r="C11" s="306">
        <v>5</v>
      </c>
      <c r="D11" s="254">
        <v>1</v>
      </c>
      <c r="E11" s="250">
        <v>1</v>
      </c>
      <c r="F11" s="250">
        <v>0</v>
      </c>
      <c r="G11" s="250">
        <v>2</v>
      </c>
      <c r="H11" s="253"/>
      <c r="I11" s="254">
        <v>0</v>
      </c>
      <c r="J11" s="250">
        <v>2</v>
      </c>
      <c r="K11" s="250">
        <v>0</v>
      </c>
      <c r="L11" s="250">
        <v>1</v>
      </c>
      <c r="M11" s="250">
        <v>0</v>
      </c>
      <c r="N11" s="250">
        <v>1</v>
      </c>
      <c r="O11" s="250">
        <v>2</v>
      </c>
      <c r="P11" s="250">
        <v>1</v>
      </c>
      <c r="Q11" s="250">
        <v>2</v>
      </c>
      <c r="R11" s="306">
        <v>5</v>
      </c>
      <c r="S11" s="132">
        <f t="shared" si="0"/>
        <v>13.04</v>
      </c>
      <c r="T11" s="781">
        <f t="shared" si="1"/>
        <v>8</v>
      </c>
      <c r="U11" s="360">
        <f t="shared" si="2"/>
        <v>4</v>
      </c>
      <c r="V11" s="361">
        <f t="shared" si="3"/>
        <v>5</v>
      </c>
    </row>
    <row r="12" spans="1:22" s="249" customFormat="1" x14ac:dyDescent="0.2">
      <c r="A12" s="359">
        <v>6</v>
      </c>
      <c r="B12" s="252" t="s">
        <v>400</v>
      </c>
      <c r="C12" s="306">
        <v>6</v>
      </c>
      <c r="D12" s="254">
        <v>2</v>
      </c>
      <c r="E12" s="250">
        <v>1</v>
      </c>
      <c r="F12" s="250">
        <v>2</v>
      </c>
      <c r="G12" s="250">
        <v>2</v>
      </c>
      <c r="H12" s="250">
        <v>2</v>
      </c>
      <c r="I12" s="253"/>
      <c r="J12" s="250">
        <v>1</v>
      </c>
      <c r="K12" s="250">
        <v>0</v>
      </c>
      <c r="L12" s="250">
        <v>2</v>
      </c>
      <c r="M12" s="250">
        <v>1</v>
      </c>
      <c r="N12" s="250">
        <v>2</v>
      </c>
      <c r="O12" s="250">
        <v>1</v>
      </c>
      <c r="P12" s="250">
        <v>2</v>
      </c>
      <c r="Q12" s="250">
        <v>0</v>
      </c>
      <c r="R12" s="306">
        <v>6</v>
      </c>
      <c r="S12" s="132">
        <f t="shared" si="0"/>
        <v>18.07</v>
      </c>
      <c r="T12" s="781">
        <f t="shared" si="1"/>
        <v>2</v>
      </c>
      <c r="U12" s="360">
        <f t="shared" si="2"/>
        <v>7</v>
      </c>
      <c r="V12" s="361">
        <f t="shared" si="3"/>
        <v>4</v>
      </c>
    </row>
    <row r="13" spans="1:22" s="249" customFormat="1" x14ac:dyDescent="0.2">
      <c r="A13" s="359">
        <v>7</v>
      </c>
      <c r="B13" s="252" t="s">
        <v>184</v>
      </c>
      <c r="C13" s="306">
        <v>7</v>
      </c>
      <c r="D13" s="254">
        <v>1</v>
      </c>
      <c r="E13" s="250">
        <v>2</v>
      </c>
      <c r="F13" s="250">
        <v>0</v>
      </c>
      <c r="G13" s="250">
        <v>2</v>
      </c>
      <c r="H13" s="250">
        <v>0</v>
      </c>
      <c r="I13" s="250">
        <v>1</v>
      </c>
      <c r="J13" s="253"/>
      <c r="K13" s="250">
        <v>0</v>
      </c>
      <c r="L13" s="250">
        <v>2</v>
      </c>
      <c r="M13" s="250">
        <v>2</v>
      </c>
      <c r="N13" s="250">
        <v>1</v>
      </c>
      <c r="O13" s="250">
        <v>2</v>
      </c>
      <c r="P13" s="250">
        <v>2</v>
      </c>
      <c r="Q13" s="250">
        <v>1</v>
      </c>
      <c r="R13" s="306">
        <v>7</v>
      </c>
      <c r="S13" s="132">
        <f t="shared" si="0"/>
        <v>16.059999999999999</v>
      </c>
      <c r="T13" s="781">
        <f t="shared" si="1"/>
        <v>5</v>
      </c>
      <c r="U13" s="360">
        <f t="shared" si="2"/>
        <v>6</v>
      </c>
      <c r="V13" s="361">
        <f t="shared" si="3"/>
        <v>4</v>
      </c>
    </row>
    <row r="14" spans="1:22" s="249" customFormat="1" x14ac:dyDescent="0.2">
      <c r="A14" s="359">
        <v>8</v>
      </c>
      <c r="B14" s="252" t="s">
        <v>159</v>
      </c>
      <c r="C14" s="306">
        <v>8</v>
      </c>
      <c r="D14" s="254">
        <v>2</v>
      </c>
      <c r="E14" s="250">
        <v>2</v>
      </c>
      <c r="F14" s="250">
        <v>0</v>
      </c>
      <c r="G14" s="250">
        <v>0</v>
      </c>
      <c r="H14" s="250">
        <v>2</v>
      </c>
      <c r="I14" s="250">
        <v>2</v>
      </c>
      <c r="J14" s="250">
        <v>2</v>
      </c>
      <c r="K14" s="253"/>
      <c r="L14" s="250">
        <v>1</v>
      </c>
      <c r="M14" s="250">
        <v>1</v>
      </c>
      <c r="N14" s="250">
        <v>2</v>
      </c>
      <c r="O14" s="250">
        <v>2</v>
      </c>
      <c r="P14" s="250">
        <v>0</v>
      </c>
      <c r="Q14" s="250">
        <v>2</v>
      </c>
      <c r="R14" s="306">
        <v>8</v>
      </c>
      <c r="S14" s="132">
        <f t="shared" si="0"/>
        <v>18.079999999999998</v>
      </c>
      <c r="T14" s="781">
        <f t="shared" si="1"/>
        <v>1</v>
      </c>
      <c r="U14" s="360">
        <f t="shared" si="2"/>
        <v>8</v>
      </c>
      <c r="V14" s="361">
        <f t="shared" si="3"/>
        <v>2</v>
      </c>
    </row>
    <row r="15" spans="1:22" s="249" customFormat="1" x14ac:dyDescent="0.2">
      <c r="A15" s="359">
        <v>9</v>
      </c>
      <c r="B15" s="252" t="s">
        <v>353</v>
      </c>
      <c r="C15" s="306">
        <v>9</v>
      </c>
      <c r="D15" s="254">
        <v>1</v>
      </c>
      <c r="E15" s="250">
        <v>1</v>
      </c>
      <c r="F15" s="250">
        <v>0</v>
      </c>
      <c r="G15" s="250">
        <v>0</v>
      </c>
      <c r="H15" s="250">
        <v>1</v>
      </c>
      <c r="I15" s="250">
        <v>0</v>
      </c>
      <c r="J15" s="250">
        <v>0</v>
      </c>
      <c r="K15" s="250">
        <v>1</v>
      </c>
      <c r="L15" s="253"/>
      <c r="M15" s="250">
        <v>0</v>
      </c>
      <c r="N15" s="250">
        <v>2</v>
      </c>
      <c r="O15" s="250">
        <v>2</v>
      </c>
      <c r="P15" s="250">
        <v>1</v>
      </c>
      <c r="Q15" s="250">
        <v>1</v>
      </c>
      <c r="R15" s="306">
        <v>9</v>
      </c>
      <c r="S15" s="132">
        <f t="shared" si="0"/>
        <v>10.02</v>
      </c>
      <c r="T15" s="781">
        <f t="shared" si="1"/>
        <v>9</v>
      </c>
      <c r="U15" s="360">
        <f t="shared" si="2"/>
        <v>2</v>
      </c>
      <c r="V15" s="361">
        <f t="shared" si="3"/>
        <v>6</v>
      </c>
    </row>
    <row r="16" spans="1:22" s="249" customFormat="1" x14ac:dyDescent="0.2">
      <c r="A16" s="359">
        <v>10</v>
      </c>
      <c r="B16" s="252" t="s">
        <v>445</v>
      </c>
      <c r="C16" s="306">
        <v>10</v>
      </c>
      <c r="D16" s="254">
        <v>1</v>
      </c>
      <c r="E16" s="250">
        <v>2</v>
      </c>
      <c r="F16" s="250">
        <v>0</v>
      </c>
      <c r="G16" s="250">
        <v>1</v>
      </c>
      <c r="H16" s="250">
        <v>2</v>
      </c>
      <c r="I16" s="250">
        <v>1</v>
      </c>
      <c r="J16" s="250">
        <v>1</v>
      </c>
      <c r="K16" s="250">
        <v>1</v>
      </c>
      <c r="L16" s="250">
        <v>2</v>
      </c>
      <c r="M16" s="253"/>
      <c r="N16" s="250">
        <v>2</v>
      </c>
      <c r="O16" s="250">
        <v>1</v>
      </c>
      <c r="P16" s="250">
        <v>1</v>
      </c>
      <c r="Q16" s="250">
        <v>2</v>
      </c>
      <c r="R16" s="306">
        <v>10</v>
      </c>
      <c r="S16" s="132">
        <f t="shared" si="0"/>
        <v>17.05</v>
      </c>
      <c r="T16" s="781">
        <f t="shared" si="1"/>
        <v>3</v>
      </c>
      <c r="U16" s="360">
        <f t="shared" si="2"/>
        <v>5</v>
      </c>
      <c r="V16" s="361">
        <f t="shared" si="3"/>
        <v>7</v>
      </c>
    </row>
    <row r="17" spans="1:22" s="249" customFormat="1" x14ac:dyDescent="0.2">
      <c r="A17" s="359">
        <v>11</v>
      </c>
      <c r="B17" s="252" t="s">
        <v>459</v>
      </c>
      <c r="C17" s="306">
        <v>11</v>
      </c>
      <c r="D17" s="254">
        <v>0</v>
      </c>
      <c r="E17" s="250">
        <v>2</v>
      </c>
      <c r="F17" s="250">
        <v>2</v>
      </c>
      <c r="G17" s="250">
        <v>0</v>
      </c>
      <c r="H17" s="250">
        <v>1</v>
      </c>
      <c r="I17" s="250">
        <v>0</v>
      </c>
      <c r="J17" s="250">
        <v>1</v>
      </c>
      <c r="K17" s="250">
        <v>0</v>
      </c>
      <c r="L17" s="250">
        <v>0</v>
      </c>
      <c r="M17" s="250">
        <v>0</v>
      </c>
      <c r="N17" s="253"/>
      <c r="O17" s="250">
        <v>1</v>
      </c>
      <c r="P17" s="250">
        <v>0</v>
      </c>
      <c r="Q17" s="250">
        <v>2</v>
      </c>
      <c r="R17" s="306">
        <v>11</v>
      </c>
      <c r="S17" s="132">
        <f t="shared" si="0"/>
        <v>9.0299999999999994</v>
      </c>
      <c r="T17" s="781">
        <f t="shared" si="1"/>
        <v>10</v>
      </c>
      <c r="U17" s="360">
        <f t="shared" si="2"/>
        <v>3</v>
      </c>
      <c r="V17" s="361">
        <f t="shared" si="3"/>
        <v>3</v>
      </c>
    </row>
    <row r="18" spans="1:22" s="249" customFormat="1" x14ac:dyDescent="0.2">
      <c r="A18" s="359">
        <v>12</v>
      </c>
      <c r="B18" s="252" t="s">
        <v>510</v>
      </c>
      <c r="C18" s="306">
        <v>12</v>
      </c>
      <c r="D18" s="254">
        <v>1</v>
      </c>
      <c r="E18" s="250">
        <v>2</v>
      </c>
      <c r="F18" s="250">
        <v>0</v>
      </c>
      <c r="G18" s="250">
        <v>1</v>
      </c>
      <c r="H18" s="250">
        <v>0</v>
      </c>
      <c r="I18" s="250">
        <v>1</v>
      </c>
      <c r="J18" s="250">
        <v>0</v>
      </c>
      <c r="K18" s="250">
        <v>0</v>
      </c>
      <c r="L18" s="250">
        <v>0</v>
      </c>
      <c r="M18" s="250">
        <v>1</v>
      </c>
      <c r="N18" s="250">
        <v>1</v>
      </c>
      <c r="O18" s="253"/>
      <c r="P18" s="250">
        <v>1</v>
      </c>
      <c r="Q18" s="250">
        <v>1</v>
      </c>
      <c r="R18" s="306">
        <v>12</v>
      </c>
      <c r="S18" s="132">
        <f t="shared" si="0"/>
        <v>9.01</v>
      </c>
      <c r="T18" s="781">
        <f t="shared" si="1"/>
        <v>12</v>
      </c>
      <c r="U18" s="360">
        <f t="shared" si="2"/>
        <v>1</v>
      </c>
      <c r="V18" s="361">
        <f t="shared" si="3"/>
        <v>7</v>
      </c>
    </row>
    <row r="19" spans="1:22" s="249" customFormat="1" x14ac:dyDescent="0.2">
      <c r="A19" s="359">
        <v>13</v>
      </c>
      <c r="B19" s="252" t="s">
        <v>404</v>
      </c>
      <c r="C19" s="306">
        <v>13</v>
      </c>
      <c r="D19" s="254">
        <v>0</v>
      </c>
      <c r="E19" s="250">
        <v>2</v>
      </c>
      <c r="F19" s="250">
        <v>2</v>
      </c>
      <c r="G19" s="250">
        <v>2</v>
      </c>
      <c r="H19" s="250">
        <v>1</v>
      </c>
      <c r="I19" s="250">
        <v>0</v>
      </c>
      <c r="J19" s="250">
        <v>0</v>
      </c>
      <c r="K19" s="250">
        <v>2</v>
      </c>
      <c r="L19" s="250">
        <v>1</v>
      </c>
      <c r="M19" s="250">
        <v>0</v>
      </c>
      <c r="N19" s="250">
        <v>2</v>
      </c>
      <c r="O19" s="250">
        <v>1</v>
      </c>
      <c r="P19" s="253"/>
      <c r="Q19" s="250">
        <v>2</v>
      </c>
      <c r="R19" s="306">
        <v>13</v>
      </c>
      <c r="S19" s="132">
        <f t="shared" si="0"/>
        <v>15.06</v>
      </c>
      <c r="T19" s="781">
        <f t="shared" si="1"/>
        <v>6</v>
      </c>
      <c r="U19" s="360">
        <f t="shared" si="2"/>
        <v>6</v>
      </c>
      <c r="V19" s="361">
        <f t="shared" si="3"/>
        <v>3</v>
      </c>
    </row>
    <row r="20" spans="1:22" s="249" customFormat="1" x14ac:dyDescent="0.2">
      <c r="A20" s="359">
        <v>14</v>
      </c>
      <c r="B20" s="252" t="s">
        <v>355</v>
      </c>
      <c r="C20" s="306">
        <v>14</v>
      </c>
      <c r="D20" s="254">
        <v>2</v>
      </c>
      <c r="E20" s="250">
        <v>0</v>
      </c>
      <c r="F20" s="250">
        <v>2</v>
      </c>
      <c r="G20" s="250">
        <v>0</v>
      </c>
      <c r="H20" s="250">
        <v>0</v>
      </c>
      <c r="I20" s="250">
        <v>2</v>
      </c>
      <c r="J20" s="250">
        <v>1</v>
      </c>
      <c r="K20" s="250">
        <v>0</v>
      </c>
      <c r="L20" s="250">
        <v>1</v>
      </c>
      <c r="M20" s="250">
        <v>0</v>
      </c>
      <c r="N20" s="250">
        <v>0</v>
      </c>
      <c r="O20" s="250">
        <v>1</v>
      </c>
      <c r="P20" s="250">
        <v>0</v>
      </c>
      <c r="Q20" s="253"/>
      <c r="R20" s="306">
        <v>14</v>
      </c>
      <c r="S20" s="132">
        <f t="shared" si="0"/>
        <v>9.0299999999999994</v>
      </c>
      <c r="T20" s="781">
        <f t="shared" si="1"/>
        <v>10</v>
      </c>
      <c r="U20" s="360">
        <f t="shared" si="2"/>
        <v>3</v>
      </c>
      <c r="V20" s="361">
        <f t="shared" si="3"/>
        <v>3</v>
      </c>
    </row>
    <row r="21" spans="1:22" s="249" customFormat="1" x14ac:dyDescent="0.2">
      <c r="A21" s="358"/>
      <c r="B21" s="306" t="s">
        <v>84</v>
      </c>
      <c r="C21" s="306" t="s">
        <v>197</v>
      </c>
      <c r="D21" s="306">
        <v>1</v>
      </c>
      <c r="E21" s="306">
        <v>2</v>
      </c>
      <c r="F21" s="306">
        <v>3</v>
      </c>
      <c r="G21" s="306">
        <v>4</v>
      </c>
      <c r="H21" s="306">
        <v>5</v>
      </c>
      <c r="I21" s="306">
        <v>6</v>
      </c>
      <c r="J21" s="306">
        <v>7</v>
      </c>
      <c r="K21" s="306">
        <v>8</v>
      </c>
      <c r="L21" s="306">
        <v>9</v>
      </c>
      <c r="M21" s="306">
        <v>10</v>
      </c>
      <c r="N21" s="306">
        <v>11</v>
      </c>
      <c r="O21" s="306">
        <v>12</v>
      </c>
      <c r="P21" s="306">
        <v>13</v>
      </c>
      <c r="Q21" s="306">
        <v>14</v>
      </c>
      <c r="R21" s="306" t="s">
        <v>197</v>
      </c>
      <c r="S21" s="306" t="s">
        <v>144</v>
      </c>
      <c r="T21" s="306" t="s">
        <v>145</v>
      </c>
    </row>
    <row r="22" spans="1:22" s="249" customFormat="1" x14ac:dyDescent="0.2">
      <c r="S22" s="362"/>
    </row>
    <row r="23" spans="1:22" s="249" customFormat="1" x14ac:dyDescent="0.2">
      <c r="A23" s="249" t="s">
        <v>506</v>
      </c>
      <c r="S23" s="363"/>
    </row>
    <row r="24" spans="1:22" s="249" customFormat="1" x14ac:dyDescent="0.2">
      <c r="A24" s="249" t="s">
        <v>505</v>
      </c>
      <c r="S24" s="363"/>
    </row>
    <row r="25" spans="1:22" x14ac:dyDescent="0.2">
      <c r="A25" s="249"/>
      <c r="S25" s="363"/>
    </row>
    <row r="26" spans="1:22" x14ac:dyDescent="0.2">
      <c r="S26" s="363"/>
    </row>
    <row r="27" spans="1:22" x14ac:dyDescent="0.2">
      <c r="S27" s="363"/>
    </row>
    <row r="28" spans="1:22" x14ac:dyDescent="0.2">
      <c r="S28" s="363"/>
    </row>
    <row r="29" spans="1:22" x14ac:dyDescent="0.2">
      <c r="S29" s="363"/>
    </row>
    <row r="30" spans="1:22" x14ac:dyDescent="0.2">
      <c r="S30" s="363"/>
    </row>
    <row r="31" spans="1:22" x14ac:dyDescent="0.2">
      <c r="S31" s="364"/>
    </row>
    <row r="32" spans="1:22" x14ac:dyDescent="0.2">
      <c r="S32" s="364"/>
    </row>
  </sheetData>
  <conditionalFormatting sqref="D7:Q20">
    <cfRule type="cellIs" dxfId="775" priority="2" stopIfTrue="1" operator="greaterThan">
      <formula>2</formula>
    </cfRule>
  </conditionalFormatting>
  <conditionalFormatting sqref="B9">
    <cfRule type="duplicateValues" dxfId="774" priority="1" stopIfTrue="1"/>
  </conditionalFormatting>
  <conditionalFormatting sqref="S7:S20">
    <cfRule type="duplicateValues" dxfId="773" priority="218" stopIfTrue="1"/>
  </conditionalFormatting>
  <pageMargins left="0.78740157480314965" right="0.39370078740157483" top="0.78740157480314965" bottom="0.39370078740157483" header="0.59055118110236227" footer="0"/>
  <pageSetup paperSize="9" fitToHeight="0" orientation="landscape" r:id="rId1"/>
  <headerFooter>
    <oddHeader>&amp;R&amp;"Arial,Regular"&amp;9Page &amp;P of &amp;N</oddHeader>
  </headerFooter>
  <rowBreaks count="1" manualBreakCount="1">
    <brk id="30" max="16383" man="1"/>
  </rowBreaks>
  <ignoredErrors>
    <ignoredError sqref="S7:V20"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showRowColHeaders="0" zoomScaleNormal="100" workbookViewId="0">
      <pane ySplit="6" topLeftCell="A7" activePane="bottomLeft" state="frozen"/>
      <selection pane="bottomLeft" activeCell="S1" sqref="S1"/>
    </sheetView>
  </sheetViews>
  <sheetFormatPr defaultRowHeight="12.75" x14ac:dyDescent="0.2"/>
  <cols>
    <col min="1" max="1" width="3.28515625" style="152" customWidth="1"/>
    <col min="2" max="2" width="18.7109375" style="152" bestFit="1" customWidth="1"/>
    <col min="3" max="13" width="3.42578125" style="152" customWidth="1"/>
    <col min="14" max="14" width="6.5703125" style="249" bestFit="1" customWidth="1"/>
    <col min="15" max="15" width="5.140625" style="152" bestFit="1" customWidth="1"/>
    <col min="16" max="16" width="5.28515625" style="152" bestFit="1" customWidth="1"/>
    <col min="17" max="17" width="5.140625" style="152" bestFit="1" customWidth="1"/>
    <col min="18" max="16384" width="9.140625" style="152"/>
  </cols>
  <sheetData>
    <row r="1" spans="1:17" x14ac:dyDescent="0.2">
      <c r="A1" s="151" t="str">
        <f>UPPER((Kalend!E20)&amp;" - "&amp;(Kalend!C20)&amp;" - "&amp;"PLIKS-PLAKS 2")</f>
        <v>24H - VOKA 24 TUNNI TURNIIR - PLIKS-PLAKS 2</v>
      </c>
      <c r="K1" s="113" t="str">
        <f>HYPERLINK("#Kalend!I1","Kalender")</f>
        <v>Kalender</v>
      </c>
      <c r="L1" s="2"/>
      <c r="N1" s="113" t="str">
        <f>HYPERLINK("#Reit!G1","Reiting")</f>
        <v>Reiting</v>
      </c>
      <c r="P1" s="249" t="s">
        <v>140</v>
      </c>
    </row>
    <row r="2" spans="1:17" x14ac:dyDescent="0.2">
      <c r="A2" s="408" t="s">
        <v>507</v>
      </c>
      <c r="N2" s="152"/>
      <c r="P2" s="249" t="s">
        <v>141</v>
      </c>
    </row>
    <row r="3" spans="1:17" x14ac:dyDescent="0.2">
      <c r="A3" s="2" t="str">
        <f>"Toimumiskoht: "&amp;(Kalend!F20)</f>
        <v>Toimumiskoht: Voka staadion</v>
      </c>
      <c r="N3" s="152"/>
      <c r="P3" s="249" t="s">
        <v>142</v>
      </c>
    </row>
    <row r="4" spans="1:17" x14ac:dyDescent="0.2">
      <c r="A4" s="2" t="str">
        <f>"Korraldaja: "&amp;(Kalend!G20)</f>
        <v>Korraldaja: Toila vald, Johannes Neiland</v>
      </c>
      <c r="N4" s="355"/>
    </row>
    <row r="5" spans="1:17" x14ac:dyDescent="0.2">
      <c r="N5" s="356"/>
    </row>
    <row r="6" spans="1:17" s="249" customFormat="1" x14ac:dyDescent="0.2">
      <c r="A6" s="357" t="s">
        <v>197</v>
      </c>
      <c r="B6" s="306" t="s">
        <v>84</v>
      </c>
      <c r="C6" s="306" t="s">
        <v>197</v>
      </c>
      <c r="D6" s="306">
        <v>1</v>
      </c>
      <c r="E6" s="306">
        <v>2</v>
      </c>
      <c r="F6" s="306">
        <v>3</v>
      </c>
      <c r="G6" s="306">
        <v>4</v>
      </c>
      <c r="H6" s="306">
        <v>5</v>
      </c>
      <c r="I6" s="306">
        <v>6</v>
      </c>
      <c r="J6" s="306">
        <v>7</v>
      </c>
      <c r="K6" s="306">
        <v>8</v>
      </c>
      <c r="L6" s="306">
        <v>9</v>
      </c>
      <c r="M6" s="306" t="s">
        <v>197</v>
      </c>
      <c r="N6" s="306" t="s">
        <v>144</v>
      </c>
      <c r="O6" s="306" t="s">
        <v>145</v>
      </c>
      <c r="P6" s="249" t="s">
        <v>77</v>
      </c>
      <c r="Q6" s="249" t="s">
        <v>146</v>
      </c>
    </row>
    <row r="7" spans="1:17" s="249" customFormat="1" x14ac:dyDescent="0.2">
      <c r="A7" s="359">
        <v>1</v>
      </c>
      <c r="B7" s="252" t="s">
        <v>501</v>
      </c>
      <c r="C7" s="306">
        <v>1</v>
      </c>
      <c r="D7" s="253"/>
      <c r="E7" s="254">
        <v>0</v>
      </c>
      <c r="F7" s="250">
        <v>1</v>
      </c>
      <c r="G7" s="250">
        <v>2</v>
      </c>
      <c r="H7" s="250">
        <v>0</v>
      </c>
      <c r="I7" s="250">
        <v>1</v>
      </c>
      <c r="J7" s="250">
        <v>2</v>
      </c>
      <c r="K7" s="250">
        <v>2</v>
      </c>
      <c r="L7" s="250">
        <v>2</v>
      </c>
      <c r="M7" s="306">
        <v>1</v>
      </c>
      <c r="N7" s="132">
        <f t="shared" ref="N7:N15" si="0">SUM(D7:L7)+COUNTIF(D7:L7,2)/100</f>
        <v>10.039999999999999</v>
      </c>
      <c r="O7" s="781">
        <f t="shared" ref="O7:O15" si="1">RANK(N7,N$7:N$15,0)</f>
        <v>4</v>
      </c>
      <c r="P7" s="360">
        <f t="shared" ref="P7:P15" si="2">COUNTIF(D7:L7,"=2")</f>
        <v>4</v>
      </c>
      <c r="Q7" s="361">
        <f t="shared" ref="Q7:Q15" si="3">COUNTIF(D7:L7,"=1")</f>
        <v>2</v>
      </c>
    </row>
    <row r="8" spans="1:17" s="249" customFormat="1" x14ac:dyDescent="0.2">
      <c r="A8" s="359">
        <v>2</v>
      </c>
      <c r="B8" s="252" t="s">
        <v>404</v>
      </c>
      <c r="C8" s="306">
        <v>2</v>
      </c>
      <c r="D8" s="254">
        <v>2</v>
      </c>
      <c r="E8" s="253"/>
      <c r="F8" s="250">
        <v>2</v>
      </c>
      <c r="G8" s="250">
        <v>1</v>
      </c>
      <c r="H8" s="250">
        <v>2</v>
      </c>
      <c r="I8" s="250">
        <v>0</v>
      </c>
      <c r="J8" s="250">
        <v>0</v>
      </c>
      <c r="K8" s="250">
        <v>2</v>
      </c>
      <c r="L8" s="250">
        <v>2</v>
      </c>
      <c r="M8" s="306">
        <v>2</v>
      </c>
      <c r="N8" s="132">
        <f t="shared" si="0"/>
        <v>11.05</v>
      </c>
      <c r="O8" s="781">
        <f t="shared" si="1"/>
        <v>3</v>
      </c>
      <c r="P8" s="360">
        <f t="shared" si="2"/>
        <v>5</v>
      </c>
      <c r="Q8" s="361">
        <f t="shared" si="3"/>
        <v>1</v>
      </c>
    </row>
    <row r="9" spans="1:17" s="249" customFormat="1" x14ac:dyDescent="0.2">
      <c r="A9" s="359">
        <v>3</v>
      </c>
      <c r="B9" s="653" t="s">
        <v>351</v>
      </c>
      <c r="C9" s="306">
        <v>3</v>
      </c>
      <c r="D9" s="254">
        <v>1</v>
      </c>
      <c r="E9" s="250">
        <v>0</v>
      </c>
      <c r="F9" s="253"/>
      <c r="G9" s="250">
        <v>0</v>
      </c>
      <c r="H9" s="250">
        <v>0</v>
      </c>
      <c r="I9" s="250">
        <v>0</v>
      </c>
      <c r="J9" s="250">
        <v>0</v>
      </c>
      <c r="K9" s="250">
        <v>2</v>
      </c>
      <c r="L9" s="250">
        <v>0</v>
      </c>
      <c r="M9" s="306">
        <v>3</v>
      </c>
      <c r="N9" s="132">
        <f t="shared" si="0"/>
        <v>3.01</v>
      </c>
      <c r="O9" s="781">
        <f t="shared" si="1"/>
        <v>8</v>
      </c>
      <c r="P9" s="360">
        <f t="shared" si="2"/>
        <v>1</v>
      </c>
      <c r="Q9" s="361">
        <f t="shared" si="3"/>
        <v>1</v>
      </c>
    </row>
    <row r="10" spans="1:17" s="249" customFormat="1" x14ac:dyDescent="0.2">
      <c r="A10" s="359">
        <v>4</v>
      </c>
      <c r="B10" s="252" t="s">
        <v>511</v>
      </c>
      <c r="C10" s="306">
        <v>4</v>
      </c>
      <c r="D10" s="254">
        <v>0</v>
      </c>
      <c r="E10" s="250">
        <v>1</v>
      </c>
      <c r="F10" s="250">
        <v>2</v>
      </c>
      <c r="G10" s="253"/>
      <c r="H10" s="250">
        <v>0</v>
      </c>
      <c r="I10" s="250">
        <v>0</v>
      </c>
      <c r="J10" s="250">
        <v>0</v>
      </c>
      <c r="K10" s="250">
        <v>2</v>
      </c>
      <c r="L10" s="250">
        <v>0</v>
      </c>
      <c r="M10" s="306">
        <v>4</v>
      </c>
      <c r="N10" s="132">
        <f t="shared" si="0"/>
        <v>5.0199999999999996</v>
      </c>
      <c r="O10" s="781">
        <f t="shared" si="1"/>
        <v>7</v>
      </c>
      <c r="P10" s="360">
        <f t="shared" si="2"/>
        <v>2</v>
      </c>
      <c r="Q10" s="361">
        <f t="shared" si="3"/>
        <v>1</v>
      </c>
    </row>
    <row r="11" spans="1:17" s="249" customFormat="1" x14ac:dyDescent="0.2">
      <c r="A11" s="359">
        <v>5</v>
      </c>
      <c r="B11" s="252" t="s">
        <v>160</v>
      </c>
      <c r="C11" s="306">
        <v>5</v>
      </c>
      <c r="D11" s="254">
        <v>2</v>
      </c>
      <c r="E11" s="250">
        <v>0</v>
      </c>
      <c r="F11" s="250">
        <v>2</v>
      </c>
      <c r="G11" s="250">
        <v>2</v>
      </c>
      <c r="H11" s="253"/>
      <c r="I11" s="254">
        <v>0</v>
      </c>
      <c r="J11" s="250">
        <v>2</v>
      </c>
      <c r="K11" s="250">
        <v>2</v>
      </c>
      <c r="L11" s="250">
        <v>2</v>
      </c>
      <c r="M11" s="306">
        <v>5</v>
      </c>
      <c r="N11" s="132">
        <f t="shared" si="0"/>
        <v>12.06</v>
      </c>
      <c r="O11" s="781">
        <f t="shared" si="1"/>
        <v>2</v>
      </c>
      <c r="P11" s="360">
        <f t="shared" si="2"/>
        <v>6</v>
      </c>
      <c r="Q11" s="361">
        <f t="shared" si="3"/>
        <v>0</v>
      </c>
    </row>
    <row r="12" spans="1:17" s="249" customFormat="1" x14ac:dyDescent="0.2">
      <c r="A12" s="359">
        <v>6</v>
      </c>
      <c r="B12" s="252" t="s">
        <v>159</v>
      </c>
      <c r="C12" s="306">
        <v>6</v>
      </c>
      <c r="D12" s="254">
        <v>1</v>
      </c>
      <c r="E12" s="250">
        <v>2</v>
      </c>
      <c r="F12" s="250">
        <v>2</v>
      </c>
      <c r="G12" s="250">
        <v>2</v>
      </c>
      <c r="H12" s="250">
        <v>2</v>
      </c>
      <c r="I12" s="253"/>
      <c r="J12" s="250">
        <v>2</v>
      </c>
      <c r="K12" s="250">
        <v>2</v>
      </c>
      <c r="L12" s="250">
        <v>1</v>
      </c>
      <c r="M12" s="306">
        <v>6</v>
      </c>
      <c r="N12" s="132">
        <f t="shared" si="0"/>
        <v>14.06</v>
      </c>
      <c r="O12" s="781">
        <f t="shared" si="1"/>
        <v>1</v>
      </c>
      <c r="P12" s="360">
        <f t="shared" si="2"/>
        <v>6</v>
      </c>
      <c r="Q12" s="361">
        <f t="shared" si="3"/>
        <v>2</v>
      </c>
    </row>
    <row r="13" spans="1:17" s="249" customFormat="1" x14ac:dyDescent="0.2">
      <c r="A13" s="359">
        <v>7</v>
      </c>
      <c r="B13" s="252" t="s">
        <v>353</v>
      </c>
      <c r="C13" s="306">
        <v>7</v>
      </c>
      <c r="D13" s="254">
        <v>0</v>
      </c>
      <c r="E13" s="250">
        <v>2</v>
      </c>
      <c r="F13" s="250">
        <v>2</v>
      </c>
      <c r="G13" s="250">
        <v>2</v>
      </c>
      <c r="H13" s="250">
        <v>0</v>
      </c>
      <c r="I13" s="250">
        <v>0</v>
      </c>
      <c r="J13" s="253"/>
      <c r="K13" s="250">
        <v>0</v>
      </c>
      <c r="L13" s="250">
        <v>2</v>
      </c>
      <c r="M13" s="306">
        <v>7</v>
      </c>
      <c r="N13" s="132">
        <f t="shared" si="0"/>
        <v>8.0399999999999991</v>
      </c>
      <c r="O13" s="781">
        <f t="shared" si="1"/>
        <v>5</v>
      </c>
      <c r="P13" s="360">
        <f t="shared" si="2"/>
        <v>4</v>
      </c>
      <c r="Q13" s="361">
        <f t="shared" si="3"/>
        <v>0</v>
      </c>
    </row>
    <row r="14" spans="1:17" s="249" customFormat="1" x14ac:dyDescent="0.2">
      <c r="A14" s="359">
        <v>8</v>
      </c>
      <c r="B14" s="252" t="s">
        <v>355</v>
      </c>
      <c r="C14" s="306">
        <v>8</v>
      </c>
      <c r="D14" s="254">
        <v>0</v>
      </c>
      <c r="E14" s="250">
        <v>0</v>
      </c>
      <c r="F14" s="250">
        <v>0</v>
      </c>
      <c r="G14" s="250">
        <v>0</v>
      </c>
      <c r="H14" s="250">
        <v>0</v>
      </c>
      <c r="I14" s="250">
        <v>0</v>
      </c>
      <c r="J14" s="250">
        <v>2</v>
      </c>
      <c r="K14" s="253"/>
      <c r="L14" s="250">
        <v>0</v>
      </c>
      <c r="M14" s="306">
        <v>8</v>
      </c>
      <c r="N14" s="132">
        <f t="shared" si="0"/>
        <v>2.0099999999999998</v>
      </c>
      <c r="O14" s="781">
        <f t="shared" si="1"/>
        <v>9</v>
      </c>
      <c r="P14" s="360">
        <f t="shared" si="2"/>
        <v>1</v>
      </c>
      <c r="Q14" s="361">
        <f t="shared" si="3"/>
        <v>0</v>
      </c>
    </row>
    <row r="15" spans="1:17" s="249" customFormat="1" x14ac:dyDescent="0.2">
      <c r="A15" s="359">
        <v>9</v>
      </c>
      <c r="B15" s="252" t="s">
        <v>350</v>
      </c>
      <c r="C15" s="306">
        <v>9</v>
      </c>
      <c r="D15" s="254">
        <v>0</v>
      </c>
      <c r="E15" s="250">
        <v>0</v>
      </c>
      <c r="F15" s="250">
        <v>2</v>
      </c>
      <c r="G15" s="250">
        <v>2</v>
      </c>
      <c r="H15" s="250">
        <v>0</v>
      </c>
      <c r="I15" s="250">
        <v>1</v>
      </c>
      <c r="J15" s="250">
        <v>0</v>
      </c>
      <c r="K15" s="250">
        <v>2</v>
      </c>
      <c r="L15" s="253"/>
      <c r="M15" s="306">
        <v>9</v>
      </c>
      <c r="N15" s="132">
        <f t="shared" si="0"/>
        <v>7.03</v>
      </c>
      <c r="O15" s="781">
        <f t="shared" si="1"/>
        <v>6</v>
      </c>
      <c r="P15" s="360">
        <f t="shared" si="2"/>
        <v>3</v>
      </c>
      <c r="Q15" s="361">
        <f t="shared" si="3"/>
        <v>1</v>
      </c>
    </row>
    <row r="16" spans="1:17" s="249" customFormat="1" x14ac:dyDescent="0.2">
      <c r="A16" s="358"/>
      <c r="B16" s="306" t="s">
        <v>84</v>
      </c>
      <c r="C16" s="306" t="s">
        <v>197</v>
      </c>
      <c r="D16" s="306">
        <v>1</v>
      </c>
      <c r="E16" s="306">
        <v>2</v>
      </c>
      <c r="F16" s="306">
        <v>3</v>
      </c>
      <c r="G16" s="306">
        <v>4</v>
      </c>
      <c r="H16" s="306">
        <v>5</v>
      </c>
      <c r="I16" s="306">
        <v>6</v>
      </c>
      <c r="J16" s="306">
        <v>7</v>
      </c>
      <c r="K16" s="306">
        <v>8</v>
      </c>
      <c r="L16" s="306">
        <v>9</v>
      </c>
      <c r="M16" s="306" t="s">
        <v>197</v>
      </c>
      <c r="N16" s="306" t="s">
        <v>144</v>
      </c>
      <c r="O16" s="306" t="s">
        <v>145</v>
      </c>
    </row>
    <row r="17" spans="1:14" s="249" customFormat="1" x14ac:dyDescent="0.2">
      <c r="N17" s="362"/>
    </row>
    <row r="18" spans="1:14" s="249" customFormat="1" x14ac:dyDescent="0.2">
      <c r="A18" s="249" t="s">
        <v>506</v>
      </c>
      <c r="N18" s="363"/>
    </row>
    <row r="19" spans="1:14" s="249" customFormat="1" x14ac:dyDescent="0.2">
      <c r="A19" s="249" t="s">
        <v>505</v>
      </c>
      <c r="N19" s="363"/>
    </row>
    <row r="20" spans="1:14" x14ac:dyDescent="0.2">
      <c r="A20" s="249"/>
      <c r="N20" s="363"/>
    </row>
    <row r="21" spans="1:14" x14ac:dyDescent="0.2">
      <c r="N21" s="363"/>
    </row>
    <row r="22" spans="1:14" x14ac:dyDescent="0.2">
      <c r="N22" s="363"/>
    </row>
    <row r="23" spans="1:14" x14ac:dyDescent="0.2">
      <c r="N23" s="363"/>
    </row>
    <row r="24" spans="1:14" x14ac:dyDescent="0.2">
      <c r="N24" s="363"/>
    </row>
    <row r="25" spans="1:14" x14ac:dyDescent="0.2">
      <c r="N25" s="363"/>
    </row>
    <row r="26" spans="1:14" x14ac:dyDescent="0.2">
      <c r="N26" s="364"/>
    </row>
    <row r="27" spans="1:14" x14ac:dyDescent="0.2">
      <c r="N27" s="364"/>
    </row>
  </sheetData>
  <conditionalFormatting sqref="D7:L15">
    <cfRule type="cellIs" dxfId="772" priority="3" stopIfTrue="1" operator="greaterThan">
      <formula>2</formula>
    </cfRule>
  </conditionalFormatting>
  <conditionalFormatting sqref="B9">
    <cfRule type="duplicateValues" dxfId="771" priority="2" stopIfTrue="1"/>
  </conditionalFormatting>
  <conditionalFormatting sqref="N7:N15">
    <cfRule type="duplicateValues" dxfId="770" priority="219" stopIfTrue="1"/>
  </conditionalFormatting>
  <pageMargins left="0.78740157480314965" right="0.39370078740157483" top="0.78740157480314965" bottom="0.39370078740157483" header="0.59055118110236227" footer="0"/>
  <pageSetup paperSize="9" fitToHeight="0" orientation="landscape" r:id="rId1"/>
  <headerFooter>
    <oddHeader>&amp;R&amp;"Arial,Regular"&amp;9Page &amp;P of &amp;N</oddHeader>
  </headerFooter>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N74"/>
  <sheetViews>
    <sheetView showGridLines="0" showRowColHeaders="0" zoomScaleNormal="100" workbookViewId="0">
      <pane ySplit="6" topLeftCell="A30" activePane="bottomLeft" state="frozen"/>
      <selection activeCell="G1" sqref="G1"/>
      <selection pane="bottomLeft" activeCell="X1" sqref="X1"/>
    </sheetView>
  </sheetViews>
  <sheetFormatPr defaultRowHeight="12.75" x14ac:dyDescent="0.2"/>
  <cols>
    <col min="1" max="1" width="4" style="152" customWidth="1"/>
    <col min="2" max="2" width="18.7109375" style="152" bestFit="1" customWidth="1"/>
    <col min="3" max="3" width="6.5703125" style="152" customWidth="1"/>
    <col min="4" max="4" width="5.7109375" style="152" bestFit="1" customWidth="1"/>
    <col min="5" max="5" width="5.5703125" style="152" bestFit="1" customWidth="1"/>
    <col min="6" max="6" width="5.140625" style="152" bestFit="1" customWidth="1"/>
    <col min="7" max="7" width="4" style="152" bestFit="1" customWidth="1"/>
    <col min="8" max="39" width="3" style="152" customWidth="1"/>
    <col min="40" max="40" width="4" style="152" bestFit="1" customWidth="1"/>
    <col min="41" max="16384" width="9.140625" style="152"/>
  </cols>
  <sheetData>
    <row r="1" spans="1:40" x14ac:dyDescent="0.2">
      <c r="A1" s="151" t="str">
        <f>UPPER((Kalend!E23)&amp;" - "&amp;(Kalend!C23)&amp;" - "&amp;(Kalend!D23))</f>
        <v>PL - PLIKS PLAKS 101 (KÕIK-KÕIGIGA) - ÜKSIK</v>
      </c>
      <c r="I1" s="113" t="str">
        <f>HYPERLINK("#Kalend!I1","Kalender")</f>
        <v>Kalender</v>
      </c>
      <c r="J1" s="2"/>
      <c r="N1" s="113" t="str">
        <f>HYPERLINK("#Reit!G1","Reiting")</f>
        <v>Reiting</v>
      </c>
      <c r="O1" s="2"/>
      <c r="P1" s="2"/>
      <c r="R1" s="249" t="s">
        <v>140</v>
      </c>
      <c r="S1" s="249"/>
    </row>
    <row r="2" spans="1:40" x14ac:dyDescent="0.2">
      <c r="A2" s="2" t="str">
        <f>"Toimumisaeg: "&amp;(Kalend!A23)&amp;" kell "&amp;(Kalend!B23)</f>
        <v>Toimumisaeg: L, 01.07.2017 kell 10:00</v>
      </c>
      <c r="R2" s="249" t="s">
        <v>141</v>
      </c>
      <c r="S2" s="249"/>
    </row>
    <row r="3" spans="1:40" x14ac:dyDescent="0.2">
      <c r="A3" s="2" t="str">
        <f>"Toimumiskoht: "&amp;(Kalend!F23)</f>
        <v>Toimumiskoht: Voka staadion</v>
      </c>
      <c r="R3" s="249" t="s">
        <v>142</v>
      </c>
      <c r="S3" s="249"/>
    </row>
    <row r="4" spans="1:40" x14ac:dyDescent="0.2">
      <c r="A4" s="2" t="str">
        <f>"Korraldaja: "&amp;(Kalend!G23)</f>
        <v>Korraldaja: Toila vald, Johannes Neiland</v>
      </c>
    </row>
    <row r="6" spans="1:40" s="249" customFormat="1" x14ac:dyDescent="0.2">
      <c r="A6" s="254" t="s">
        <v>143</v>
      </c>
      <c r="B6" s="306" t="s">
        <v>84</v>
      </c>
      <c r="C6" s="306" t="s">
        <v>144</v>
      </c>
      <c r="D6" s="306" t="s">
        <v>77</v>
      </c>
      <c r="E6" s="306" t="s">
        <v>146</v>
      </c>
      <c r="F6" s="306" t="s">
        <v>145</v>
      </c>
      <c r="G6" s="306" t="s">
        <v>143</v>
      </c>
      <c r="H6" s="306">
        <v>1</v>
      </c>
      <c r="I6" s="306">
        <v>2</v>
      </c>
      <c r="J6" s="306">
        <v>3</v>
      </c>
      <c r="K6" s="306">
        <v>4</v>
      </c>
      <c r="L6" s="306">
        <v>5</v>
      </c>
      <c r="M6" s="306">
        <v>6</v>
      </c>
      <c r="N6" s="306">
        <v>7</v>
      </c>
      <c r="O6" s="306">
        <v>8</v>
      </c>
      <c r="P6" s="306">
        <v>9</v>
      </c>
      <c r="Q6" s="306">
        <v>10</v>
      </c>
      <c r="R6" s="306">
        <v>11</v>
      </c>
      <c r="S6" s="306">
        <v>12</v>
      </c>
      <c r="T6" s="306">
        <v>13</v>
      </c>
      <c r="U6" s="306">
        <v>14</v>
      </c>
      <c r="V6" s="306">
        <v>15</v>
      </c>
      <c r="W6" s="306">
        <v>16</v>
      </c>
      <c r="X6" s="306">
        <v>17</v>
      </c>
      <c r="Y6" s="306">
        <v>18</v>
      </c>
      <c r="Z6" s="306">
        <v>19</v>
      </c>
      <c r="AA6" s="306">
        <v>20</v>
      </c>
      <c r="AB6" s="306">
        <v>21</v>
      </c>
      <c r="AC6" s="306">
        <v>22</v>
      </c>
      <c r="AD6" s="306">
        <v>23</v>
      </c>
      <c r="AE6" s="306">
        <v>24</v>
      </c>
      <c r="AF6" s="306">
        <v>25</v>
      </c>
      <c r="AG6" s="306">
        <v>26</v>
      </c>
      <c r="AH6" s="306">
        <v>27</v>
      </c>
      <c r="AI6" s="306">
        <v>28</v>
      </c>
      <c r="AJ6" s="306">
        <v>29</v>
      </c>
      <c r="AK6" s="306">
        <v>30</v>
      </c>
      <c r="AL6" s="306">
        <v>31</v>
      </c>
      <c r="AM6" s="306">
        <v>32</v>
      </c>
      <c r="AN6" s="306" t="s">
        <v>143</v>
      </c>
    </row>
    <row r="7" spans="1:40" s="249" customFormat="1" x14ac:dyDescent="0.2">
      <c r="A7" s="251">
        <v>1</v>
      </c>
      <c r="B7" s="139"/>
      <c r="C7" s="132">
        <f t="shared" ref="C7:C38" si="0">SUM(H7:AM7)+COUNTIF(H7:AM7,2)/1000</f>
        <v>0</v>
      </c>
      <c r="D7" s="254">
        <f t="shared" ref="D7:D38" si="1">COUNTIF(H7:AM7,"=2")</f>
        <v>0</v>
      </c>
      <c r="E7" s="250">
        <f t="shared" ref="E7:E38" si="2">COUNTIF(H7:AM7,"=1")</f>
        <v>0</v>
      </c>
      <c r="F7" s="255" t="str">
        <f t="shared" ref="F7:F38" si="3">IF(COUNTA(H7:AM7)=0,"",RANK(C7,C$7:C$38,0))</f>
        <v/>
      </c>
      <c r="G7" s="307">
        <v>1</v>
      </c>
      <c r="H7" s="253"/>
      <c r="I7" s="254"/>
      <c r="J7" s="254"/>
      <c r="K7" s="254"/>
      <c r="L7" s="254"/>
      <c r="M7" s="254"/>
      <c r="N7" s="254"/>
      <c r="O7" s="254"/>
      <c r="P7" s="254"/>
      <c r="Q7" s="254"/>
      <c r="R7" s="254"/>
      <c r="S7" s="254"/>
      <c r="T7" s="254"/>
      <c r="U7" s="250"/>
      <c r="V7" s="250"/>
      <c r="W7" s="250"/>
      <c r="X7" s="250"/>
      <c r="Y7" s="250"/>
      <c r="Z7" s="250"/>
      <c r="AA7" s="250"/>
      <c r="AB7" s="250"/>
      <c r="AC7" s="250"/>
      <c r="AD7" s="250"/>
      <c r="AE7" s="250"/>
      <c r="AF7" s="250"/>
      <c r="AG7" s="250"/>
      <c r="AH7" s="250"/>
      <c r="AI7" s="250"/>
      <c r="AJ7" s="250"/>
      <c r="AK7" s="250"/>
      <c r="AL7" s="250"/>
      <c r="AM7" s="250"/>
      <c r="AN7" s="307">
        <v>1</v>
      </c>
    </row>
    <row r="8" spans="1:40" s="249" customFormat="1" x14ac:dyDescent="0.2">
      <c r="A8" s="251">
        <v>2</v>
      </c>
      <c r="B8" s="252"/>
      <c r="C8" s="132">
        <f t="shared" si="0"/>
        <v>0</v>
      </c>
      <c r="D8" s="254">
        <f t="shared" si="1"/>
        <v>0</v>
      </c>
      <c r="E8" s="250">
        <f t="shared" si="2"/>
        <v>0</v>
      </c>
      <c r="F8" s="255" t="str">
        <f t="shared" si="3"/>
        <v/>
      </c>
      <c r="G8" s="307">
        <v>2</v>
      </c>
      <c r="H8" s="254"/>
      <c r="I8" s="253"/>
      <c r="J8" s="254"/>
      <c r="K8" s="254"/>
      <c r="L8" s="254"/>
      <c r="M8" s="254"/>
      <c r="N8" s="254"/>
      <c r="O8" s="254"/>
      <c r="P8" s="254"/>
      <c r="Q8" s="254"/>
      <c r="R8" s="254"/>
      <c r="S8" s="254"/>
      <c r="T8" s="254"/>
      <c r="U8" s="250"/>
      <c r="V8" s="250"/>
      <c r="W8" s="250"/>
      <c r="X8" s="250"/>
      <c r="Y8" s="250"/>
      <c r="Z8" s="250"/>
      <c r="AA8" s="250"/>
      <c r="AB8" s="250"/>
      <c r="AC8" s="250"/>
      <c r="AD8" s="250"/>
      <c r="AE8" s="250"/>
      <c r="AF8" s="250"/>
      <c r="AG8" s="250"/>
      <c r="AH8" s="250"/>
      <c r="AI8" s="250"/>
      <c r="AJ8" s="250"/>
      <c r="AK8" s="250"/>
      <c r="AL8" s="250"/>
      <c r="AM8" s="250"/>
      <c r="AN8" s="307">
        <v>2</v>
      </c>
    </row>
    <row r="9" spans="1:40" s="249" customFormat="1" x14ac:dyDescent="0.2">
      <c r="A9" s="251">
        <v>3</v>
      </c>
      <c r="B9" s="252"/>
      <c r="C9" s="132">
        <f t="shared" si="0"/>
        <v>0</v>
      </c>
      <c r="D9" s="254">
        <f t="shared" si="1"/>
        <v>0</v>
      </c>
      <c r="E9" s="250">
        <f t="shared" si="2"/>
        <v>0</v>
      </c>
      <c r="F9" s="255" t="str">
        <f t="shared" si="3"/>
        <v/>
      </c>
      <c r="G9" s="307">
        <v>3</v>
      </c>
      <c r="H9" s="254"/>
      <c r="I9" s="254"/>
      <c r="J9" s="253"/>
      <c r="K9" s="254"/>
      <c r="L9" s="254"/>
      <c r="M9" s="254"/>
      <c r="N9" s="254"/>
      <c r="O9" s="254"/>
      <c r="P9" s="254"/>
      <c r="Q9" s="254"/>
      <c r="R9" s="254"/>
      <c r="S9" s="254"/>
      <c r="T9" s="254"/>
      <c r="U9" s="250"/>
      <c r="V9" s="250"/>
      <c r="W9" s="250"/>
      <c r="X9" s="250"/>
      <c r="Y9" s="250"/>
      <c r="Z9" s="250"/>
      <c r="AA9" s="250"/>
      <c r="AB9" s="250"/>
      <c r="AC9" s="250"/>
      <c r="AD9" s="250"/>
      <c r="AE9" s="250"/>
      <c r="AF9" s="250"/>
      <c r="AG9" s="250"/>
      <c r="AH9" s="250"/>
      <c r="AI9" s="250"/>
      <c r="AJ9" s="250"/>
      <c r="AK9" s="250"/>
      <c r="AL9" s="250"/>
      <c r="AM9" s="250"/>
      <c r="AN9" s="307">
        <v>3</v>
      </c>
    </row>
    <row r="10" spans="1:40" s="249" customFormat="1" x14ac:dyDescent="0.2">
      <c r="A10" s="251">
        <v>4</v>
      </c>
      <c r="B10" s="252"/>
      <c r="C10" s="132">
        <f t="shared" si="0"/>
        <v>0</v>
      </c>
      <c r="D10" s="254">
        <f t="shared" si="1"/>
        <v>0</v>
      </c>
      <c r="E10" s="250">
        <f t="shared" si="2"/>
        <v>0</v>
      </c>
      <c r="F10" s="255" t="str">
        <f t="shared" si="3"/>
        <v/>
      </c>
      <c r="G10" s="307">
        <v>4</v>
      </c>
      <c r="H10" s="254"/>
      <c r="I10" s="254"/>
      <c r="J10" s="254"/>
      <c r="K10" s="253"/>
      <c r="L10" s="254"/>
      <c r="M10" s="254"/>
      <c r="N10" s="254"/>
      <c r="O10" s="254"/>
      <c r="P10" s="254"/>
      <c r="Q10" s="254"/>
      <c r="R10" s="254"/>
      <c r="S10" s="254"/>
      <c r="T10" s="254"/>
      <c r="U10" s="250"/>
      <c r="V10" s="250"/>
      <c r="W10" s="250"/>
      <c r="X10" s="250"/>
      <c r="Y10" s="250"/>
      <c r="Z10" s="250"/>
      <c r="AA10" s="250"/>
      <c r="AB10" s="250"/>
      <c r="AC10" s="250"/>
      <c r="AD10" s="250"/>
      <c r="AE10" s="250"/>
      <c r="AF10" s="250"/>
      <c r="AG10" s="250"/>
      <c r="AH10" s="250"/>
      <c r="AI10" s="250"/>
      <c r="AJ10" s="250"/>
      <c r="AK10" s="250"/>
      <c r="AL10" s="250"/>
      <c r="AM10" s="250"/>
      <c r="AN10" s="307">
        <v>4</v>
      </c>
    </row>
    <row r="11" spans="1:40" s="249" customFormat="1" x14ac:dyDescent="0.2">
      <c r="A11" s="251">
        <v>5</v>
      </c>
      <c r="B11" s="252"/>
      <c r="C11" s="132">
        <f t="shared" si="0"/>
        <v>0</v>
      </c>
      <c r="D11" s="254">
        <f t="shared" si="1"/>
        <v>0</v>
      </c>
      <c r="E11" s="250">
        <f t="shared" si="2"/>
        <v>0</v>
      </c>
      <c r="F11" s="255" t="str">
        <f t="shared" si="3"/>
        <v/>
      </c>
      <c r="G11" s="307">
        <v>5</v>
      </c>
      <c r="H11" s="254"/>
      <c r="I11" s="254"/>
      <c r="J11" s="254"/>
      <c r="K11" s="254"/>
      <c r="L11" s="253"/>
      <c r="M11" s="254"/>
      <c r="N11" s="254"/>
      <c r="O11" s="254"/>
      <c r="P11" s="254"/>
      <c r="Q11" s="254"/>
      <c r="R11" s="254"/>
      <c r="S11" s="254"/>
      <c r="T11" s="254"/>
      <c r="U11" s="250"/>
      <c r="V11" s="250"/>
      <c r="W11" s="250"/>
      <c r="X11" s="250"/>
      <c r="Y11" s="250"/>
      <c r="Z11" s="250"/>
      <c r="AA11" s="250"/>
      <c r="AB11" s="250"/>
      <c r="AC11" s="250"/>
      <c r="AD11" s="250"/>
      <c r="AE11" s="250"/>
      <c r="AF11" s="250"/>
      <c r="AG11" s="250"/>
      <c r="AH11" s="250"/>
      <c r="AI11" s="250"/>
      <c r="AJ11" s="250"/>
      <c r="AK11" s="250"/>
      <c r="AL11" s="250"/>
      <c r="AM11" s="250"/>
      <c r="AN11" s="307">
        <v>5</v>
      </c>
    </row>
    <row r="12" spans="1:40" s="249" customFormat="1" x14ac:dyDescent="0.2">
      <c r="A12" s="251">
        <v>6</v>
      </c>
      <c r="B12" s="252"/>
      <c r="C12" s="132">
        <f t="shared" si="0"/>
        <v>0</v>
      </c>
      <c r="D12" s="254">
        <f t="shared" si="1"/>
        <v>0</v>
      </c>
      <c r="E12" s="250">
        <f t="shared" si="2"/>
        <v>0</v>
      </c>
      <c r="F12" s="255" t="str">
        <f t="shared" si="3"/>
        <v/>
      </c>
      <c r="G12" s="307">
        <v>6</v>
      </c>
      <c r="H12" s="254"/>
      <c r="I12" s="254"/>
      <c r="J12" s="254"/>
      <c r="K12" s="254"/>
      <c r="L12" s="254"/>
      <c r="M12" s="253"/>
      <c r="N12" s="254"/>
      <c r="O12" s="254"/>
      <c r="P12" s="254"/>
      <c r="Q12" s="254"/>
      <c r="R12" s="254"/>
      <c r="S12" s="254"/>
      <c r="T12" s="254"/>
      <c r="U12" s="250"/>
      <c r="V12" s="250"/>
      <c r="W12" s="250"/>
      <c r="X12" s="250"/>
      <c r="Y12" s="250"/>
      <c r="Z12" s="250"/>
      <c r="AA12" s="250"/>
      <c r="AB12" s="250"/>
      <c r="AC12" s="250"/>
      <c r="AD12" s="250"/>
      <c r="AE12" s="250"/>
      <c r="AF12" s="250"/>
      <c r="AG12" s="250"/>
      <c r="AH12" s="250"/>
      <c r="AI12" s="250"/>
      <c r="AJ12" s="250"/>
      <c r="AK12" s="250"/>
      <c r="AL12" s="250"/>
      <c r="AM12" s="250"/>
      <c r="AN12" s="307">
        <v>6</v>
      </c>
    </row>
    <row r="13" spans="1:40" s="249" customFormat="1" x14ac:dyDescent="0.2">
      <c r="A13" s="251">
        <v>7</v>
      </c>
      <c r="B13" s="252"/>
      <c r="C13" s="132">
        <f t="shared" si="0"/>
        <v>0</v>
      </c>
      <c r="D13" s="254">
        <f t="shared" si="1"/>
        <v>0</v>
      </c>
      <c r="E13" s="250">
        <f t="shared" si="2"/>
        <v>0</v>
      </c>
      <c r="F13" s="255" t="str">
        <f t="shared" si="3"/>
        <v/>
      </c>
      <c r="G13" s="307">
        <v>7</v>
      </c>
      <c r="H13" s="254"/>
      <c r="I13" s="254"/>
      <c r="J13" s="254"/>
      <c r="K13" s="254"/>
      <c r="L13" s="254"/>
      <c r="M13" s="254"/>
      <c r="N13" s="253"/>
      <c r="O13" s="254"/>
      <c r="P13" s="254"/>
      <c r="Q13" s="254"/>
      <c r="R13" s="254"/>
      <c r="S13" s="254"/>
      <c r="T13" s="254"/>
      <c r="U13" s="250"/>
      <c r="V13" s="250"/>
      <c r="W13" s="250"/>
      <c r="X13" s="250"/>
      <c r="Y13" s="250"/>
      <c r="Z13" s="250"/>
      <c r="AA13" s="250"/>
      <c r="AB13" s="250"/>
      <c r="AC13" s="250"/>
      <c r="AD13" s="250"/>
      <c r="AE13" s="250"/>
      <c r="AF13" s="250"/>
      <c r="AG13" s="250"/>
      <c r="AH13" s="250"/>
      <c r="AI13" s="250"/>
      <c r="AJ13" s="250"/>
      <c r="AK13" s="250"/>
      <c r="AL13" s="250"/>
      <c r="AM13" s="250"/>
      <c r="AN13" s="307">
        <v>7</v>
      </c>
    </row>
    <row r="14" spans="1:40" s="249" customFormat="1" x14ac:dyDescent="0.2">
      <c r="A14" s="251">
        <v>8</v>
      </c>
      <c r="B14" s="252"/>
      <c r="C14" s="132">
        <f t="shared" si="0"/>
        <v>0</v>
      </c>
      <c r="D14" s="254">
        <f t="shared" si="1"/>
        <v>0</v>
      </c>
      <c r="E14" s="250">
        <f t="shared" si="2"/>
        <v>0</v>
      </c>
      <c r="F14" s="255" t="str">
        <f t="shared" si="3"/>
        <v/>
      </c>
      <c r="G14" s="307">
        <v>8</v>
      </c>
      <c r="H14" s="254"/>
      <c r="I14" s="254"/>
      <c r="J14" s="254"/>
      <c r="K14" s="254"/>
      <c r="L14" s="254"/>
      <c r="M14" s="254"/>
      <c r="N14" s="254"/>
      <c r="O14" s="253"/>
      <c r="P14" s="254"/>
      <c r="Q14" s="254"/>
      <c r="R14" s="254"/>
      <c r="S14" s="254"/>
      <c r="T14" s="254"/>
      <c r="U14" s="250"/>
      <c r="V14" s="250"/>
      <c r="W14" s="250"/>
      <c r="X14" s="250"/>
      <c r="Y14" s="250"/>
      <c r="Z14" s="250"/>
      <c r="AA14" s="250"/>
      <c r="AB14" s="250"/>
      <c r="AC14" s="250"/>
      <c r="AD14" s="250"/>
      <c r="AE14" s="250"/>
      <c r="AF14" s="250"/>
      <c r="AG14" s="250"/>
      <c r="AH14" s="250"/>
      <c r="AI14" s="250"/>
      <c r="AJ14" s="250"/>
      <c r="AK14" s="250"/>
      <c r="AL14" s="250"/>
      <c r="AM14" s="250"/>
      <c r="AN14" s="307">
        <v>8</v>
      </c>
    </row>
    <row r="15" spans="1:40" s="249" customFormat="1" x14ac:dyDescent="0.2">
      <c r="A15" s="251">
        <v>9</v>
      </c>
      <c r="B15" s="252"/>
      <c r="C15" s="132">
        <f t="shared" si="0"/>
        <v>0</v>
      </c>
      <c r="D15" s="254">
        <f t="shared" si="1"/>
        <v>0</v>
      </c>
      <c r="E15" s="250">
        <f t="shared" si="2"/>
        <v>0</v>
      </c>
      <c r="F15" s="255" t="str">
        <f t="shared" si="3"/>
        <v/>
      </c>
      <c r="G15" s="307">
        <v>9</v>
      </c>
      <c r="H15" s="254"/>
      <c r="I15" s="254"/>
      <c r="J15" s="254"/>
      <c r="K15" s="254"/>
      <c r="L15" s="254"/>
      <c r="M15" s="254"/>
      <c r="N15" s="254"/>
      <c r="O15" s="254"/>
      <c r="P15" s="253"/>
      <c r="Q15" s="254"/>
      <c r="R15" s="254"/>
      <c r="S15" s="254"/>
      <c r="T15" s="254"/>
      <c r="U15" s="250"/>
      <c r="V15" s="250"/>
      <c r="W15" s="250"/>
      <c r="X15" s="250"/>
      <c r="Y15" s="250"/>
      <c r="Z15" s="250"/>
      <c r="AA15" s="250"/>
      <c r="AB15" s="250"/>
      <c r="AC15" s="250"/>
      <c r="AD15" s="250"/>
      <c r="AE15" s="250"/>
      <c r="AF15" s="250"/>
      <c r="AG15" s="250"/>
      <c r="AH15" s="250"/>
      <c r="AI15" s="250"/>
      <c r="AJ15" s="250"/>
      <c r="AK15" s="250"/>
      <c r="AL15" s="250"/>
      <c r="AM15" s="250"/>
      <c r="AN15" s="307">
        <v>9</v>
      </c>
    </row>
    <row r="16" spans="1:40" s="249" customFormat="1" x14ac:dyDescent="0.2">
      <c r="A16" s="251">
        <v>10</v>
      </c>
      <c r="B16" s="252"/>
      <c r="C16" s="132">
        <f t="shared" si="0"/>
        <v>0</v>
      </c>
      <c r="D16" s="254">
        <f t="shared" si="1"/>
        <v>0</v>
      </c>
      <c r="E16" s="250">
        <f t="shared" si="2"/>
        <v>0</v>
      </c>
      <c r="F16" s="255" t="str">
        <f t="shared" si="3"/>
        <v/>
      </c>
      <c r="G16" s="307">
        <v>10</v>
      </c>
      <c r="H16" s="254"/>
      <c r="I16" s="254"/>
      <c r="J16" s="254"/>
      <c r="K16" s="254"/>
      <c r="L16" s="254"/>
      <c r="M16" s="254"/>
      <c r="N16" s="254"/>
      <c r="O16" s="254"/>
      <c r="P16" s="254"/>
      <c r="Q16" s="253"/>
      <c r="R16" s="254"/>
      <c r="S16" s="254"/>
      <c r="T16" s="254"/>
      <c r="U16" s="250"/>
      <c r="V16" s="250"/>
      <c r="W16" s="250"/>
      <c r="X16" s="250"/>
      <c r="Y16" s="250"/>
      <c r="Z16" s="250"/>
      <c r="AA16" s="250"/>
      <c r="AB16" s="250"/>
      <c r="AC16" s="250"/>
      <c r="AD16" s="250"/>
      <c r="AE16" s="250"/>
      <c r="AF16" s="250"/>
      <c r="AG16" s="250"/>
      <c r="AH16" s="250"/>
      <c r="AI16" s="250"/>
      <c r="AJ16" s="250"/>
      <c r="AK16" s="250"/>
      <c r="AL16" s="250"/>
      <c r="AM16" s="250"/>
      <c r="AN16" s="307">
        <v>10</v>
      </c>
    </row>
    <row r="17" spans="1:40" s="249" customFormat="1" x14ac:dyDescent="0.2">
      <c r="A17" s="251">
        <v>11</v>
      </c>
      <c r="B17" s="252"/>
      <c r="C17" s="132">
        <f t="shared" si="0"/>
        <v>0</v>
      </c>
      <c r="D17" s="254">
        <f t="shared" si="1"/>
        <v>0</v>
      </c>
      <c r="E17" s="250">
        <f t="shared" si="2"/>
        <v>0</v>
      </c>
      <c r="F17" s="255" t="str">
        <f t="shared" si="3"/>
        <v/>
      </c>
      <c r="G17" s="307">
        <v>11</v>
      </c>
      <c r="H17" s="254"/>
      <c r="I17" s="254"/>
      <c r="J17" s="254"/>
      <c r="K17" s="254"/>
      <c r="L17" s="254"/>
      <c r="M17" s="254"/>
      <c r="N17" s="254"/>
      <c r="O17" s="254"/>
      <c r="P17" s="254"/>
      <c r="Q17" s="254"/>
      <c r="R17" s="253"/>
      <c r="S17" s="254"/>
      <c r="T17" s="254"/>
      <c r="U17" s="250"/>
      <c r="V17" s="250"/>
      <c r="W17" s="250"/>
      <c r="X17" s="250"/>
      <c r="Y17" s="250"/>
      <c r="Z17" s="250"/>
      <c r="AA17" s="250"/>
      <c r="AB17" s="250"/>
      <c r="AC17" s="250"/>
      <c r="AD17" s="250"/>
      <c r="AE17" s="250"/>
      <c r="AF17" s="250"/>
      <c r="AG17" s="250"/>
      <c r="AH17" s="250"/>
      <c r="AI17" s="250"/>
      <c r="AJ17" s="250"/>
      <c r="AK17" s="250"/>
      <c r="AL17" s="250"/>
      <c r="AM17" s="250"/>
      <c r="AN17" s="307">
        <v>11</v>
      </c>
    </row>
    <row r="18" spans="1:40" s="249" customFormat="1" x14ac:dyDescent="0.2">
      <c r="A18" s="251">
        <v>12</v>
      </c>
      <c r="B18" s="252"/>
      <c r="C18" s="132">
        <f t="shared" si="0"/>
        <v>0</v>
      </c>
      <c r="D18" s="254">
        <f t="shared" si="1"/>
        <v>0</v>
      </c>
      <c r="E18" s="250">
        <f t="shared" si="2"/>
        <v>0</v>
      </c>
      <c r="F18" s="255" t="str">
        <f t="shared" si="3"/>
        <v/>
      </c>
      <c r="G18" s="307">
        <v>12</v>
      </c>
      <c r="H18" s="254"/>
      <c r="I18" s="254"/>
      <c r="J18" s="254"/>
      <c r="K18" s="254"/>
      <c r="L18" s="254"/>
      <c r="M18" s="254"/>
      <c r="N18" s="254"/>
      <c r="O18" s="254"/>
      <c r="P18" s="254"/>
      <c r="Q18" s="254"/>
      <c r="R18" s="254"/>
      <c r="S18" s="253"/>
      <c r="T18" s="254"/>
      <c r="U18" s="250"/>
      <c r="V18" s="250"/>
      <c r="W18" s="250"/>
      <c r="X18" s="250"/>
      <c r="Y18" s="250"/>
      <c r="Z18" s="250"/>
      <c r="AA18" s="250"/>
      <c r="AB18" s="250"/>
      <c r="AC18" s="250"/>
      <c r="AD18" s="250"/>
      <c r="AE18" s="250"/>
      <c r="AF18" s="250"/>
      <c r="AG18" s="250"/>
      <c r="AH18" s="250"/>
      <c r="AI18" s="250"/>
      <c r="AJ18" s="250"/>
      <c r="AK18" s="250"/>
      <c r="AL18" s="250"/>
      <c r="AM18" s="250"/>
      <c r="AN18" s="307">
        <v>12</v>
      </c>
    </row>
    <row r="19" spans="1:40" s="249" customFormat="1" x14ac:dyDescent="0.2">
      <c r="A19" s="251">
        <v>13</v>
      </c>
      <c r="B19" s="252"/>
      <c r="C19" s="132">
        <f t="shared" si="0"/>
        <v>0</v>
      </c>
      <c r="D19" s="254">
        <f t="shared" si="1"/>
        <v>0</v>
      </c>
      <c r="E19" s="250">
        <f t="shared" si="2"/>
        <v>0</v>
      </c>
      <c r="F19" s="255" t="str">
        <f t="shared" si="3"/>
        <v/>
      </c>
      <c r="G19" s="307">
        <v>13</v>
      </c>
      <c r="H19" s="254"/>
      <c r="I19" s="254"/>
      <c r="J19" s="254"/>
      <c r="K19" s="254"/>
      <c r="L19" s="254"/>
      <c r="M19" s="254"/>
      <c r="N19" s="254"/>
      <c r="O19" s="254"/>
      <c r="P19" s="254"/>
      <c r="Q19" s="254"/>
      <c r="R19" s="254"/>
      <c r="S19" s="254"/>
      <c r="T19" s="253"/>
      <c r="U19" s="250"/>
      <c r="V19" s="250"/>
      <c r="W19" s="250"/>
      <c r="X19" s="250"/>
      <c r="Y19" s="250"/>
      <c r="Z19" s="250"/>
      <c r="AA19" s="250"/>
      <c r="AB19" s="250"/>
      <c r="AC19" s="250"/>
      <c r="AD19" s="250"/>
      <c r="AE19" s="250"/>
      <c r="AF19" s="250"/>
      <c r="AG19" s="250"/>
      <c r="AH19" s="250"/>
      <c r="AI19" s="250"/>
      <c r="AJ19" s="250"/>
      <c r="AK19" s="250"/>
      <c r="AL19" s="250"/>
      <c r="AM19" s="250"/>
      <c r="AN19" s="307">
        <v>13</v>
      </c>
    </row>
    <row r="20" spans="1:40" s="249" customFormat="1" x14ac:dyDescent="0.2">
      <c r="A20" s="251">
        <v>14</v>
      </c>
      <c r="B20" s="252"/>
      <c r="C20" s="132">
        <f t="shared" si="0"/>
        <v>0</v>
      </c>
      <c r="D20" s="254">
        <f t="shared" si="1"/>
        <v>0</v>
      </c>
      <c r="E20" s="250">
        <f t="shared" si="2"/>
        <v>0</v>
      </c>
      <c r="F20" s="255" t="str">
        <f t="shared" si="3"/>
        <v/>
      </c>
      <c r="G20" s="307">
        <v>14</v>
      </c>
      <c r="H20" s="254"/>
      <c r="I20" s="250"/>
      <c r="J20" s="250"/>
      <c r="K20" s="250"/>
      <c r="L20" s="250"/>
      <c r="M20" s="250"/>
      <c r="N20" s="250"/>
      <c r="O20" s="250"/>
      <c r="P20" s="250"/>
      <c r="Q20" s="250"/>
      <c r="R20" s="250"/>
      <c r="S20" s="250"/>
      <c r="T20" s="250"/>
      <c r="U20" s="253"/>
      <c r="V20" s="250"/>
      <c r="W20" s="250"/>
      <c r="X20" s="250"/>
      <c r="Y20" s="250"/>
      <c r="Z20" s="250"/>
      <c r="AA20" s="250"/>
      <c r="AB20" s="250"/>
      <c r="AC20" s="250"/>
      <c r="AD20" s="250"/>
      <c r="AE20" s="250"/>
      <c r="AF20" s="250"/>
      <c r="AG20" s="250"/>
      <c r="AH20" s="250"/>
      <c r="AI20" s="250"/>
      <c r="AJ20" s="250"/>
      <c r="AK20" s="250"/>
      <c r="AL20" s="250"/>
      <c r="AM20" s="250"/>
      <c r="AN20" s="307">
        <v>14</v>
      </c>
    </row>
    <row r="21" spans="1:40" s="249" customFormat="1" x14ac:dyDescent="0.2">
      <c r="A21" s="251">
        <v>15</v>
      </c>
      <c r="B21" s="252"/>
      <c r="C21" s="132">
        <f t="shared" si="0"/>
        <v>0</v>
      </c>
      <c r="D21" s="254">
        <f t="shared" si="1"/>
        <v>0</v>
      </c>
      <c r="E21" s="250">
        <f t="shared" si="2"/>
        <v>0</v>
      </c>
      <c r="F21" s="255" t="str">
        <f t="shared" si="3"/>
        <v/>
      </c>
      <c r="G21" s="307">
        <v>15</v>
      </c>
      <c r="H21" s="254"/>
      <c r="I21" s="250"/>
      <c r="J21" s="250"/>
      <c r="K21" s="250"/>
      <c r="L21" s="250"/>
      <c r="M21" s="250"/>
      <c r="N21" s="250"/>
      <c r="O21" s="250"/>
      <c r="P21" s="250"/>
      <c r="Q21" s="250"/>
      <c r="R21" s="250"/>
      <c r="S21" s="250"/>
      <c r="T21" s="250"/>
      <c r="U21" s="250"/>
      <c r="V21" s="253"/>
      <c r="W21" s="250"/>
      <c r="X21" s="250"/>
      <c r="Y21" s="250"/>
      <c r="Z21" s="250"/>
      <c r="AA21" s="250"/>
      <c r="AB21" s="250"/>
      <c r="AC21" s="250"/>
      <c r="AD21" s="250"/>
      <c r="AE21" s="250"/>
      <c r="AF21" s="250"/>
      <c r="AG21" s="250"/>
      <c r="AH21" s="250"/>
      <c r="AI21" s="250"/>
      <c r="AJ21" s="250"/>
      <c r="AK21" s="250"/>
      <c r="AL21" s="250"/>
      <c r="AM21" s="250"/>
      <c r="AN21" s="307">
        <v>15</v>
      </c>
    </row>
    <row r="22" spans="1:40" s="249" customFormat="1" x14ac:dyDescent="0.2">
      <c r="A22" s="251">
        <v>16</v>
      </c>
      <c r="B22" s="252"/>
      <c r="C22" s="132">
        <f t="shared" si="0"/>
        <v>0</v>
      </c>
      <c r="D22" s="254">
        <f t="shared" si="1"/>
        <v>0</v>
      </c>
      <c r="E22" s="250">
        <f t="shared" si="2"/>
        <v>0</v>
      </c>
      <c r="F22" s="255" t="str">
        <f t="shared" si="3"/>
        <v/>
      </c>
      <c r="G22" s="307">
        <v>16</v>
      </c>
      <c r="H22" s="254"/>
      <c r="I22" s="250"/>
      <c r="J22" s="250"/>
      <c r="K22" s="250"/>
      <c r="L22" s="250"/>
      <c r="M22" s="250"/>
      <c r="N22" s="250"/>
      <c r="O22" s="250"/>
      <c r="P22" s="250"/>
      <c r="Q22" s="250"/>
      <c r="R22" s="250"/>
      <c r="S22" s="250"/>
      <c r="T22" s="250"/>
      <c r="U22" s="250"/>
      <c r="V22" s="250"/>
      <c r="W22" s="253"/>
      <c r="X22" s="254"/>
      <c r="Y22" s="250"/>
      <c r="Z22" s="250"/>
      <c r="AA22" s="250"/>
      <c r="AB22" s="250"/>
      <c r="AC22" s="250"/>
      <c r="AD22" s="250"/>
      <c r="AE22" s="250"/>
      <c r="AF22" s="250"/>
      <c r="AG22" s="250"/>
      <c r="AH22" s="250"/>
      <c r="AI22" s="250"/>
      <c r="AJ22" s="250"/>
      <c r="AK22" s="250"/>
      <c r="AL22" s="250"/>
      <c r="AM22" s="250"/>
      <c r="AN22" s="307">
        <v>16</v>
      </c>
    </row>
    <row r="23" spans="1:40" s="249" customFormat="1" x14ac:dyDescent="0.2">
      <c r="A23" s="251">
        <v>17</v>
      </c>
      <c r="B23" s="252"/>
      <c r="C23" s="132">
        <f t="shared" si="0"/>
        <v>0</v>
      </c>
      <c r="D23" s="254">
        <f t="shared" si="1"/>
        <v>0</v>
      </c>
      <c r="E23" s="250">
        <f t="shared" si="2"/>
        <v>0</v>
      </c>
      <c r="F23" s="255" t="str">
        <f t="shared" si="3"/>
        <v/>
      </c>
      <c r="G23" s="307">
        <v>17</v>
      </c>
      <c r="H23" s="254"/>
      <c r="I23" s="250"/>
      <c r="J23" s="250"/>
      <c r="K23" s="250"/>
      <c r="L23" s="250"/>
      <c r="M23" s="250"/>
      <c r="N23" s="250"/>
      <c r="O23" s="250"/>
      <c r="P23" s="250"/>
      <c r="Q23" s="250"/>
      <c r="R23" s="250"/>
      <c r="S23" s="250"/>
      <c r="T23" s="250"/>
      <c r="U23" s="250"/>
      <c r="V23" s="250"/>
      <c r="W23" s="250"/>
      <c r="X23" s="253"/>
      <c r="Y23" s="250"/>
      <c r="Z23" s="250"/>
      <c r="AA23" s="250"/>
      <c r="AB23" s="250"/>
      <c r="AC23" s="250"/>
      <c r="AD23" s="250"/>
      <c r="AE23" s="250"/>
      <c r="AF23" s="250"/>
      <c r="AG23" s="250"/>
      <c r="AH23" s="250"/>
      <c r="AI23" s="250"/>
      <c r="AJ23" s="250"/>
      <c r="AK23" s="250"/>
      <c r="AL23" s="250"/>
      <c r="AM23" s="250"/>
      <c r="AN23" s="307">
        <v>17</v>
      </c>
    </row>
    <row r="24" spans="1:40" s="249" customFormat="1" x14ac:dyDescent="0.2">
      <c r="A24" s="251">
        <v>18</v>
      </c>
      <c r="B24" s="252"/>
      <c r="C24" s="132">
        <f t="shared" si="0"/>
        <v>0</v>
      </c>
      <c r="D24" s="254">
        <f t="shared" si="1"/>
        <v>0</v>
      </c>
      <c r="E24" s="250">
        <f t="shared" si="2"/>
        <v>0</v>
      </c>
      <c r="F24" s="255" t="str">
        <f t="shared" si="3"/>
        <v/>
      </c>
      <c r="G24" s="307">
        <v>18</v>
      </c>
      <c r="H24" s="254"/>
      <c r="I24" s="250"/>
      <c r="J24" s="250"/>
      <c r="K24" s="250"/>
      <c r="L24" s="250"/>
      <c r="M24" s="250"/>
      <c r="N24" s="250"/>
      <c r="O24" s="250"/>
      <c r="P24" s="250"/>
      <c r="Q24" s="250"/>
      <c r="R24" s="250"/>
      <c r="S24" s="250"/>
      <c r="T24" s="250"/>
      <c r="U24" s="250"/>
      <c r="V24" s="250"/>
      <c r="W24" s="250"/>
      <c r="X24" s="250"/>
      <c r="Y24" s="253"/>
      <c r="Z24" s="250"/>
      <c r="AA24" s="250"/>
      <c r="AB24" s="250"/>
      <c r="AC24" s="250"/>
      <c r="AD24" s="250"/>
      <c r="AE24" s="250"/>
      <c r="AF24" s="250"/>
      <c r="AG24" s="250"/>
      <c r="AH24" s="250"/>
      <c r="AI24" s="250"/>
      <c r="AJ24" s="250"/>
      <c r="AK24" s="250"/>
      <c r="AL24" s="250"/>
      <c r="AM24" s="250"/>
      <c r="AN24" s="307">
        <v>18</v>
      </c>
    </row>
    <row r="25" spans="1:40" s="249" customFormat="1" x14ac:dyDescent="0.2">
      <c r="A25" s="251">
        <v>19</v>
      </c>
      <c r="B25" s="252"/>
      <c r="C25" s="132">
        <f t="shared" si="0"/>
        <v>0</v>
      </c>
      <c r="D25" s="254">
        <f t="shared" si="1"/>
        <v>0</v>
      </c>
      <c r="E25" s="250">
        <f t="shared" si="2"/>
        <v>0</v>
      </c>
      <c r="F25" s="255" t="str">
        <f t="shared" si="3"/>
        <v/>
      </c>
      <c r="G25" s="307">
        <v>19</v>
      </c>
      <c r="H25" s="254"/>
      <c r="I25" s="250"/>
      <c r="J25" s="250"/>
      <c r="K25" s="250"/>
      <c r="L25" s="250"/>
      <c r="M25" s="250"/>
      <c r="N25" s="250"/>
      <c r="O25" s="250"/>
      <c r="P25" s="250"/>
      <c r="Q25" s="250"/>
      <c r="R25" s="250"/>
      <c r="S25" s="250"/>
      <c r="T25" s="250"/>
      <c r="U25" s="250"/>
      <c r="V25" s="250"/>
      <c r="W25" s="250"/>
      <c r="X25" s="250"/>
      <c r="Y25" s="250"/>
      <c r="Z25" s="253"/>
      <c r="AA25" s="250"/>
      <c r="AB25" s="250"/>
      <c r="AC25" s="250"/>
      <c r="AD25" s="250"/>
      <c r="AE25" s="250"/>
      <c r="AF25" s="250"/>
      <c r="AG25" s="250"/>
      <c r="AH25" s="250"/>
      <c r="AI25" s="250"/>
      <c r="AJ25" s="250"/>
      <c r="AK25" s="250"/>
      <c r="AL25" s="250"/>
      <c r="AM25" s="250"/>
      <c r="AN25" s="307">
        <v>19</v>
      </c>
    </row>
    <row r="26" spans="1:40" s="249" customFormat="1" x14ac:dyDescent="0.2">
      <c r="A26" s="251">
        <v>20</v>
      </c>
      <c r="B26" s="252"/>
      <c r="C26" s="132">
        <f t="shared" si="0"/>
        <v>0</v>
      </c>
      <c r="D26" s="254">
        <f t="shared" si="1"/>
        <v>0</v>
      </c>
      <c r="E26" s="250">
        <f t="shared" si="2"/>
        <v>0</v>
      </c>
      <c r="F26" s="255" t="str">
        <f t="shared" si="3"/>
        <v/>
      </c>
      <c r="G26" s="307">
        <v>20</v>
      </c>
      <c r="H26" s="254"/>
      <c r="I26" s="250"/>
      <c r="J26" s="250"/>
      <c r="K26" s="250"/>
      <c r="L26" s="250"/>
      <c r="M26" s="250"/>
      <c r="N26" s="250"/>
      <c r="O26" s="250"/>
      <c r="P26" s="250"/>
      <c r="Q26" s="250"/>
      <c r="R26" s="250"/>
      <c r="S26" s="250"/>
      <c r="T26" s="250"/>
      <c r="U26" s="250"/>
      <c r="V26" s="250"/>
      <c r="W26" s="250"/>
      <c r="X26" s="250"/>
      <c r="Y26" s="250"/>
      <c r="Z26" s="250"/>
      <c r="AA26" s="253"/>
      <c r="AB26" s="250"/>
      <c r="AC26" s="250"/>
      <c r="AD26" s="250"/>
      <c r="AE26" s="250"/>
      <c r="AF26" s="250"/>
      <c r="AG26" s="250"/>
      <c r="AH26" s="250"/>
      <c r="AI26" s="250"/>
      <c r="AJ26" s="250"/>
      <c r="AK26" s="250"/>
      <c r="AL26" s="250"/>
      <c r="AM26" s="250"/>
      <c r="AN26" s="307">
        <v>20</v>
      </c>
    </row>
    <row r="27" spans="1:40" s="249" customFormat="1" x14ac:dyDescent="0.2">
      <c r="A27" s="251">
        <v>21</v>
      </c>
      <c r="B27" s="252"/>
      <c r="C27" s="132">
        <f t="shared" si="0"/>
        <v>0</v>
      </c>
      <c r="D27" s="254">
        <f t="shared" si="1"/>
        <v>0</v>
      </c>
      <c r="E27" s="250">
        <f t="shared" si="2"/>
        <v>0</v>
      </c>
      <c r="F27" s="255" t="str">
        <f t="shared" si="3"/>
        <v/>
      </c>
      <c r="G27" s="307">
        <v>21</v>
      </c>
      <c r="H27" s="254"/>
      <c r="I27" s="250"/>
      <c r="J27" s="250"/>
      <c r="K27" s="250"/>
      <c r="L27" s="250"/>
      <c r="M27" s="250"/>
      <c r="N27" s="250"/>
      <c r="O27" s="250"/>
      <c r="P27" s="250"/>
      <c r="Q27" s="250"/>
      <c r="R27" s="250"/>
      <c r="S27" s="250"/>
      <c r="T27" s="250"/>
      <c r="U27" s="250"/>
      <c r="V27" s="250"/>
      <c r="W27" s="250"/>
      <c r="X27" s="250"/>
      <c r="Y27" s="250"/>
      <c r="Z27" s="250"/>
      <c r="AA27" s="250"/>
      <c r="AB27" s="253"/>
      <c r="AC27" s="250"/>
      <c r="AD27" s="250"/>
      <c r="AE27" s="250"/>
      <c r="AF27" s="250"/>
      <c r="AG27" s="250"/>
      <c r="AH27" s="250"/>
      <c r="AI27" s="250"/>
      <c r="AJ27" s="254"/>
      <c r="AK27" s="250"/>
      <c r="AL27" s="250"/>
      <c r="AM27" s="250"/>
      <c r="AN27" s="307">
        <v>21</v>
      </c>
    </row>
    <row r="28" spans="1:40" s="249" customFormat="1" x14ac:dyDescent="0.2">
      <c r="A28" s="251">
        <v>22</v>
      </c>
      <c r="B28" s="252"/>
      <c r="C28" s="132">
        <f t="shared" si="0"/>
        <v>0</v>
      </c>
      <c r="D28" s="254">
        <f t="shared" si="1"/>
        <v>0</v>
      </c>
      <c r="E28" s="250">
        <f t="shared" si="2"/>
        <v>0</v>
      </c>
      <c r="F28" s="255" t="str">
        <f t="shared" si="3"/>
        <v/>
      </c>
      <c r="G28" s="307">
        <v>22</v>
      </c>
      <c r="H28" s="254"/>
      <c r="I28" s="250"/>
      <c r="J28" s="250"/>
      <c r="K28" s="250"/>
      <c r="L28" s="250"/>
      <c r="M28" s="250"/>
      <c r="N28" s="250"/>
      <c r="O28" s="250"/>
      <c r="P28" s="250"/>
      <c r="Q28" s="250"/>
      <c r="R28" s="250"/>
      <c r="S28" s="250"/>
      <c r="T28" s="250"/>
      <c r="U28" s="250"/>
      <c r="V28" s="250"/>
      <c r="W28" s="250"/>
      <c r="X28" s="250"/>
      <c r="Y28" s="250"/>
      <c r="Z28" s="250"/>
      <c r="AA28" s="250"/>
      <c r="AB28" s="250"/>
      <c r="AC28" s="253"/>
      <c r="AD28" s="250"/>
      <c r="AE28" s="250"/>
      <c r="AF28" s="250"/>
      <c r="AG28" s="250"/>
      <c r="AH28" s="250"/>
      <c r="AI28" s="250"/>
      <c r="AJ28" s="254"/>
      <c r="AK28" s="250"/>
      <c r="AL28" s="250"/>
      <c r="AM28" s="250"/>
      <c r="AN28" s="307">
        <v>22</v>
      </c>
    </row>
    <row r="29" spans="1:40" s="249" customFormat="1" x14ac:dyDescent="0.2">
      <c r="A29" s="251">
        <v>23</v>
      </c>
      <c r="B29" s="252"/>
      <c r="C29" s="132">
        <f t="shared" si="0"/>
        <v>0</v>
      </c>
      <c r="D29" s="254">
        <f t="shared" si="1"/>
        <v>0</v>
      </c>
      <c r="E29" s="250">
        <f t="shared" si="2"/>
        <v>0</v>
      </c>
      <c r="F29" s="255" t="str">
        <f t="shared" si="3"/>
        <v/>
      </c>
      <c r="G29" s="307">
        <v>23</v>
      </c>
      <c r="H29" s="254"/>
      <c r="I29" s="250"/>
      <c r="J29" s="250"/>
      <c r="K29" s="250"/>
      <c r="L29" s="250"/>
      <c r="M29" s="250"/>
      <c r="N29" s="250"/>
      <c r="O29" s="250"/>
      <c r="P29" s="250"/>
      <c r="Q29" s="250"/>
      <c r="R29" s="250"/>
      <c r="S29" s="250"/>
      <c r="T29" s="250"/>
      <c r="U29" s="250"/>
      <c r="V29" s="250"/>
      <c r="W29" s="250"/>
      <c r="X29" s="250"/>
      <c r="Y29" s="250"/>
      <c r="Z29" s="250"/>
      <c r="AA29" s="250"/>
      <c r="AB29" s="250"/>
      <c r="AC29" s="250"/>
      <c r="AD29" s="253"/>
      <c r="AE29" s="250"/>
      <c r="AF29" s="250"/>
      <c r="AG29" s="250"/>
      <c r="AH29" s="250"/>
      <c r="AI29" s="250"/>
      <c r="AJ29" s="254"/>
      <c r="AK29" s="250"/>
      <c r="AL29" s="250"/>
      <c r="AM29" s="250"/>
      <c r="AN29" s="307">
        <v>23</v>
      </c>
    </row>
    <row r="30" spans="1:40" s="249" customFormat="1" x14ac:dyDescent="0.2">
      <c r="A30" s="251">
        <v>24</v>
      </c>
      <c r="B30" s="252"/>
      <c r="C30" s="132">
        <f t="shared" si="0"/>
        <v>0</v>
      </c>
      <c r="D30" s="254">
        <f t="shared" si="1"/>
        <v>0</v>
      </c>
      <c r="E30" s="250">
        <f t="shared" si="2"/>
        <v>0</v>
      </c>
      <c r="F30" s="255" t="str">
        <f t="shared" si="3"/>
        <v/>
      </c>
      <c r="G30" s="307">
        <v>24</v>
      </c>
      <c r="H30" s="254"/>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3"/>
      <c r="AF30" s="250"/>
      <c r="AG30" s="250"/>
      <c r="AH30" s="250"/>
      <c r="AI30" s="250"/>
      <c r="AJ30" s="254"/>
      <c r="AK30" s="250"/>
      <c r="AL30" s="250"/>
      <c r="AM30" s="250"/>
      <c r="AN30" s="307">
        <v>24</v>
      </c>
    </row>
    <row r="31" spans="1:40" s="249" customFormat="1" x14ac:dyDescent="0.2">
      <c r="A31" s="251">
        <v>25</v>
      </c>
      <c r="B31" s="252"/>
      <c r="C31" s="132">
        <f t="shared" si="0"/>
        <v>0</v>
      </c>
      <c r="D31" s="254">
        <f t="shared" si="1"/>
        <v>0</v>
      </c>
      <c r="E31" s="250">
        <f t="shared" si="2"/>
        <v>0</v>
      </c>
      <c r="F31" s="255" t="str">
        <f t="shared" si="3"/>
        <v/>
      </c>
      <c r="G31" s="307">
        <v>25</v>
      </c>
      <c r="H31" s="254"/>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3"/>
      <c r="AG31" s="250"/>
      <c r="AH31" s="250"/>
      <c r="AI31" s="250"/>
      <c r="AJ31" s="254"/>
      <c r="AK31" s="250"/>
      <c r="AL31" s="250"/>
      <c r="AM31" s="250"/>
      <c r="AN31" s="307">
        <v>25</v>
      </c>
    </row>
    <row r="32" spans="1:40" s="249" customFormat="1" x14ac:dyDescent="0.2">
      <c r="A32" s="251">
        <v>26</v>
      </c>
      <c r="B32" s="252"/>
      <c r="C32" s="132">
        <f t="shared" si="0"/>
        <v>0</v>
      </c>
      <c r="D32" s="254">
        <f t="shared" si="1"/>
        <v>0</v>
      </c>
      <c r="E32" s="250">
        <f t="shared" si="2"/>
        <v>0</v>
      </c>
      <c r="F32" s="255" t="str">
        <f t="shared" si="3"/>
        <v/>
      </c>
      <c r="G32" s="307">
        <v>26</v>
      </c>
      <c r="H32" s="254"/>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3"/>
      <c r="AH32" s="250"/>
      <c r="AI32" s="250"/>
      <c r="AJ32" s="254"/>
      <c r="AK32" s="250"/>
      <c r="AL32" s="250"/>
      <c r="AM32" s="250"/>
      <c r="AN32" s="307">
        <v>26</v>
      </c>
    </row>
    <row r="33" spans="1:40" s="249" customFormat="1" x14ac:dyDescent="0.2">
      <c r="A33" s="251">
        <v>27</v>
      </c>
      <c r="B33" s="252"/>
      <c r="C33" s="132">
        <f t="shared" si="0"/>
        <v>0</v>
      </c>
      <c r="D33" s="254">
        <f t="shared" si="1"/>
        <v>0</v>
      </c>
      <c r="E33" s="250">
        <f t="shared" si="2"/>
        <v>0</v>
      </c>
      <c r="F33" s="255" t="str">
        <f t="shared" si="3"/>
        <v/>
      </c>
      <c r="G33" s="307">
        <v>27</v>
      </c>
      <c r="H33" s="254"/>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3"/>
      <c r="AI33" s="250"/>
      <c r="AJ33" s="254"/>
      <c r="AK33" s="250"/>
      <c r="AL33" s="250"/>
      <c r="AM33" s="250"/>
      <c r="AN33" s="307">
        <v>27</v>
      </c>
    </row>
    <row r="34" spans="1:40" s="249" customFormat="1" x14ac:dyDescent="0.2">
      <c r="A34" s="251">
        <v>28</v>
      </c>
      <c r="B34" s="256"/>
      <c r="C34" s="132">
        <f t="shared" si="0"/>
        <v>0</v>
      </c>
      <c r="D34" s="254">
        <f t="shared" si="1"/>
        <v>0</v>
      </c>
      <c r="E34" s="250">
        <f t="shared" si="2"/>
        <v>0</v>
      </c>
      <c r="F34" s="255" t="str">
        <f t="shared" si="3"/>
        <v/>
      </c>
      <c r="G34" s="307">
        <v>28</v>
      </c>
      <c r="H34" s="254"/>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3"/>
      <c r="AJ34" s="254"/>
      <c r="AK34" s="250"/>
      <c r="AL34" s="250"/>
      <c r="AM34" s="250"/>
      <c r="AN34" s="307">
        <v>28</v>
      </c>
    </row>
    <row r="35" spans="1:40" s="249" customFormat="1" x14ac:dyDescent="0.2">
      <c r="A35" s="251">
        <v>29</v>
      </c>
      <c r="B35" s="256"/>
      <c r="C35" s="132">
        <f t="shared" si="0"/>
        <v>0</v>
      </c>
      <c r="D35" s="254">
        <f t="shared" si="1"/>
        <v>0</v>
      </c>
      <c r="E35" s="250">
        <f t="shared" si="2"/>
        <v>0</v>
      </c>
      <c r="F35" s="255" t="str">
        <f t="shared" si="3"/>
        <v/>
      </c>
      <c r="G35" s="307">
        <v>29</v>
      </c>
      <c r="H35" s="254"/>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3"/>
      <c r="AK35" s="254"/>
      <c r="AL35" s="254"/>
      <c r="AM35" s="254"/>
      <c r="AN35" s="307">
        <v>29</v>
      </c>
    </row>
    <row r="36" spans="1:40" s="249" customFormat="1" x14ac:dyDescent="0.2">
      <c r="A36" s="251">
        <v>30</v>
      </c>
      <c r="B36" s="256"/>
      <c r="C36" s="132">
        <f t="shared" si="0"/>
        <v>0</v>
      </c>
      <c r="D36" s="254">
        <f t="shared" si="1"/>
        <v>0</v>
      </c>
      <c r="E36" s="250">
        <f t="shared" si="2"/>
        <v>0</v>
      </c>
      <c r="F36" s="255" t="str">
        <f t="shared" si="3"/>
        <v/>
      </c>
      <c r="G36" s="307">
        <v>30</v>
      </c>
      <c r="H36" s="254"/>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4"/>
      <c r="AK36" s="253"/>
      <c r="AL36" s="254"/>
      <c r="AM36" s="254"/>
      <c r="AN36" s="307">
        <v>30</v>
      </c>
    </row>
    <row r="37" spans="1:40" s="249" customFormat="1" x14ac:dyDescent="0.2">
      <c r="A37" s="251">
        <v>31</v>
      </c>
      <c r="B37" s="256"/>
      <c r="C37" s="132">
        <f t="shared" si="0"/>
        <v>0</v>
      </c>
      <c r="D37" s="254">
        <f t="shared" si="1"/>
        <v>0</v>
      </c>
      <c r="E37" s="250">
        <f t="shared" si="2"/>
        <v>0</v>
      </c>
      <c r="F37" s="255" t="str">
        <f t="shared" si="3"/>
        <v/>
      </c>
      <c r="G37" s="307">
        <v>31</v>
      </c>
      <c r="H37" s="254"/>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4"/>
      <c r="AK37" s="254"/>
      <c r="AL37" s="253"/>
      <c r="AM37" s="254"/>
      <c r="AN37" s="307">
        <v>31</v>
      </c>
    </row>
    <row r="38" spans="1:40" s="249" customFormat="1" x14ac:dyDescent="0.2">
      <c r="A38" s="251">
        <v>32</v>
      </c>
      <c r="B38" s="256"/>
      <c r="C38" s="132">
        <f t="shared" si="0"/>
        <v>0</v>
      </c>
      <c r="D38" s="254">
        <f t="shared" si="1"/>
        <v>0</v>
      </c>
      <c r="E38" s="250">
        <f t="shared" si="2"/>
        <v>0</v>
      </c>
      <c r="F38" s="255" t="str">
        <f t="shared" si="3"/>
        <v/>
      </c>
      <c r="G38" s="307">
        <v>32</v>
      </c>
      <c r="H38" s="254"/>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4"/>
      <c r="AK38" s="254"/>
      <c r="AL38" s="254"/>
      <c r="AM38" s="253"/>
      <c r="AN38" s="307">
        <v>32</v>
      </c>
    </row>
    <row r="39" spans="1:40" s="249" customFormat="1" x14ac:dyDescent="0.2">
      <c r="A39" s="254" t="s">
        <v>143</v>
      </c>
      <c r="B39" s="306" t="s">
        <v>84</v>
      </c>
      <c r="C39" s="306" t="s">
        <v>144</v>
      </c>
      <c r="D39" s="306" t="s">
        <v>77</v>
      </c>
      <c r="E39" s="306" t="s">
        <v>146</v>
      </c>
      <c r="F39" s="306" t="s">
        <v>145</v>
      </c>
      <c r="G39" s="306" t="s">
        <v>143</v>
      </c>
      <c r="H39" s="306">
        <v>1</v>
      </c>
      <c r="I39" s="306">
        <v>2</v>
      </c>
      <c r="J39" s="306">
        <v>3</v>
      </c>
      <c r="K39" s="306">
        <v>4</v>
      </c>
      <c r="L39" s="306">
        <v>5</v>
      </c>
      <c r="M39" s="306">
        <v>6</v>
      </c>
      <c r="N39" s="306">
        <v>7</v>
      </c>
      <c r="O39" s="306">
        <v>8</v>
      </c>
      <c r="P39" s="306">
        <v>9</v>
      </c>
      <c r="Q39" s="306">
        <v>10</v>
      </c>
      <c r="R39" s="306">
        <v>11</v>
      </c>
      <c r="S39" s="306">
        <v>12</v>
      </c>
      <c r="T39" s="306">
        <v>13</v>
      </c>
      <c r="U39" s="306">
        <v>14</v>
      </c>
      <c r="V39" s="306">
        <v>15</v>
      </c>
      <c r="W39" s="306">
        <v>16</v>
      </c>
      <c r="X39" s="306">
        <v>17</v>
      </c>
      <c r="Y39" s="306">
        <v>18</v>
      </c>
      <c r="Z39" s="306">
        <v>19</v>
      </c>
      <c r="AA39" s="306">
        <v>20</v>
      </c>
      <c r="AB39" s="306">
        <v>21</v>
      </c>
      <c r="AC39" s="306">
        <v>22</v>
      </c>
      <c r="AD39" s="306">
        <v>23</v>
      </c>
      <c r="AE39" s="306">
        <v>24</v>
      </c>
      <c r="AF39" s="306">
        <v>25</v>
      </c>
      <c r="AG39" s="306">
        <v>26</v>
      </c>
      <c r="AH39" s="306">
        <v>27</v>
      </c>
      <c r="AI39" s="306">
        <v>28</v>
      </c>
      <c r="AJ39" s="306">
        <v>29</v>
      </c>
      <c r="AK39" s="306">
        <v>30</v>
      </c>
      <c r="AL39" s="306">
        <v>31</v>
      </c>
      <c r="AM39" s="306">
        <v>32</v>
      </c>
      <c r="AN39" s="306" t="s">
        <v>143</v>
      </c>
    </row>
    <row r="40" spans="1:40" x14ac:dyDescent="0.2">
      <c r="B40" s="259">
        <f>COUNTA(B7:B38)</f>
        <v>0</v>
      </c>
      <c r="C40" s="259"/>
      <c r="F40" s="259"/>
    </row>
    <row r="41" spans="1:40" x14ac:dyDescent="0.2">
      <c r="B41" s="259"/>
      <c r="C41" s="259"/>
      <c r="F41" s="259"/>
    </row>
    <row r="42" spans="1:40" x14ac:dyDescent="0.2">
      <c r="A42" s="151"/>
      <c r="B42" s="151" t="s">
        <v>533</v>
      </c>
      <c r="C42" s="408" t="s">
        <v>536</v>
      </c>
      <c r="F42" s="847" t="s">
        <v>447</v>
      </c>
      <c r="G42" s="839"/>
      <c r="H42" s="151"/>
      <c r="K42" s="408"/>
      <c r="P42" s="848" t="s">
        <v>535</v>
      </c>
      <c r="V42" s="408"/>
    </row>
    <row r="43" spans="1:40" x14ac:dyDescent="0.2">
      <c r="A43" s="826">
        <v>1</v>
      </c>
      <c r="B43" s="842" t="s">
        <v>182</v>
      </c>
      <c r="C43" s="849">
        <v>44</v>
      </c>
      <c r="E43" s="151">
        <v>1</v>
      </c>
      <c r="F43" s="842" t="s">
        <v>532</v>
      </c>
      <c r="G43" s="842"/>
      <c r="H43" s="842"/>
      <c r="I43" s="842"/>
      <c r="J43" s="842"/>
      <c r="O43" s="151">
        <v>1</v>
      </c>
      <c r="P43" s="842" t="s">
        <v>166</v>
      </c>
      <c r="Q43" s="842"/>
      <c r="R43" s="842"/>
      <c r="S43" s="842"/>
      <c r="T43" s="842"/>
      <c r="U43" s="842"/>
    </row>
    <row r="44" spans="1:40" x14ac:dyDescent="0.2">
      <c r="A44" s="826">
        <v>2</v>
      </c>
      <c r="B44" s="843" t="s">
        <v>174</v>
      </c>
      <c r="C44" s="849">
        <v>41</v>
      </c>
      <c r="E44" s="151">
        <v>2</v>
      </c>
      <c r="F44" s="843" t="s">
        <v>178</v>
      </c>
      <c r="G44" s="843"/>
      <c r="H44" s="843"/>
      <c r="I44" s="843"/>
      <c r="J44" s="843"/>
      <c r="O44" s="151">
        <v>2</v>
      </c>
      <c r="P44" s="845" t="s">
        <v>534</v>
      </c>
      <c r="Q44" s="843"/>
      <c r="R44" s="843"/>
      <c r="S44" s="843"/>
      <c r="T44" s="843"/>
      <c r="U44" s="843"/>
    </row>
    <row r="45" spans="1:40" x14ac:dyDescent="0.2">
      <c r="A45" s="826">
        <v>3</v>
      </c>
      <c r="B45" s="844" t="s">
        <v>166</v>
      </c>
      <c r="C45" s="849">
        <v>41</v>
      </c>
      <c r="E45" s="151">
        <v>3</v>
      </c>
      <c r="F45" s="844" t="s">
        <v>399</v>
      </c>
      <c r="G45" s="844"/>
      <c r="H45" s="844"/>
      <c r="I45" s="844"/>
      <c r="J45" s="844"/>
      <c r="O45" s="151">
        <v>3</v>
      </c>
      <c r="P45" s="846" t="s">
        <v>351</v>
      </c>
      <c r="Q45" s="844"/>
      <c r="R45" s="844"/>
      <c r="S45" s="844"/>
      <c r="T45" s="844"/>
      <c r="U45" s="844"/>
    </row>
    <row r="46" spans="1:40" x14ac:dyDescent="0.2">
      <c r="A46" s="826">
        <v>4</v>
      </c>
      <c r="B46" s="840" t="s">
        <v>156</v>
      </c>
      <c r="C46" s="849">
        <v>41</v>
      </c>
    </row>
    <row r="47" spans="1:40" x14ac:dyDescent="0.2">
      <c r="A47" s="826">
        <v>5</v>
      </c>
      <c r="B47" s="840" t="s">
        <v>178</v>
      </c>
      <c r="C47" s="849">
        <v>38</v>
      </c>
    </row>
    <row r="48" spans="1:40" x14ac:dyDescent="0.2">
      <c r="A48" s="826">
        <v>6</v>
      </c>
      <c r="B48" s="840" t="s">
        <v>160</v>
      </c>
      <c r="C48" s="849">
        <v>38</v>
      </c>
    </row>
    <row r="49" spans="1:3" x14ac:dyDescent="0.2">
      <c r="A49" s="826">
        <v>7</v>
      </c>
      <c r="B49" s="840" t="s">
        <v>441</v>
      </c>
      <c r="C49" s="849">
        <v>37</v>
      </c>
    </row>
    <row r="50" spans="1:3" x14ac:dyDescent="0.2">
      <c r="A50" s="826">
        <v>8</v>
      </c>
      <c r="B50" s="840" t="s">
        <v>157</v>
      </c>
      <c r="C50" s="849">
        <v>37</v>
      </c>
    </row>
    <row r="51" spans="1:3" x14ac:dyDescent="0.2">
      <c r="A51" s="826">
        <v>9</v>
      </c>
      <c r="B51" s="840" t="s">
        <v>350</v>
      </c>
      <c r="C51" s="849">
        <v>36</v>
      </c>
    </row>
    <row r="52" spans="1:3" x14ac:dyDescent="0.2">
      <c r="A52" s="826">
        <v>10</v>
      </c>
      <c r="B52" s="840" t="s">
        <v>313</v>
      </c>
      <c r="C52" s="849">
        <v>36</v>
      </c>
    </row>
    <row r="53" spans="1:3" x14ac:dyDescent="0.2">
      <c r="A53" s="826">
        <v>11</v>
      </c>
      <c r="B53" s="840" t="s">
        <v>162</v>
      </c>
      <c r="C53" s="849">
        <v>35</v>
      </c>
    </row>
    <row r="54" spans="1:3" x14ac:dyDescent="0.2">
      <c r="A54" s="826">
        <v>12</v>
      </c>
      <c r="B54" s="840" t="s">
        <v>169</v>
      </c>
      <c r="C54" s="849">
        <v>35</v>
      </c>
    </row>
    <row r="55" spans="1:3" x14ac:dyDescent="0.2">
      <c r="A55" s="826">
        <v>13</v>
      </c>
      <c r="B55" s="840" t="s">
        <v>349</v>
      </c>
      <c r="C55" s="849">
        <v>34</v>
      </c>
    </row>
    <row r="56" spans="1:3" x14ac:dyDescent="0.2">
      <c r="A56" s="826">
        <v>14</v>
      </c>
      <c r="B56" s="840" t="s">
        <v>179</v>
      </c>
      <c r="C56" s="849">
        <v>33</v>
      </c>
    </row>
    <row r="57" spans="1:3" x14ac:dyDescent="0.2">
      <c r="A57" s="826">
        <v>15</v>
      </c>
      <c r="B57" s="840" t="s">
        <v>351</v>
      </c>
      <c r="C57" s="849">
        <v>33</v>
      </c>
    </row>
    <row r="58" spans="1:3" x14ac:dyDescent="0.2">
      <c r="A58" s="826">
        <v>16</v>
      </c>
      <c r="B58" s="840" t="s">
        <v>331</v>
      </c>
      <c r="C58" s="849">
        <v>33</v>
      </c>
    </row>
    <row r="59" spans="1:3" x14ac:dyDescent="0.2">
      <c r="A59" s="826">
        <v>17</v>
      </c>
      <c r="B59" s="840" t="s">
        <v>164</v>
      </c>
      <c r="C59" s="849">
        <v>32</v>
      </c>
    </row>
    <row r="60" spans="1:3" x14ac:dyDescent="0.2">
      <c r="A60" s="826">
        <v>18</v>
      </c>
      <c r="B60" s="840" t="s">
        <v>158</v>
      </c>
      <c r="C60" s="849">
        <v>30</v>
      </c>
    </row>
    <row r="61" spans="1:3" x14ac:dyDescent="0.2">
      <c r="A61" s="826">
        <v>19</v>
      </c>
      <c r="B61" s="840" t="s">
        <v>159</v>
      </c>
      <c r="C61" s="849">
        <v>30</v>
      </c>
    </row>
    <row r="62" spans="1:3" x14ac:dyDescent="0.2">
      <c r="A62" s="826">
        <v>20</v>
      </c>
      <c r="B62" s="840" t="s">
        <v>404</v>
      </c>
      <c r="C62" s="849">
        <v>29</v>
      </c>
    </row>
    <row r="63" spans="1:3" x14ac:dyDescent="0.2">
      <c r="A63" s="826">
        <v>21</v>
      </c>
      <c r="B63" s="840" t="s">
        <v>523</v>
      </c>
      <c r="C63" s="849">
        <v>27</v>
      </c>
    </row>
    <row r="64" spans="1:3" x14ac:dyDescent="0.2">
      <c r="A64" s="826">
        <v>22</v>
      </c>
      <c r="B64" s="840" t="s">
        <v>524</v>
      </c>
      <c r="C64" s="849">
        <v>27</v>
      </c>
    </row>
    <row r="65" spans="1:3" x14ac:dyDescent="0.2">
      <c r="A65" s="826">
        <v>23</v>
      </c>
      <c r="B65" s="840" t="s">
        <v>397</v>
      </c>
      <c r="C65" s="849">
        <v>26</v>
      </c>
    </row>
    <row r="66" spans="1:3" x14ac:dyDescent="0.2">
      <c r="A66" s="826">
        <v>24</v>
      </c>
      <c r="B66" s="840" t="s">
        <v>314</v>
      </c>
      <c r="C66" s="849">
        <v>25</v>
      </c>
    </row>
    <row r="67" spans="1:3" x14ac:dyDescent="0.2">
      <c r="A67" s="826">
        <v>25</v>
      </c>
      <c r="B67" s="840" t="s">
        <v>348</v>
      </c>
      <c r="C67" s="849">
        <v>24</v>
      </c>
    </row>
    <row r="68" spans="1:3" x14ac:dyDescent="0.2">
      <c r="A68" s="826">
        <v>26</v>
      </c>
      <c r="B68" s="840" t="s">
        <v>525</v>
      </c>
      <c r="C68" s="849">
        <v>24</v>
      </c>
    </row>
    <row r="69" spans="1:3" x14ac:dyDescent="0.2">
      <c r="A69" s="826">
        <v>27</v>
      </c>
      <c r="B69" s="840" t="s">
        <v>354</v>
      </c>
      <c r="C69" s="849">
        <v>23</v>
      </c>
    </row>
    <row r="70" spans="1:3" x14ac:dyDescent="0.2">
      <c r="A70" s="826">
        <v>28</v>
      </c>
      <c r="B70" s="840" t="s">
        <v>353</v>
      </c>
      <c r="C70" s="849">
        <v>23</v>
      </c>
    </row>
    <row r="71" spans="1:3" x14ac:dyDescent="0.2">
      <c r="A71" s="826">
        <v>29</v>
      </c>
      <c r="B71" s="840" t="s">
        <v>332</v>
      </c>
      <c r="C71" s="849">
        <v>22</v>
      </c>
    </row>
    <row r="72" spans="1:3" x14ac:dyDescent="0.2">
      <c r="A72" s="826">
        <v>30</v>
      </c>
      <c r="B72" s="840" t="s">
        <v>355</v>
      </c>
      <c r="C72" s="849">
        <v>22</v>
      </c>
    </row>
    <row r="73" spans="1:3" x14ac:dyDescent="0.2">
      <c r="A73" s="826">
        <v>31</v>
      </c>
      <c r="B73" s="840" t="s">
        <v>526</v>
      </c>
      <c r="C73" s="849">
        <v>21</v>
      </c>
    </row>
    <row r="74" spans="1:3" x14ac:dyDescent="0.2">
      <c r="A74" s="826">
        <v>32</v>
      </c>
      <c r="B74" s="840" t="s">
        <v>501</v>
      </c>
      <c r="C74" s="849">
        <v>17</v>
      </c>
    </row>
  </sheetData>
  <conditionalFormatting sqref="H7:AM38">
    <cfRule type="cellIs" dxfId="769" priority="5" stopIfTrue="1" operator="greaterThan">
      <formula>2</formula>
    </cfRule>
  </conditionalFormatting>
  <conditionalFormatting sqref="B7">
    <cfRule type="duplicateValues" dxfId="768" priority="1" stopIfTrue="1"/>
  </conditionalFormatting>
  <conditionalFormatting sqref="B34:B38">
    <cfRule type="duplicateValues" dxfId="767" priority="220" stopIfTrue="1"/>
  </conditionalFormatting>
  <conditionalFormatting sqref="D7:D38">
    <cfRule type="top10" dxfId="766" priority="221" stopIfTrue="1" rank="1"/>
  </conditionalFormatting>
  <conditionalFormatting sqref="F7:F38">
    <cfRule type="duplicateValues" dxfId="765" priority="222"/>
  </conditionalFormatting>
  <conditionalFormatting sqref="E7:E38">
    <cfRule type="top10" dxfId="764" priority="223" rank="1"/>
  </conditionalFormatting>
  <pageMargins left="0.39370078740157483" right="0.39370078740157483" top="0.78740157480314965" bottom="0.39370078740157483" header="0.59055118110236227" footer="0"/>
  <pageSetup paperSize="9" scale="94" fitToHeight="0" orientation="landscape" r:id="rId1"/>
  <headerFooter>
    <oddHeader>&amp;R&amp;9Page &amp;P of &amp;N</oddHeader>
  </headerFooter>
  <rowBreaks count="1" manualBreakCount="1">
    <brk id="40" max="16383" man="1"/>
  </rowBreaks>
  <ignoredErrors>
    <ignoredError sqref="C7:F38"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81"/>
  <sheetViews>
    <sheetView showGridLines="0" showRowColHeaders="0" zoomScaleNormal="100" workbookViewId="0">
      <pane ySplit="2" topLeftCell="A3" activePane="bottomLeft" state="frozen"/>
      <selection activeCell="I1" sqref="I1"/>
      <selection pane="bottomLeft" activeCell="I1" sqref="I1"/>
    </sheetView>
  </sheetViews>
  <sheetFormatPr defaultRowHeight="12.75" x14ac:dyDescent="0.2"/>
  <cols>
    <col min="1" max="1" width="3.28515625" style="2" customWidth="1"/>
    <col min="2" max="2" width="45.140625" style="2" bestFit="1" customWidth="1"/>
    <col min="3" max="3" width="7.28515625" style="2" customWidth="1"/>
    <col min="4" max="4" width="7.42578125" style="2" bestFit="1" customWidth="1"/>
    <col min="5" max="6" width="9.140625" style="2"/>
    <col min="7" max="8" width="5.140625" style="2" customWidth="1"/>
    <col min="9" max="9" width="9.140625" style="2"/>
    <col min="10" max="10" width="4.42578125" style="2" customWidth="1"/>
    <col min="11" max="14" width="9.140625" style="2"/>
    <col min="15" max="15" width="5.28515625" style="2" customWidth="1"/>
    <col min="16" max="16384" width="9.140625" style="2"/>
  </cols>
  <sheetData>
    <row r="1" spans="1:8" x14ac:dyDescent="0.2">
      <c r="A1" s="1" t="str">
        <f>UPPER((Kalend!E26)&amp;" - "&amp;(Kalend!C26)&amp;" - "&amp;(Kalend!D26))</f>
        <v>6 - JÕHVI 15. MV - TRIO</v>
      </c>
      <c r="E1" s="113" t="str">
        <f>HYPERLINK("#Kalend!I1","Kalender")</f>
        <v>Kalender</v>
      </c>
      <c r="G1" s="113" t="str">
        <f>HYPERLINK("#Reit!K1","Reiting")</f>
        <v>Reiting</v>
      </c>
      <c r="H1" s="113"/>
    </row>
    <row r="2" spans="1:8" x14ac:dyDescent="0.2">
      <c r="A2" s="2" t="str">
        <f>"Toimumisaeg: "&amp;(Kalend!A26)&amp;" kell "&amp;(Kalend!B26)</f>
        <v>Toimumisaeg: P, 09.07.2017 kell 11:00</v>
      </c>
    </row>
    <row r="3" spans="1:8" x14ac:dyDescent="0.2">
      <c r="A3" s="2" t="str">
        <f>"Toimumiskoht: "&amp;(Kalend!F26)</f>
        <v>Toimumiskoht: Jõhvi, Neptun</v>
      </c>
    </row>
    <row r="4" spans="1:8" x14ac:dyDescent="0.2">
      <c r="A4" s="2" t="str">
        <f>"Korraldaja: "&amp;(Kalend!G26)</f>
        <v>Korraldaja: LTK Üks-Teist, Tõnu Kapper</v>
      </c>
    </row>
    <row r="6" spans="1:8" x14ac:dyDescent="0.2">
      <c r="A6" s="476" t="s">
        <v>255</v>
      </c>
      <c r="B6" s="477"/>
      <c r="C6" s="478" t="s">
        <v>256</v>
      </c>
      <c r="D6" s="479" t="s">
        <v>257</v>
      </c>
      <c r="E6" s="479" t="s">
        <v>258</v>
      </c>
      <c r="F6" s="478" t="s">
        <v>254</v>
      </c>
      <c r="G6" s="478" t="s">
        <v>145</v>
      </c>
      <c r="H6" s="879"/>
    </row>
    <row r="7" spans="1:8" x14ac:dyDescent="0.2">
      <c r="A7" s="479">
        <v>1</v>
      </c>
      <c r="B7" s="481" t="s">
        <v>324</v>
      </c>
      <c r="C7" s="434">
        <v>13</v>
      </c>
      <c r="D7" s="434">
        <v>13</v>
      </c>
      <c r="E7" s="434"/>
      <c r="F7" s="434"/>
      <c r="G7" s="434" t="str">
        <f>IF(AND(COUNTIF(C7:F7,13)=0,COUNT(C7:F7)=2),"IV",IF(AND(COUNTIF(C7:F7,13)=1,COUNT(C7:F7)=3),"III",IF(AND(COUNTIF(C7:F7,13)=2,COUNT(C7:F7)=3),"II",IF(AND(COUNTIF(C7:F7,13)=2,COUNT(C7:F7)=2),"I"))))</f>
        <v>I</v>
      </c>
      <c r="H7" s="486"/>
    </row>
    <row r="8" spans="1:8" x14ac:dyDescent="0.2">
      <c r="A8" s="479">
        <v>2</v>
      </c>
      <c r="B8" s="483" t="s">
        <v>325</v>
      </c>
      <c r="C8" s="434">
        <v>13</v>
      </c>
      <c r="D8" s="434">
        <v>4</v>
      </c>
      <c r="E8" s="434"/>
      <c r="F8" s="434">
        <v>13</v>
      </c>
      <c r="G8" s="434" t="str">
        <f>IF(AND(COUNTIF(C8:F8,13)=0,COUNT(C8:F8)=2),"IV",IF(AND(COUNTIF(C8:F8,13)=1,COUNT(C8:F8)=3),"III",IF(AND(COUNTIF(C8:F8,13)=2,COUNT(C8:F8)=3),"II",IF(AND(COUNTIF(C8:F8,13)=2,COUNT(C8:F8)=2),"I"))))</f>
        <v>II</v>
      </c>
      <c r="H8" s="486"/>
    </row>
    <row r="9" spans="1:8" x14ac:dyDescent="0.2">
      <c r="A9" s="479">
        <v>3</v>
      </c>
      <c r="B9" s="480" t="s">
        <v>559</v>
      </c>
      <c r="C9" s="434">
        <v>4</v>
      </c>
      <c r="D9" s="434"/>
      <c r="E9" s="434">
        <v>13</v>
      </c>
      <c r="F9" s="434">
        <v>10</v>
      </c>
      <c r="G9" s="434" t="str">
        <f>IF(AND(COUNTIF(C9:F9,13)=0,COUNT(C9:F9)=2),"IV",IF(AND(COUNTIF(C9:F9,13)=1,COUNT(C9:F9)=3),"III",IF(AND(COUNTIF(C9:F9,13)=2,COUNT(C9:F9)=3),"II",IF(AND(COUNTIF(C9:F9,13)=2,COUNT(C9:F9)=2),"I"))))</f>
        <v>III</v>
      </c>
      <c r="H9" s="486"/>
    </row>
    <row r="10" spans="1:8" x14ac:dyDescent="0.2">
      <c r="A10" s="479">
        <v>4</v>
      </c>
      <c r="B10" s="481"/>
      <c r="C10" s="434">
        <f>IF(ISBLANK(B10),0)</f>
        <v>0</v>
      </c>
      <c r="D10" s="434"/>
      <c r="E10" s="434">
        <f>IF(ISBLANK(B10),0)</f>
        <v>0</v>
      </c>
      <c r="F10" s="434"/>
      <c r="G10" s="434"/>
      <c r="H10" s="486"/>
    </row>
    <row r="11" spans="1:8" x14ac:dyDescent="0.2">
      <c r="A11" s="484"/>
      <c r="B11" s="485"/>
      <c r="C11" s="486"/>
      <c r="D11" s="486"/>
      <c r="E11" s="486"/>
      <c r="F11" s="486"/>
      <c r="G11" s="486"/>
      <c r="H11" s="486"/>
    </row>
    <row r="12" spans="1:8" x14ac:dyDescent="0.2">
      <c r="A12" s="476" t="s">
        <v>318</v>
      </c>
      <c r="B12" s="477"/>
      <c r="C12" s="478" t="s">
        <v>256</v>
      </c>
      <c r="D12" s="479" t="s">
        <v>257</v>
      </c>
      <c r="E12" s="479" t="s">
        <v>258</v>
      </c>
      <c r="F12" s="478" t="s">
        <v>254</v>
      </c>
      <c r="G12" s="478" t="s">
        <v>145</v>
      </c>
      <c r="H12" s="879"/>
    </row>
    <row r="13" spans="1:8" x14ac:dyDescent="0.2">
      <c r="A13" s="479">
        <v>1</v>
      </c>
      <c r="B13" s="482" t="s">
        <v>560</v>
      </c>
      <c r="C13" s="434">
        <v>13</v>
      </c>
      <c r="D13" s="434">
        <v>10</v>
      </c>
      <c r="E13" s="434"/>
      <c r="F13" s="434">
        <v>13</v>
      </c>
      <c r="G13" s="434" t="str">
        <f>IF(AND(COUNTIF(C13:F13,13)=0,COUNT(C13:F13)=2),"IV",IF(AND(COUNTIF(C13:F13,13)=1,COUNT(C13:F13)=3),"III",IF(AND(COUNTIF(C13:F13,13)=2,COUNT(C13:F13)=3),"II",IF(AND(COUNTIF(C13:F13,13)=2,COUNT(C13:F13)=2),"I"))))</f>
        <v>II</v>
      </c>
      <c r="H13" s="486"/>
    </row>
    <row r="14" spans="1:8" x14ac:dyDescent="0.2">
      <c r="A14" s="479">
        <v>2</v>
      </c>
      <c r="B14" s="480" t="s">
        <v>561</v>
      </c>
      <c r="C14" s="434">
        <v>13</v>
      </c>
      <c r="D14" s="434">
        <v>13</v>
      </c>
      <c r="E14" s="434"/>
      <c r="F14" s="434"/>
      <c r="G14" s="434" t="str">
        <f>IF(AND(COUNTIF(C14:F14,13)=0,COUNT(C14:F14)=2),"IV",IF(AND(COUNTIF(C14:F14,13)=1,COUNT(C14:F14)=3),"III",IF(AND(COUNTIF(C14:F14,13)=2,COUNT(C14:F14)=3),"II",IF(AND(COUNTIF(C14:F14,13)=2,COUNT(C14:F14)=2),"I"))))</f>
        <v>I</v>
      </c>
      <c r="H14" s="486"/>
    </row>
    <row r="15" spans="1:8" x14ac:dyDescent="0.2">
      <c r="A15" s="479">
        <v>3</v>
      </c>
      <c r="B15" s="480" t="s">
        <v>565</v>
      </c>
      <c r="C15" s="434">
        <v>2</v>
      </c>
      <c r="D15" s="434"/>
      <c r="E15" s="434">
        <v>13</v>
      </c>
      <c r="F15" s="434">
        <v>10</v>
      </c>
      <c r="G15" s="434" t="str">
        <f>IF(AND(COUNTIF(C15:F15,13)=0,COUNT(C15:F15)=2),"IV",IF(AND(COUNTIF(C15:F15,13)=1,COUNT(C15:F15)=3),"III",IF(AND(COUNTIF(C15:F15,13)=2,COUNT(C15:F15)=3),"II",IF(AND(COUNTIF(C15:F15,13)=2,COUNT(C15:F15)=2),"I"))))</f>
        <v>III</v>
      </c>
      <c r="H15" s="486"/>
    </row>
    <row r="16" spans="1:8" x14ac:dyDescent="0.2">
      <c r="A16" s="479">
        <v>4</v>
      </c>
      <c r="B16" s="481"/>
      <c r="C16" s="434">
        <f>IF(ISBLANK(B16),0)</f>
        <v>0</v>
      </c>
      <c r="D16" s="434"/>
      <c r="E16" s="434">
        <f>IF(ISBLANK(B16),0)</f>
        <v>0</v>
      </c>
      <c r="F16" s="434"/>
      <c r="G16" s="434"/>
      <c r="H16" s="486"/>
    </row>
    <row r="17" spans="1:10" x14ac:dyDescent="0.2">
      <c r="A17" s="484"/>
      <c r="B17" s="485"/>
      <c r="C17" s="486"/>
      <c r="D17" s="486"/>
      <c r="E17" s="486"/>
      <c r="F17" s="486"/>
      <c r="G17" s="486"/>
      <c r="H17" s="486"/>
    </row>
    <row r="18" spans="1:10" x14ac:dyDescent="0.2">
      <c r="A18" s="476" t="s">
        <v>319</v>
      </c>
      <c r="B18" s="477"/>
      <c r="C18" s="478" t="s">
        <v>256</v>
      </c>
      <c r="D18" s="479" t="s">
        <v>257</v>
      </c>
      <c r="E18" s="479" t="s">
        <v>258</v>
      </c>
      <c r="F18" s="478" t="s">
        <v>254</v>
      </c>
      <c r="G18" s="478" t="s">
        <v>145</v>
      </c>
      <c r="H18" s="879"/>
    </row>
    <row r="19" spans="1:10" x14ac:dyDescent="0.2">
      <c r="A19" s="479">
        <v>1</v>
      </c>
      <c r="B19" s="482" t="s">
        <v>562</v>
      </c>
      <c r="C19" s="434">
        <v>13</v>
      </c>
      <c r="D19" s="434">
        <v>9</v>
      </c>
      <c r="E19" s="434"/>
      <c r="F19" s="434">
        <v>13</v>
      </c>
      <c r="G19" s="434" t="str">
        <f>IF(AND(COUNTIF(C19:F19,13)=0,COUNT(C19:F19)=2),"IV",IF(AND(COUNTIF(C19:F19,13)=1,COUNT(C19:F19)=3),"III",IF(AND(COUNTIF(C19:F19,13)=2,COUNT(C19:F19)=3),"II",IF(AND(COUNTIF(C19:F19,13)=2,COUNT(C19:F19)=2),"I"))))</f>
        <v>II</v>
      </c>
      <c r="H19" s="486"/>
    </row>
    <row r="20" spans="1:10" x14ac:dyDescent="0.2">
      <c r="A20" s="479">
        <v>2</v>
      </c>
      <c r="B20" s="480" t="s">
        <v>563</v>
      </c>
      <c r="C20" s="434">
        <v>13</v>
      </c>
      <c r="D20" s="434">
        <v>13</v>
      </c>
      <c r="E20" s="434"/>
      <c r="F20" s="434"/>
      <c r="G20" s="434" t="str">
        <f>IF(AND(COUNTIF(C20:F20,13)=0,COUNT(C20:F20)=2),"IV",IF(AND(COUNTIF(C20:F20,13)=1,COUNT(C20:F20)=3),"III",IF(AND(COUNTIF(C20:F20,13)=2,COUNT(C20:F20)=3),"II",IF(AND(COUNTIF(C20:F20,13)=2,COUNT(C20:F20)=2),"I"))))</f>
        <v>I</v>
      </c>
      <c r="H20" s="486"/>
    </row>
    <row r="21" spans="1:10" x14ac:dyDescent="0.2">
      <c r="A21" s="479">
        <v>3</v>
      </c>
      <c r="B21" s="480" t="s">
        <v>564</v>
      </c>
      <c r="C21" s="434">
        <v>6</v>
      </c>
      <c r="D21" s="434"/>
      <c r="E21" s="434">
        <v>13</v>
      </c>
      <c r="F21" s="434">
        <v>1</v>
      </c>
      <c r="G21" s="434" t="str">
        <f>IF(AND(COUNTIF(C21:F21,13)=0,COUNT(C21:F21)=2),"IV",IF(AND(COUNTIF(C21:F21,13)=1,COUNT(C21:F21)=3),"III",IF(AND(COUNTIF(C21:F21,13)=2,COUNT(C21:F21)=3),"II",IF(AND(COUNTIF(C21:F21,13)=2,COUNT(C21:F21)=2),"I"))))</f>
        <v>III</v>
      </c>
      <c r="H21" s="486"/>
    </row>
    <row r="22" spans="1:10" x14ac:dyDescent="0.2">
      <c r="A22" s="479">
        <v>4</v>
      </c>
      <c r="B22" s="481"/>
      <c r="C22" s="434">
        <f>IF(ISBLANK(B22),0)</f>
        <v>0</v>
      </c>
      <c r="D22" s="434"/>
      <c r="E22" s="434">
        <f>IF(ISBLANK(B22),0)</f>
        <v>0</v>
      </c>
      <c r="F22" s="434"/>
      <c r="G22" s="434"/>
      <c r="H22" s="486"/>
    </row>
    <row r="23" spans="1:10" x14ac:dyDescent="0.2">
      <c r="A23" s="484"/>
      <c r="B23" s="485"/>
      <c r="C23" s="486"/>
      <c r="D23" s="486"/>
      <c r="E23" s="486"/>
      <c r="F23" s="486"/>
      <c r="G23" s="486"/>
      <c r="H23" s="486"/>
    </row>
    <row r="24" spans="1:10" x14ac:dyDescent="0.2">
      <c r="A24" s="487" t="s">
        <v>566</v>
      </c>
      <c r="B24" s="488"/>
      <c r="C24" s="488"/>
      <c r="D24" s="488"/>
      <c r="E24" s="488"/>
      <c r="F24" s="488"/>
      <c r="G24" s="488"/>
      <c r="H24" s="488"/>
      <c r="I24" s="152"/>
      <c r="J24" s="152"/>
    </row>
    <row r="25" spans="1:10" x14ac:dyDescent="0.2">
      <c r="A25" s="487"/>
      <c r="B25" s="488"/>
      <c r="C25" s="488"/>
      <c r="D25" s="488"/>
      <c r="E25" s="488"/>
      <c r="F25" s="488"/>
      <c r="G25" s="488"/>
      <c r="H25" s="488"/>
      <c r="I25" s="152"/>
      <c r="J25" s="152"/>
    </row>
    <row r="26" spans="1:10" x14ac:dyDescent="0.2">
      <c r="A26" s="489" t="s">
        <v>290</v>
      </c>
      <c r="B26" s="528" t="s">
        <v>324</v>
      </c>
      <c r="C26" s="490">
        <v>13</v>
      </c>
      <c r="D26" s="488"/>
      <c r="E26" s="488"/>
      <c r="F26" s="488"/>
      <c r="G26" s="488"/>
      <c r="H26" s="488"/>
      <c r="I26" s="488"/>
      <c r="J26" s="488"/>
    </row>
    <row r="27" spans="1:10" x14ac:dyDescent="0.2">
      <c r="A27" s="491"/>
      <c r="B27" s="492"/>
      <c r="C27" s="493" t="s">
        <v>324</v>
      </c>
      <c r="D27" s="488"/>
      <c r="E27" s="490">
        <v>4</v>
      </c>
      <c r="F27" s="488"/>
      <c r="G27" s="488"/>
      <c r="H27" s="488"/>
      <c r="I27" s="488"/>
      <c r="J27" s="488"/>
    </row>
    <row r="28" spans="1:10" x14ac:dyDescent="0.2">
      <c r="A28" s="489"/>
      <c r="B28" s="529" t="s">
        <v>306</v>
      </c>
      <c r="C28" s="496">
        <v>0</v>
      </c>
      <c r="D28" s="497"/>
      <c r="E28" s="488"/>
      <c r="F28" s="488"/>
      <c r="G28" s="488"/>
      <c r="H28" s="488"/>
      <c r="I28" s="488"/>
      <c r="J28" s="488"/>
    </row>
    <row r="29" spans="1:10" x14ac:dyDescent="0.2">
      <c r="A29" s="491"/>
      <c r="B29" s="488"/>
      <c r="C29" s="488"/>
      <c r="D29" s="499"/>
      <c r="E29" s="488" t="s">
        <v>560</v>
      </c>
      <c r="F29" s="488"/>
      <c r="G29" s="490">
        <v>5</v>
      </c>
      <c r="H29" s="490"/>
      <c r="I29" s="488"/>
      <c r="J29" s="488"/>
    </row>
    <row r="30" spans="1:10" x14ac:dyDescent="0.2">
      <c r="A30" s="489" t="s">
        <v>283</v>
      </c>
      <c r="B30" s="500" t="s">
        <v>560</v>
      </c>
      <c r="C30" s="501">
        <v>13</v>
      </c>
      <c r="D30" s="499"/>
      <c r="E30" s="492"/>
      <c r="F30" s="497"/>
      <c r="G30" s="488"/>
      <c r="H30" s="488"/>
      <c r="I30" s="488"/>
      <c r="J30" s="488"/>
    </row>
    <row r="31" spans="1:10" x14ac:dyDescent="0.2">
      <c r="A31" s="491"/>
      <c r="B31" s="492"/>
      <c r="C31" s="502" t="s">
        <v>560</v>
      </c>
      <c r="D31" s="503"/>
      <c r="E31" s="501">
        <v>13</v>
      </c>
      <c r="F31" s="499"/>
      <c r="G31" s="488"/>
      <c r="H31" s="488"/>
      <c r="I31" s="488"/>
      <c r="J31" s="488"/>
    </row>
    <row r="32" spans="1:10" x14ac:dyDescent="0.2">
      <c r="A32" s="489" t="s">
        <v>282</v>
      </c>
      <c r="B32" s="495" t="s">
        <v>563</v>
      </c>
      <c r="C32" s="504">
        <v>10</v>
      </c>
      <c r="D32" s="488"/>
      <c r="E32" s="498"/>
      <c r="F32" s="499"/>
      <c r="G32" s="488"/>
      <c r="H32" s="488"/>
      <c r="I32" s="488"/>
      <c r="J32" s="488"/>
    </row>
    <row r="33" spans="1:10" ht="13.5" thickBot="1" x14ac:dyDescent="0.25">
      <c r="A33" s="491"/>
      <c r="B33" s="488"/>
      <c r="C33" s="488"/>
      <c r="D33" s="488"/>
      <c r="E33" s="498"/>
      <c r="F33" s="499"/>
      <c r="G33" s="488"/>
      <c r="H33" s="488"/>
      <c r="I33" s="528" t="s">
        <v>562</v>
      </c>
      <c r="J33" s="488"/>
    </row>
    <row r="34" spans="1:10" x14ac:dyDescent="0.2">
      <c r="A34" s="489" t="s">
        <v>285</v>
      </c>
      <c r="B34" s="488" t="s">
        <v>325</v>
      </c>
      <c r="C34" s="490">
        <v>8</v>
      </c>
      <c r="D34" s="488"/>
      <c r="E34" s="498"/>
      <c r="F34" s="499"/>
      <c r="G34" s="505"/>
      <c r="H34" s="507"/>
      <c r="I34" s="506" t="s">
        <v>287</v>
      </c>
      <c r="J34" s="507"/>
    </row>
    <row r="35" spans="1:10" x14ac:dyDescent="0.2">
      <c r="A35" s="491"/>
      <c r="B35" s="492"/>
      <c r="C35" s="493" t="s">
        <v>562</v>
      </c>
      <c r="D35" s="488"/>
      <c r="E35" s="501">
        <v>13</v>
      </c>
      <c r="F35" s="499"/>
      <c r="G35" s="488"/>
      <c r="H35" s="488"/>
      <c r="I35" s="488"/>
      <c r="J35" s="488"/>
    </row>
    <row r="36" spans="1:10" ht="13.5" thickBot="1" x14ac:dyDescent="0.25">
      <c r="A36" s="489" t="s">
        <v>291</v>
      </c>
      <c r="B36" s="494" t="s">
        <v>562</v>
      </c>
      <c r="C36" s="496">
        <v>13</v>
      </c>
      <c r="D36" s="497"/>
      <c r="E36" s="498"/>
      <c r="F36" s="499"/>
      <c r="G36" s="488"/>
      <c r="H36" s="488"/>
      <c r="I36" s="885" t="s">
        <v>560</v>
      </c>
      <c r="J36" s="508"/>
    </row>
    <row r="37" spans="1:10" x14ac:dyDescent="0.2">
      <c r="A37" s="491"/>
      <c r="B37" s="488"/>
      <c r="C37" s="488"/>
      <c r="D37" s="499"/>
      <c r="E37" s="494" t="s">
        <v>562</v>
      </c>
      <c r="F37" s="503"/>
      <c r="G37" s="490">
        <v>13</v>
      </c>
      <c r="H37" s="490"/>
      <c r="I37" s="506" t="s">
        <v>289</v>
      </c>
      <c r="J37" s="488"/>
    </row>
    <row r="38" spans="1:10" x14ac:dyDescent="0.2">
      <c r="A38" s="489" t="s">
        <v>286</v>
      </c>
      <c r="B38" s="528" t="s">
        <v>561</v>
      </c>
      <c r="C38" s="501">
        <v>13</v>
      </c>
      <c r="D38" s="499"/>
      <c r="E38" s="488"/>
      <c r="F38" s="488"/>
      <c r="G38" s="488"/>
      <c r="H38" s="488"/>
      <c r="I38" s="488"/>
      <c r="J38" s="488"/>
    </row>
    <row r="39" spans="1:10" x14ac:dyDescent="0.2">
      <c r="A39" s="491"/>
      <c r="B39" s="492"/>
      <c r="C39" s="502" t="s">
        <v>561</v>
      </c>
      <c r="D39" s="503"/>
      <c r="E39" s="490">
        <v>2</v>
      </c>
      <c r="F39" s="488"/>
      <c r="G39" s="488"/>
      <c r="H39" s="488"/>
      <c r="I39" s="488"/>
      <c r="J39" s="488"/>
    </row>
    <row r="40" spans="1:10" x14ac:dyDescent="0.2">
      <c r="A40" s="489"/>
      <c r="B40" s="530" t="s">
        <v>306</v>
      </c>
      <c r="C40" s="504">
        <v>0</v>
      </c>
      <c r="D40" s="488"/>
      <c r="E40" s="488"/>
      <c r="F40" s="488"/>
      <c r="G40" s="488"/>
      <c r="H40" s="488"/>
      <c r="I40" s="488"/>
      <c r="J40" s="488"/>
    </row>
    <row r="41" spans="1:10" x14ac:dyDescent="0.2">
      <c r="A41" s="488"/>
      <c r="B41" s="488"/>
      <c r="C41" s="488"/>
      <c r="D41" s="488"/>
      <c r="E41" s="488" t="s">
        <v>324</v>
      </c>
      <c r="F41" s="488"/>
      <c r="G41" s="501">
        <v>13</v>
      </c>
      <c r="H41" s="501"/>
      <c r="I41" s="498"/>
      <c r="J41" s="498"/>
    </row>
    <row r="42" spans="1:10" ht="13.5" thickBot="1" x14ac:dyDescent="0.25">
      <c r="A42" s="488"/>
      <c r="B42" s="488"/>
      <c r="C42" s="488"/>
      <c r="D42" s="488"/>
      <c r="E42" s="492"/>
      <c r="F42" s="497"/>
      <c r="G42" s="508"/>
      <c r="H42" s="508"/>
      <c r="I42" s="508" t="s">
        <v>324</v>
      </c>
      <c r="J42" s="508"/>
    </row>
    <row r="43" spans="1:10" x14ac:dyDescent="0.2">
      <c r="A43" s="488"/>
      <c r="B43" s="488"/>
      <c r="C43" s="488"/>
      <c r="D43" s="488"/>
      <c r="E43" s="494" t="s">
        <v>561</v>
      </c>
      <c r="F43" s="503"/>
      <c r="G43" s="490">
        <v>9</v>
      </c>
      <c r="H43" s="490"/>
      <c r="I43" s="509" t="s">
        <v>292</v>
      </c>
      <c r="J43" s="498"/>
    </row>
    <row r="44" spans="1:10" x14ac:dyDescent="0.2">
      <c r="A44" s="488"/>
      <c r="B44" s="488"/>
      <c r="C44" s="488"/>
      <c r="D44" s="488"/>
      <c r="E44" s="488"/>
      <c r="F44" s="488"/>
      <c r="G44" s="488"/>
      <c r="H44" s="488"/>
      <c r="I44" s="498"/>
      <c r="J44" s="498"/>
    </row>
    <row r="45" spans="1:10" ht="13.5" thickBot="1" x14ac:dyDescent="0.25">
      <c r="A45" s="488"/>
      <c r="B45" s="488"/>
      <c r="C45" s="488"/>
      <c r="D45" s="488"/>
      <c r="E45" s="488"/>
      <c r="F45" s="498"/>
      <c r="G45" s="488"/>
      <c r="H45" s="488"/>
      <c r="I45" s="508" t="s">
        <v>561</v>
      </c>
      <c r="J45" s="508"/>
    </row>
    <row r="46" spans="1:10" x14ac:dyDescent="0.2">
      <c r="A46" s="488"/>
      <c r="B46" s="488"/>
      <c r="C46" s="528" t="s">
        <v>306</v>
      </c>
      <c r="D46" s="488"/>
      <c r="E46" s="490">
        <v>0</v>
      </c>
      <c r="F46" s="488"/>
      <c r="G46" s="488"/>
      <c r="H46" s="488"/>
      <c r="I46" s="510" t="s">
        <v>293</v>
      </c>
      <c r="J46" s="488"/>
    </row>
    <row r="47" spans="1:10" x14ac:dyDescent="0.2">
      <c r="A47" s="488"/>
      <c r="B47" s="488"/>
      <c r="C47" s="492"/>
      <c r="D47" s="497"/>
      <c r="E47" s="493" t="s">
        <v>563</v>
      </c>
      <c r="F47" s="494"/>
      <c r="G47" s="490">
        <v>13</v>
      </c>
      <c r="H47" s="490"/>
      <c r="I47" s="488"/>
      <c r="J47" s="488"/>
    </row>
    <row r="48" spans="1:10" x14ac:dyDescent="0.2">
      <c r="A48" s="488"/>
      <c r="B48" s="488"/>
      <c r="C48" s="494" t="s">
        <v>563</v>
      </c>
      <c r="D48" s="503"/>
      <c r="E48" s="496">
        <v>13</v>
      </c>
      <c r="F48" s="499"/>
      <c r="G48" s="488"/>
      <c r="H48" s="488"/>
      <c r="I48" s="488"/>
      <c r="J48" s="488"/>
    </row>
    <row r="49" spans="1:10" ht="13.5" thickBot="1" x14ac:dyDescent="0.25">
      <c r="A49" s="488"/>
      <c r="B49" s="488"/>
      <c r="C49" s="488"/>
      <c r="D49" s="488"/>
      <c r="E49" s="498"/>
      <c r="F49" s="499"/>
      <c r="G49" s="488"/>
      <c r="H49" s="488"/>
      <c r="I49" s="488" t="s">
        <v>563</v>
      </c>
      <c r="J49" s="488"/>
    </row>
    <row r="50" spans="1:10" x14ac:dyDescent="0.2">
      <c r="A50" s="488"/>
      <c r="B50" s="488"/>
      <c r="C50" s="488" t="s">
        <v>325</v>
      </c>
      <c r="D50" s="488"/>
      <c r="E50" s="501">
        <v>13</v>
      </c>
      <c r="F50" s="499"/>
      <c r="G50" s="505"/>
      <c r="H50" s="507"/>
      <c r="I50" s="506" t="s">
        <v>294</v>
      </c>
      <c r="J50" s="507"/>
    </row>
    <row r="51" spans="1:10" x14ac:dyDescent="0.2">
      <c r="A51" s="488"/>
      <c r="B51" s="488"/>
      <c r="C51" s="492"/>
      <c r="D51" s="497"/>
      <c r="E51" s="502" t="s">
        <v>325</v>
      </c>
      <c r="F51" s="503"/>
      <c r="G51" s="501">
        <v>1</v>
      </c>
      <c r="H51" s="501"/>
      <c r="I51" s="488"/>
      <c r="J51" s="488"/>
    </row>
    <row r="52" spans="1:10" ht="13.5" thickBot="1" x14ac:dyDescent="0.25">
      <c r="A52" s="488"/>
      <c r="B52" s="488"/>
      <c r="C52" s="530" t="s">
        <v>306</v>
      </c>
      <c r="D52" s="503"/>
      <c r="E52" s="504">
        <v>0</v>
      </c>
      <c r="F52" s="488"/>
      <c r="G52" s="498"/>
      <c r="H52" s="498"/>
      <c r="I52" s="498" t="s">
        <v>325</v>
      </c>
      <c r="J52" s="508"/>
    </row>
    <row r="53" spans="1:10" x14ac:dyDescent="0.2">
      <c r="A53" s="488"/>
      <c r="B53" s="488"/>
      <c r="C53" s="488"/>
      <c r="D53" s="488"/>
      <c r="E53" s="488"/>
      <c r="F53" s="488"/>
      <c r="G53" s="498"/>
      <c r="H53" s="498"/>
      <c r="I53" s="506" t="s">
        <v>295</v>
      </c>
      <c r="J53" s="498"/>
    </row>
    <row r="54" spans="1:10" x14ac:dyDescent="0.2">
      <c r="A54" s="488"/>
      <c r="B54" s="488"/>
      <c r="C54" s="488"/>
      <c r="D54" s="488"/>
      <c r="E54" s="488"/>
      <c r="F54" s="488"/>
      <c r="G54" s="501"/>
      <c r="H54" s="501"/>
      <c r="I54" s="498"/>
      <c r="J54" s="498"/>
    </row>
    <row r="55" spans="1:10" ht="13.5" thickBot="1" x14ac:dyDescent="0.25">
      <c r="A55" s="488"/>
      <c r="B55" s="488"/>
      <c r="C55" s="488"/>
      <c r="D55" s="488"/>
      <c r="E55" s="492"/>
      <c r="F55" s="497"/>
      <c r="G55" s="508"/>
      <c r="H55" s="508"/>
      <c r="I55" s="508"/>
      <c r="J55" s="508"/>
    </row>
    <row r="56" spans="1:10" x14ac:dyDescent="0.2">
      <c r="A56" s="488"/>
      <c r="B56" s="488"/>
      <c r="C56" s="488"/>
      <c r="D56" s="488"/>
      <c r="E56" s="494"/>
      <c r="F56" s="503"/>
      <c r="G56" s="490"/>
      <c r="H56" s="490"/>
      <c r="I56" s="509"/>
      <c r="J56" s="498"/>
    </row>
    <row r="57" spans="1:10" x14ac:dyDescent="0.2">
      <c r="A57" s="488"/>
      <c r="B57" s="488"/>
      <c r="C57" s="488"/>
      <c r="D57" s="488"/>
      <c r="E57" s="488"/>
      <c r="F57" s="488"/>
      <c r="G57" s="488"/>
      <c r="H57" s="488"/>
      <c r="I57" s="498"/>
      <c r="J57" s="498"/>
    </row>
    <row r="58" spans="1:10" ht="13.5" thickBot="1" x14ac:dyDescent="0.25">
      <c r="A58" s="488"/>
      <c r="B58" s="488"/>
      <c r="C58" s="488"/>
      <c r="D58" s="488"/>
      <c r="E58" s="488"/>
      <c r="F58" s="498"/>
      <c r="G58" s="488"/>
      <c r="H58" s="488"/>
      <c r="I58" s="508"/>
      <c r="J58" s="508"/>
    </row>
    <row r="59" spans="1:10" x14ac:dyDescent="0.2">
      <c r="A59" s="488"/>
      <c r="B59" s="488"/>
      <c r="C59" s="488"/>
      <c r="D59" s="488"/>
      <c r="E59" s="488"/>
      <c r="F59" s="498"/>
      <c r="G59" s="488"/>
      <c r="H59" s="488"/>
      <c r="I59" s="498"/>
      <c r="J59" s="498"/>
    </row>
    <row r="60" spans="1:10" x14ac:dyDescent="0.2">
      <c r="A60" s="488"/>
      <c r="B60" s="488"/>
      <c r="C60" s="488"/>
      <c r="D60" s="488"/>
      <c r="E60" s="488"/>
      <c r="F60" s="498"/>
      <c r="G60" s="488"/>
      <c r="H60" s="488"/>
      <c r="I60" s="498"/>
      <c r="J60" s="498"/>
    </row>
    <row r="61" spans="1:10" x14ac:dyDescent="0.2">
      <c r="A61" s="487" t="s">
        <v>567</v>
      </c>
      <c r="B61" s="485"/>
      <c r="C61" s="486"/>
      <c r="D61" s="486"/>
      <c r="E61" s="486"/>
      <c r="F61" s="486"/>
      <c r="G61" s="486"/>
      <c r="H61" s="486"/>
    </row>
    <row r="62" spans="1:10" x14ac:dyDescent="0.2">
      <c r="A62" s="484"/>
      <c r="B62" s="485"/>
      <c r="C62" s="486"/>
      <c r="D62" s="486"/>
      <c r="E62" s="486"/>
      <c r="F62" s="486"/>
      <c r="G62" s="486"/>
      <c r="H62" s="486"/>
    </row>
    <row r="63" spans="1:10" x14ac:dyDescent="0.2">
      <c r="A63" s="435"/>
      <c r="B63" s="435"/>
      <c r="C63" s="429">
        <v>1</v>
      </c>
      <c r="D63" s="429">
        <v>2</v>
      </c>
      <c r="E63" s="429">
        <v>3</v>
      </c>
      <c r="F63" s="429" t="s">
        <v>264</v>
      </c>
      <c r="G63" s="429" t="s">
        <v>83</v>
      </c>
      <c r="H63" s="880"/>
    </row>
    <row r="64" spans="1:10" ht="13.5" thickBot="1" x14ac:dyDescent="0.25">
      <c r="A64" s="435">
        <v>1</v>
      </c>
      <c r="B64" s="480" t="s">
        <v>559</v>
      </c>
      <c r="C64" s="437"/>
      <c r="D64" s="438">
        <v>7</v>
      </c>
      <c r="E64" s="438">
        <v>13</v>
      </c>
      <c r="F64" s="472" t="s">
        <v>121</v>
      </c>
      <c r="G64" s="469" t="s">
        <v>267</v>
      </c>
      <c r="H64" s="881"/>
      <c r="I64" s="2" t="s">
        <v>564</v>
      </c>
    </row>
    <row r="65" spans="1:10" x14ac:dyDescent="0.2">
      <c r="A65" s="435">
        <v>2</v>
      </c>
      <c r="B65" s="480" t="s">
        <v>564</v>
      </c>
      <c r="C65" s="438">
        <v>13</v>
      </c>
      <c r="D65" s="437"/>
      <c r="E65" s="438">
        <v>13</v>
      </c>
      <c r="F65" s="472" t="s">
        <v>317</v>
      </c>
      <c r="G65" s="469" t="s">
        <v>269</v>
      </c>
      <c r="H65" s="881"/>
      <c r="I65" s="883" t="s">
        <v>296</v>
      </c>
      <c r="J65" s="882"/>
    </row>
    <row r="66" spans="1:10" x14ac:dyDescent="0.2">
      <c r="A66" s="435">
        <v>3</v>
      </c>
      <c r="B66" s="470" t="s">
        <v>565</v>
      </c>
      <c r="C66" s="438">
        <v>0</v>
      </c>
      <c r="D66" s="439">
        <v>0</v>
      </c>
      <c r="E66" s="437"/>
      <c r="F66" s="472" t="s">
        <v>316</v>
      </c>
      <c r="G66" s="439" t="s">
        <v>266</v>
      </c>
      <c r="H66" s="878"/>
      <c r="I66" s="31"/>
      <c r="J66" s="31"/>
    </row>
    <row r="67" spans="1:10" ht="13.5" thickBot="1" x14ac:dyDescent="0.25">
      <c r="A67" s="526"/>
      <c r="B67" s="592"/>
      <c r="C67" s="445"/>
      <c r="D67" s="878"/>
      <c r="E67" s="486"/>
      <c r="F67" s="780"/>
      <c r="G67" s="878"/>
      <c r="H67" s="878"/>
      <c r="I67" s="31" t="s">
        <v>559</v>
      </c>
      <c r="J67" s="31"/>
    </row>
    <row r="68" spans="1:10" x14ac:dyDescent="0.2">
      <c r="A68" s="526"/>
      <c r="B68" s="932" t="s">
        <v>114</v>
      </c>
      <c r="C68" s="445" t="s">
        <v>278</v>
      </c>
      <c r="D68" s="878"/>
      <c r="E68" s="486"/>
      <c r="F68" s="780"/>
      <c r="G68" s="878"/>
      <c r="H68" s="878"/>
      <c r="I68" s="883" t="s">
        <v>297</v>
      </c>
      <c r="J68" s="882"/>
    </row>
    <row r="69" spans="1:10" x14ac:dyDescent="0.2">
      <c r="A69" s="526"/>
      <c r="B69" s="932" t="s">
        <v>115</v>
      </c>
      <c r="C69" s="933" t="s">
        <v>265</v>
      </c>
      <c r="D69" s="878"/>
      <c r="E69" s="486"/>
      <c r="F69" s="780"/>
      <c r="G69" s="878"/>
      <c r="H69" s="878"/>
      <c r="I69" s="31"/>
      <c r="J69" s="31"/>
    </row>
    <row r="70" spans="1:10" ht="13.5" thickBot="1" x14ac:dyDescent="0.25">
      <c r="A70" s="526"/>
      <c r="B70" s="932" t="s">
        <v>116</v>
      </c>
      <c r="C70" s="933" t="s">
        <v>277</v>
      </c>
      <c r="D70" s="878"/>
      <c r="E70" s="486"/>
      <c r="F70" s="780"/>
      <c r="G70" s="878"/>
      <c r="H70" s="878"/>
      <c r="I70" s="884" t="s">
        <v>565</v>
      </c>
      <c r="J70" s="884"/>
    </row>
    <row r="71" spans="1:10" x14ac:dyDescent="0.2">
      <c r="A71" s="526"/>
      <c r="B71" s="592"/>
      <c r="C71" s="445"/>
      <c r="D71" s="878"/>
      <c r="E71" s="486"/>
      <c r="F71" s="780"/>
      <c r="G71" s="878"/>
      <c r="H71" s="878"/>
      <c r="I71" s="1" t="s">
        <v>303</v>
      </c>
    </row>
    <row r="72" spans="1:10" x14ac:dyDescent="0.2">
      <c r="A72" s="484"/>
      <c r="B72" s="485"/>
      <c r="C72" s="486"/>
      <c r="D72" s="486"/>
      <c r="E72" s="486"/>
      <c r="F72" s="486"/>
      <c r="G72" s="486"/>
      <c r="H72" s="486"/>
    </row>
    <row r="73" spans="1:10" x14ac:dyDescent="0.2">
      <c r="A73" s="223">
        <v>1</v>
      </c>
      <c r="B73" s="224" t="s">
        <v>562</v>
      </c>
    </row>
    <row r="74" spans="1:10" x14ac:dyDescent="0.2">
      <c r="A74" s="223">
        <v>2</v>
      </c>
      <c r="B74" s="227" t="s">
        <v>560</v>
      </c>
    </row>
    <row r="75" spans="1:10" x14ac:dyDescent="0.2">
      <c r="A75" s="223">
        <v>3</v>
      </c>
      <c r="B75" s="229" t="s">
        <v>324</v>
      </c>
    </row>
    <row r="76" spans="1:10" x14ac:dyDescent="0.2">
      <c r="A76" s="223">
        <v>4</v>
      </c>
      <c r="B76" s="231" t="s">
        <v>561</v>
      </c>
    </row>
    <row r="77" spans="1:10" x14ac:dyDescent="0.2">
      <c r="A77" s="223">
        <v>5</v>
      </c>
      <c r="B77" s="231" t="s">
        <v>563</v>
      </c>
    </row>
    <row r="78" spans="1:10" x14ac:dyDescent="0.2">
      <c r="A78" s="223">
        <v>6</v>
      </c>
      <c r="B78" s="231" t="s">
        <v>325</v>
      </c>
    </row>
    <row r="79" spans="1:10" x14ac:dyDescent="0.2">
      <c r="A79" s="223">
        <v>7</v>
      </c>
      <c r="B79" s="540" t="s">
        <v>564</v>
      </c>
    </row>
    <row r="80" spans="1:10" x14ac:dyDescent="0.2">
      <c r="A80" s="223">
        <v>8</v>
      </c>
      <c r="B80" s="480" t="s">
        <v>559</v>
      </c>
    </row>
    <row r="81" spans="1:2" x14ac:dyDescent="0.2">
      <c r="A81" s="223">
        <v>9</v>
      </c>
      <c r="B81" s="231" t="s">
        <v>565</v>
      </c>
    </row>
  </sheetData>
  <conditionalFormatting sqref="C7:F9 D10:D11 F10:F11 F17 D17 C72:F72">
    <cfRule type="cellIs" dxfId="763" priority="44" operator="equal">
      <formula>13</formula>
    </cfRule>
  </conditionalFormatting>
  <conditionalFormatting sqref="C7:F9 D10:D11 F10:F11 F17 D17 C72:F72">
    <cfRule type="cellIs" dxfId="762" priority="41" operator="greaterThan">
      <formula>13</formula>
    </cfRule>
  </conditionalFormatting>
  <conditionalFormatting sqref="C10:C11 C17">
    <cfRule type="cellIs" dxfId="761" priority="39" operator="equal">
      <formula>13</formula>
    </cfRule>
  </conditionalFormatting>
  <conditionalFormatting sqref="C10:C11 C17">
    <cfRule type="cellIs" dxfId="760" priority="38" operator="greaterThan">
      <formula>13</formula>
    </cfRule>
  </conditionalFormatting>
  <conditionalFormatting sqref="E10:E11 E17">
    <cfRule type="cellIs" dxfId="759" priority="37" operator="equal">
      <formula>13</formula>
    </cfRule>
  </conditionalFormatting>
  <conditionalFormatting sqref="E10:E11 E17">
    <cfRule type="cellIs" dxfId="758" priority="36" operator="greaterThan">
      <formula>13</formula>
    </cfRule>
  </conditionalFormatting>
  <conditionalFormatting sqref="C13:F15 D16 F16">
    <cfRule type="cellIs" dxfId="757" priority="35" operator="equal">
      <formula>13</formula>
    </cfRule>
  </conditionalFormatting>
  <conditionalFormatting sqref="G13:H16">
    <cfRule type="duplicateValues" dxfId="756" priority="33"/>
    <cfRule type="cellIs" dxfId="755" priority="34" operator="equal">
      <formula>13</formula>
    </cfRule>
  </conditionalFormatting>
  <conditionalFormatting sqref="C13:F15 D16 F16">
    <cfRule type="cellIs" dxfId="754" priority="32" operator="greaterThan">
      <formula>13</formula>
    </cfRule>
  </conditionalFormatting>
  <conditionalFormatting sqref="B13:B16">
    <cfRule type="duplicateValues" dxfId="753" priority="31"/>
  </conditionalFormatting>
  <conditionalFormatting sqref="C16">
    <cfRule type="cellIs" dxfId="752" priority="30" operator="equal">
      <formula>13</formula>
    </cfRule>
  </conditionalFormatting>
  <conditionalFormatting sqref="C16">
    <cfRule type="cellIs" dxfId="751" priority="29" operator="greaterThan">
      <formula>13</formula>
    </cfRule>
  </conditionalFormatting>
  <conditionalFormatting sqref="E16">
    <cfRule type="cellIs" dxfId="750" priority="28" operator="equal">
      <formula>13</formula>
    </cfRule>
  </conditionalFormatting>
  <conditionalFormatting sqref="E16">
    <cfRule type="cellIs" dxfId="749" priority="27" operator="greaterThan">
      <formula>13</formula>
    </cfRule>
  </conditionalFormatting>
  <conditionalFormatting sqref="C19:F21 D22:D23 F22:F23 F61:F62 D61:D62">
    <cfRule type="cellIs" dxfId="748" priority="26" operator="equal">
      <formula>13</formula>
    </cfRule>
  </conditionalFormatting>
  <conditionalFormatting sqref="C19:F21 D22:D23 F22:F23 F61:F62 D61:D62">
    <cfRule type="cellIs" dxfId="747" priority="23" operator="greaterThan">
      <formula>13</formula>
    </cfRule>
  </conditionalFormatting>
  <conditionalFormatting sqref="C22:C23 C61:C62">
    <cfRule type="cellIs" dxfId="746" priority="21" operator="equal">
      <formula>13</formula>
    </cfRule>
  </conditionalFormatting>
  <conditionalFormatting sqref="C22:C23 C61:C62">
    <cfRule type="cellIs" dxfId="745" priority="20" operator="greaterThan">
      <formula>13</formula>
    </cfRule>
  </conditionalFormatting>
  <conditionalFormatting sqref="E22:E23 E61:E62">
    <cfRule type="cellIs" dxfId="744" priority="19" operator="equal">
      <formula>13</formula>
    </cfRule>
  </conditionalFormatting>
  <conditionalFormatting sqref="E22:E23 E61:E62">
    <cfRule type="cellIs" dxfId="743" priority="18" operator="greaterThan">
      <formula>13</formula>
    </cfRule>
  </conditionalFormatting>
  <conditionalFormatting sqref="B7">
    <cfRule type="duplicateValues" dxfId="742" priority="8"/>
  </conditionalFormatting>
  <conditionalFormatting sqref="B8">
    <cfRule type="duplicateValues" dxfId="741" priority="7"/>
  </conditionalFormatting>
  <conditionalFormatting sqref="B9">
    <cfRule type="duplicateValues" dxfId="740" priority="6"/>
  </conditionalFormatting>
  <conditionalFormatting sqref="C24:J26 C27:I27 C28:H60">
    <cfRule type="cellIs" dxfId="739" priority="5" stopIfTrue="1" operator="equal">
      <formula>13</formula>
    </cfRule>
  </conditionalFormatting>
  <conditionalFormatting sqref="G7:H11 G17:H17">
    <cfRule type="duplicateValues" dxfId="738" priority="266"/>
    <cfRule type="cellIs" dxfId="737" priority="267" operator="equal">
      <formula>13</formula>
    </cfRule>
  </conditionalFormatting>
  <conditionalFormatting sqref="B10:B11 B17">
    <cfRule type="duplicateValues" dxfId="736" priority="270"/>
  </conditionalFormatting>
  <conditionalFormatting sqref="C64:F67 C71:F71 D68:F70">
    <cfRule type="cellIs" dxfId="735" priority="4" operator="equal">
      <formula>13</formula>
    </cfRule>
  </conditionalFormatting>
  <conditionalFormatting sqref="G19:H23 G61:H62 G72:H72">
    <cfRule type="duplicateValues" dxfId="734" priority="279"/>
    <cfRule type="cellIs" dxfId="733" priority="280" operator="equal">
      <formula>13</formula>
    </cfRule>
  </conditionalFormatting>
  <conditionalFormatting sqref="B19:B23 B61:B62 B72">
    <cfRule type="duplicateValues" dxfId="732" priority="285"/>
  </conditionalFormatting>
  <conditionalFormatting sqref="B64">
    <cfRule type="duplicateValues" dxfId="731" priority="3"/>
  </conditionalFormatting>
  <conditionalFormatting sqref="B80">
    <cfRule type="duplicateValues" dxfId="730" priority="2"/>
  </conditionalFormatting>
  <conditionalFormatting sqref="C68:C70">
    <cfRule type="cellIs" dxfId="729" priority="1" operator="equal">
      <formula>13</formula>
    </cfRule>
  </conditionalFormatting>
  <pageMargins left="0.78740157480314965" right="0.39370078740157483" top="0.78740157480314965" bottom="0.39370078740157483" header="0.59055118110236227" footer="0"/>
  <pageSetup paperSize="9" scale="96" fitToHeight="0" orientation="landscape" r:id="rId1"/>
  <headerFooter>
    <oddHeader>&amp;R&amp;"Arial,Regular"&amp;9Page &amp;P of &amp;N</oddHeader>
  </headerFooter>
  <rowBreaks count="2" manualBreakCount="2">
    <brk id="22" max="16383" man="1"/>
    <brk id="59"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03"/>
  <sheetViews>
    <sheetView showGridLines="0" showRowColHeaders="0" zoomScaleNormal="100" workbookViewId="0">
      <pane ySplit="2" topLeftCell="A3" activePane="bottomLeft" state="frozen"/>
      <selection activeCell="I1" sqref="I1"/>
      <selection pane="bottomLeft" activeCell="I1" sqref="I1"/>
    </sheetView>
  </sheetViews>
  <sheetFormatPr defaultRowHeight="12.75" x14ac:dyDescent="0.2"/>
  <cols>
    <col min="1" max="1" width="5.5703125" style="2" customWidth="1"/>
    <col min="2" max="2" width="30.85546875" style="2" bestFit="1" customWidth="1"/>
    <col min="3" max="3" width="7.28515625" style="2" customWidth="1"/>
    <col min="4" max="4" width="7.42578125" style="2" bestFit="1" customWidth="1"/>
    <col min="5" max="6" width="9.140625" style="2"/>
    <col min="7" max="7" width="5.140625" style="2" customWidth="1"/>
    <col min="8" max="8" width="9.140625" style="2"/>
    <col min="9" max="9" width="4.42578125" style="2" customWidth="1"/>
    <col min="10" max="12" width="9.140625" style="2"/>
    <col min="13" max="13" width="5.28515625" style="2" customWidth="1"/>
    <col min="14" max="16384" width="9.140625" style="2"/>
  </cols>
  <sheetData>
    <row r="1" spans="1:7" x14ac:dyDescent="0.2">
      <c r="A1" s="1" t="str">
        <f>UPPER((Kalend!E27)&amp;" - "&amp;(Kalend!C27)&amp;" - "&amp;(Kalend!D27))</f>
        <v xml:space="preserve"> - IDA-VIRUMAA MV (PUULID) - DUO</v>
      </c>
      <c r="E1" s="113" t="str">
        <f>HYPERLINK("#Kalend!I1","Kalender")</f>
        <v>Kalender</v>
      </c>
      <c r="G1" s="113" t="str">
        <f>HYPERLINK("#Reit!K1","Reiting")</f>
        <v>Reiting</v>
      </c>
    </row>
    <row r="2" spans="1:7" x14ac:dyDescent="0.2">
      <c r="A2" s="2" t="str">
        <f>"Toimumisaeg: "&amp;(Kalend!A27)&amp;" kell "&amp;(Kalend!B27)</f>
        <v>Toimumisaeg: N, 13.07.2017 kell 18:00</v>
      </c>
    </row>
    <row r="3" spans="1:7" x14ac:dyDescent="0.2">
      <c r="A3" s="2" t="str">
        <f>"Toimumiskoht: "&amp;(Kalend!F27)</f>
        <v>Toimumiskoht: Voka staadion</v>
      </c>
    </row>
    <row r="4" spans="1:7" x14ac:dyDescent="0.2">
      <c r="A4" s="2" t="str">
        <f>"Korraldaja: "&amp;(Kalend!G27)</f>
        <v>Korraldaja: K-Järve SHK, Ivar Viljaste</v>
      </c>
    </row>
    <row r="6" spans="1:7" x14ac:dyDescent="0.2">
      <c r="A6" s="427" t="s">
        <v>255</v>
      </c>
      <c r="B6" s="477"/>
      <c r="C6" s="478" t="s">
        <v>256</v>
      </c>
      <c r="D6" s="479" t="s">
        <v>257</v>
      </c>
      <c r="E6" s="479" t="s">
        <v>258</v>
      </c>
      <c r="F6" s="478" t="s">
        <v>254</v>
      </c>
      <c r="G6" s="478" t="s">
        <v>145</v>
      </c>
    </row>
    <row r="7" spans="1:7" x14ac:dyDescent="0.2">
      <c r="A7" s="430">
        <v>1</v>
      </c>
      <c r="B7" s="482" t="s">
        <v>363</v>
      </c>
      <c r="C7" s="434">
        <v>13</v>
      </c>
      <c r="D7" s="434">
        <v>5</v>
      </c>
      <c r="E7" s="434"/>
      <c r="F7" s="434">
        <v>13</v>
      </c>
      <c r="G7" s="434" t="str">
        <f>IF(AND(COUNTIF(C7:F7,13)=0,COUNT(C7:F7)=2),"IV",IF(AND(COUNTIF(C7:F7,13)=1,COUNT(C7:F7)=3),"III",IF(AND(COUNTIF(C7:F7,13)=2,COUNT(C7:F7)=3),"II",IF(AND(COUNTIF(C7:F7,13)=2,COUNT(C7:F7)=2),"I"))))</f>
        <v>II</v>
      </c>
    </row>
    <row r="8" spans="1:7" x14ac:dyDescent="0.2">
      <c r="A8" s="430">
        <v>2</v>
      </c>
      <c r="B8" s="480" t="s">
        <v>576</v>
      </c>
      <c r="C8" s="434">
        <v>13</v>
      </c>
      <c r="D8" s="434">
        <v>13</v>
      </c>
      <c r="E8" s="434"/>
      <c r="F8" s="434"/>
      <c r="G8" s="434" t="str">
        <f>IF(AND(COUNTIF(C8:F8,13)=0,COUNT(C8:F8)=2),"IV",IF(AND(COUNTIF(C8:F8,13)=1,COUNT(C8:F8)=3),"III",IF(AND(COUNTIF(C8:F8,13)=2,COUNT(C8:F8)=3),"II",IF(AND(COUNTIF(C8:F8,13)=2,COUNT(C8:F8)=2),"I"))))</f>
        <v>I</v>
      </c>
    </row>
    <row r="9" spans="1:7" x14ac:dyDescent="0.2">
      <c r="A9" s="430">
        <v>3</v>
      </c>
      <c r="B9" s="480" t="s">
        <v>540</v>
      </c>
      <c r="C9" s="434">
        <v>10</v>
      </c>
      <c r="D9" s="434"/>
      <c r="E9" s="434">
        <v>7</v>
      </c>
      <c r="F9" s="434"/>
      <c r="G9" s="434" t="str">
        <f>IF(AND(COUNTIF(C9:F9,13)=0,COUNT(C9:F9)=2),"IV",IF(AND(COUNTIF(C9:F9,13)=1,COUNT(C9:F9)=3),"III",IF(AND(COUNTIF(C9:F9,13)=2,COUNT(C9:F9)=3),"II",IF(AND(COUNTIF(C9:F9,13)=2,COUNT(C9:F9)=2),"I"))))</f>
        <v>IV</v>
      </c>
    </row>
    <row r="10" spans="1:7" x14ac:dyDescent="0.2">
      <c r="A10" s="430">
        <v>4</v>
      </c>
      <c r="B10" s="481" t="s">
        <v>577</v>
      </c>
      <c r="C10" s="434">
        <v>8</v>
      </c>
      <c r="D10" s="434"/>
      <c r="E10" s="434">
        <v>13</v>
      </c>
      <c r="F10" s="434">
        <v>8</v>
      </c>
      <c r="G10" s="434" t="str">
        <f>IF(AND(COUNTIF(C10:F10,13)=0,COUNT(C10:F10)=2),"IV",IF(AND(COUNTIF(C10:F10,13)=1,COUNT(C10:F10)=3),"III",IF(AND(COUNTIF(C10:F10,13)=2,COUNT(C10:F10)=3),"II",IF(AND(COUNTIF(C10:F10,13)=2,COUNT(C10:F10)=2),"I"))))</f>
        <v>III</v>
      </c>
    </row>
    <row r="11" spans="1:7" x14ac:dyDescent="0.2">
      <c r="B11" s="24"/>
      <c r="C11" s="24"/>
      <c r="D11" s="24"/>
      <c r="E11" s="24"/>
      <c r="F11" s="24"/>
      <c r="G11" s="24"/>
    </row>
    <row r="12" spans="1:7" x14ac:dyDescent="0.2">
      <c r="A12" s="427" t="s">
        <v>318</v>
      </c>
      <c r="B12" s="477"/>
      <c r="C12" s="478" t="s">
        <v>256</v>
      </c>
      <c r="D12" s="479" t="s">
        <v>257</v>
      </c>
      <c r="E12" s="479" t="s">
        <v>258</v>
      </c>
      <c r="F12" s="478" t="s">
        <v>254</v>
      </c>
      <c r="G12" s="478" t="s">
        <v>145</v>
      </c>
    </row>
    <row r="13" spans="1:7" x14ac:dyDescent="0.2">
      <c r="A13" s="430">
        <v>1</v>
      </c>
      <c r="B13" s="482" t="s">
        <v>578</v>
      </c>
      <c r="C13" s="478">
        <v>10</v>
      </c>
      <c r="D13" s="434">
        <v>13</v>
      </c>
      <c r="E13" s="434"/>
      <c r="F13" s="434"/>
      <c r="G13" s="652" t="s">
        <v>269</v>
      </c>
    </row>
    <row r="14" spans="1:7" x14ac:dyDescent="0.2">
      <c r="A14" s="430">
        <v>2</v>
      </c>
      <c r="B14" s="480" t="s">
        <v>541</v>
      </c>
      <c r="C14" s="434">
        <v>8</v>
      </c>
      <c r="D14" s="434"/>
      <c r="E14" s="434">
        <v>8</v>
      </c>
      <c r="F14" s="434"/>
      <c r="G14" s="434" t="str">
        <f>IF(AND(COUNTIF(C14:F14,13)=0,COUNT(C14:F14)=2),"IV",IF(AND(COUNTIF(C14:F14,13)=1,COUNT(C14:F14)=3),"III",IF(AND(COUNTIF(C14:F14,13)=2,COUNT(C14:F14)=3),"II",IF(AND(COUNTIF(C14:F14,13)=2,COUNT(C14:F14)=2),"I"))))</f>
        <v>IV</v>
      </c>
    </row>
    <row r="15" spans="1:7" x14ac:dyDescent="0.2">
      <c r="A15" s="430">
        <v>3</v>
      </c>
      <c r="B15" s="480" t="s">
        <v>515</v>
      </c>
      <c r="C15" s="478">
        <v>10</v>
      </c>
      <c r="D15" s="434">
        <v>6</v>
      </c>
      <c r="E15" s="434"/>
      <c r="F15" s="434">
        <v>5</v>
      </c>
      <c r="G15" s="652" t="s">
        <v>266</v>
      </c>
    </row>
    <row r="16" spans="1:7" x14ac:dyDescent="0.2">
      <c r="A16" s="430">
        <v>4</v>
      </c>
      <c r="B16" s="481" t="s">
        <v>405</v>
      </c>
      <c r="C16" s="434">
        <v>6</v>
      </c>
      <c r="D16" s="434"/>
      <c r="E16" s="434">
        <v>13</v>
      </c>
      <c r="F16" s="434">
        <v>13</v>
      </c>
      <c r="G16" s="434" t="str">
        <f>IF(AND(COUNTIF(C16:F16,13)=0,COUNT(C16:F16)=2),"IV",IF(AND(COUNTIF(C16:F16,13)=1,COUNT(C16:F16)=3),"III",IF(AND(COUNTIF(C16:F16,13)=2,COUNT(C16:F16)=3),"II",IF(AND(COUNTIF(C16:F16,13)=2,COUNT(C16:F16)=2),"I"))))</f>
        <v>II</v>
      </c>
    </row>
    <row r="17" spans="1:10" x14ac:dyDescent="0.2">
      <c r="A17" s="443"/>
      <c r="B17" s="485"/>
      <c r="C17" s="486"/>
      <c r="D17" s="486"/>
      <c r="E17" s="486"/>
      <c r="F17" s="486"/>
      <c r="G17" s="486"/>
    </row>
    <row r="18" spans="1:10" x14ac:dyDescent="0.2">
      <c r="A18" s="427" t="s">
        <v>319</v>
      </c>
      <c r="B18" s="477"/>
      <c r="C18" s="478" t="s">
        <v>256</v>
      </c>
      <c r="D18" s="479" t="s">
        <v>257</v>
      </c>
      <c r="E18" s="479" t="s">
        <v>258</v>
      </c>
      <c r="F18" s="478" t="s">
        <v>254</v>
      </c>
      <c r="G18" s="478" t="s">
        <v>145</v>
      </c>
    </row>
    <row r="19" spans="1:10" x14ac:dyDescent="0.2">
      <c r="A19" s="430">
        <v>1</v>
      </c>
      <c r="B19" s="482" t="s">
        <v>431</v>
      </c>
      <c r="C19" s="434">
        <v>13</v>
      </c>
      <c r="D19" s="434">
        <v>13</v>
      </c>
      <c r="E19" s="434"/>
      <c r="F19" s="434"/>
      <c r="G19" s="434" t="str">
        <f>IF(AND(COUNTIF(C19:F19,13)=0,COUNT(C19:F19)=2),"IV",IF(AND(COUNTIF(C19:F19,13)=1,COUNT(C19:F19)=3),"III",IF(AND(COUNTIF(C19:F19,13)=2,COUNT(C19:F19)=3),"II",IF(AND(COUNTIF(C19:F19,13)=2,COUNT(C19:F19)=2),"I"))))</f>
        <v>I</v>
      </c>
    </row>
    <row r="20" spans="1:10" x14ac:dyDescent="0.2">
      <c r="A20" s="430">
        <v>2</v>
      </c>
      <c r="B20" s="480" t="s">
        <v>579</v>
      </c>
      <c r="C20" s="434">
        <v>13</v>
      </c>
      <c r="D20" s="434">
        <v>2</v>
      </c>
      <c r="E20" s="434"/>
      <c r="F20" s="434">
        <v>7</v>
      </c>
      <c r="G20" s="434" t="str">
        <f>IF(AND(COUNTIF(C20:F20,13)=0,COUNT(C20:F20)=2),"IV",IF(AND(COUNTIF(C20:F20,13)=1,COUNT(C20:F20)=3),"III",IF(AND(COUNTIF(C20:F20,13)=2,COUNT(C20:F20)=3),"II",IF(AND(COUNTIF(C20:F20,13)=2,COUNT(C20:F20)=2),"I"))))</f>
        <v>III</v>
      </c>
    </row>
    <row r="21" spans="1:10" x14ac:dyDescent="0.2">
      <c r="A21" s="430">
        <v>3</v>
      </c>
      <c r="B21" s="480" t="s">
        <v>338</v>
      </c>
      <c r="C21" s="434">
        <v>4</v>
      </c>
      <c r="D21" s="434"/>
      <c r="E21" s="434">
        <v>13</v>
      </c>
      <c r="F21" s="434">
        <v>13</v>
      </c>
      <c r="G21" s="434" t="str">
        <f>IF(AND(COUNTIF(C21:F21,13)=0,COUNT(C21:F21)=2),"IV",IF(AND(COUNTIF(C21:F21,13)=1,COUNT(C21:F21)=3),"III",IF(AND(COUNTIF(C21:F21,13)=2,COUNT(C21:F21)=3),"II",IF(AND(COUNTIF(C21:F21,13)=2,COUNT(C21:F21)=2),"I"))))</f>
        <v>II</v>
      </c>
    </row>
    <row r="22" spans="1:10" x14ac:dyDescent="0.2">
      <c r="A22" s="430">
        <v>4</v>
      </c>
      <c r="B22" s="481"/>
      <c r="C22" s="434">
        <f>IF(ISBLANK(B22),0)</f>
        <v>0</v>
      </c>
      <c r="D22" s="434"/>
      <c r="E22" s="434">
        <f>IF(ISBLANK(B22),0)</f>
        <v>0</v>
      </c>
      <c r="F22" s="434"/>
      <c r="G22" s="434"/>
    </row>
    <row r="23" spans="1:10" x14ac:dyDescent="0.2">
      <c r="A23" s="443"/>
      <c r="B23" s="485"/>
      <c r="C23" s="486"/>
      <c r="D23" s="486"/>
      <c r="E23" s="486"/>
      <c r="F23" s="486"/>
      <c r="G23" s="486"/>
    </row>
    <row r="24" spans="1:10" x14ac:dyDescent="0.2">
      <c r="A24" s="427" t="s">
        <v>417</v>
      </c>
      <c r="B24" s="477"/>
      <c r="C24" s="478" t="s">
        <v>256</v>
      </c>
      <c r="D24" s="479" t="s">
        <v>257</v>
      </c>
      <c r="E24" s="479" t="s">
        <v>258</v>
      </c>
      <c r="F24" s="478" t="s">
        <v>254</v>
      </c>
      <c r="G24" s="478" t="s">
        <v>145</v>
      </c>
    </row>
    <row r="25" spans="1:10" x14ac:dyDescent="0.2">
      <c r="A25" s="430">
        <v>1</v>
      </c>
      <c r="B25" s="482" t="s">
        <v>366</v>
      </c>
      <c r="C25" s="434">
        <v>13</v>
      </c>
      <c r="D25" s="434">
        <v>4</v>
      </c>
      <c r="E25" s="434"/>
      <c r="F25" s="434">
        <v>13</v>
      </c>
      <c r="G25" s="434" t="str">
        <f>IF(AND(COUNTIF(C25:F25,13)=0,COUNT(C25:F25)=2),"IV",IF(AND(COUNTIF(C25:F25,13)=1,COUNT(C25:F25)=3),"III",IF(AND(COUNTIF(C25:F25,13)=2,COUNT(C25:F25)=3),"II",IF(AND(COUNTIF(C25:F25,13)=2,COUNT(C25:F25)=2),"I"))))</f>
        <v>II</v>
      </c>
    </row>
    <row r="26" spans="1:10" x14ac:dyDescent="0.2">
      <c r="A26" s="430">
        <v>2</v>
      </c>
      <c r="B26" s="480" t="s">
        <v>373</v>
      </c>
      <c r="C26" s="478">
        <v>12</v>
      </c>
      <c r="D26" s="434">
        <v>13</v>
      </c>
      <c r="E26" s="434"/>
      <c r="F26" s="434"/>
      <c r="G26" s="652" t="s">
        <v>269</v>
      </c>
    </row>
    <row r="27" spans="1:10" x14ac:dyDescent="0.2">
      <c r="A27" s="430">
        <v>3</v>
      </c>
      <c r="B27" s="480" t="s">
        <v>335</v>
      </c>
      <c r="C27" s="434">
        <v>9</v>
      </c>
      <c r="D27" s="434"/>
      <c r="E27" s="434">
        <v>5</v>
      </c>
      <c r="F27" s="434"/>
      <c r="G27" s="434" t="str">
        <f>IF(AND(COUNTIF(C27:F27,13)=0,COUNT(C27:F27)=2),"IV",IF(AND(COUNTIF(C27:F27,13)=1,COUNT(C27:F27)=3),"III",IF(AND(COUNTIF(C27:F27,13)=2,COUNT(C27:F27)=3),"II",IF(AND(COUNTIF(C27:F27,13)=2,COUNT(C27:F27)=2),"I"))))</f>
        <v>IV</v>
      </c>
    </row>
    <row r="28" spans="1:10" x14ac:dyDescent="0.2">
      <c r="A28" s="430">
        <v>4</v>
      </c>
      <c r="B28" s="481" t="s">
        <v>580</v>
      </c>
      <c r="C28" s="434">
        <v>0</v>
      </c>
      <c r="D28" s="434"/>
      <c r="E28" s="434">
        <v>13</v>
      </c>
      <c r="F28" s="434">
        <v>7</v>
      </c>
      <c r="G28" s="434" t="str">
        <f>IF(AND(COUNTIF(C28:F28,13)=0,COUNT(C28:F28)=2),"IV",IF(AND(COUNTIF(C28:F28,13)=1,COUNT(C28:F28)=3),"III",IF(AND(COUNTIF(C28:F28,13)=2,COUNT(C28:F28)=3),"II",IF(AND(COUNTIF(C28:F28,13)=2,COUNT(C28:F28)=2),"I"))))</f>
        <v>III</v>
      </c>
    </row>
    <row r="29" spans="1:10" x14ac:dyDescent="0.2">
      <c r="A29" s="443"/>
      <c r="B29" s="485"/>
      <c r="C29" s="486"/>
      <c r="D29" s="486"/>
      <c r="E29" s="486"/>
      <c r="F29" s="486"/>
      <c r="G29" s="486"/>
    </row>
    <row r="30" spans="1:10" x14ac:dyDescent="0.2">
      <c r="A30" s="487" t="s">
        <v>281</v>
      </c>
      <c r="B30" s="488"/>
      <c r="C30" s="937" t="s">
        <v>632</v>
      </c>
      <c r="D30" s="488"/>
      <c r="E30" s="488"/>
      <c r="F30" s="488"/>
      <c r="G30" s="488"/>
      <c r="H30" s="152"/>
      <c r="I30" s="152"/>
      <c r="J30" s="152"/>
    </row>
    <row r="31" spans="1:10" x14ac:dyDescent="0.2">
      <c r="A31" s="487"/>
      <c r="B31" s="488"/>
      <c r="C31" s="488"/>
      <c r="D31" s="488"/>
      <c r="E31" s="488"/>
      <c r="F31" s="488"/>
      <c r="G31" s="488"/>
      <c r="H31" s="152"/>
      <c r="I31" s="152"/>
      <c r="J31" s="152"/>
    </row>
    <row r="32" spans="1:10" x14ac:dyDescent="0.2">
      <c r="A32" s="489" t="s">
        <v>282</v>
      </c>
      <c r="B32" s="528" t="s">
        <v>431</v>
      </c>
      <c r="C32" s="490">
        <v>10</v>
      </c>
      <c r="D32" s="488"/>
      <c r="E32" s="488"/>
      <c r="F32" s="488"/>
      <c r="G32" s="488"/>
      <c r="H32" s="488"/>
      <c r="I32" s="488"/>
      <c r="J32" s="488"/>
    </row>
    <row r="33" spans="1:10" x14ac:dyDescent="0.2">
      <c r="A33" s="491"/>
      <c r="B33" s="492"/>
      <c r="C33" s="493" t="s">
        <v>366</v>
      </c>
      <c r="D33" s="488"/>
      <c r="E33" s="490">
        <v>3</v>
      </c>
      <c r="F33" s="488"/>
      <c r="G33" s="488"/>
      <c r="H33" s="488"/>
      <c r="I33" s="488"/>
      <c r="J33" s="488"/>
    </row>
    <row r="34" spans="1:10" x14ac:dyDescent="0.2">
      <c r="A34" s="489" t="s">
        <v>288</v>
      </c>
      <c r="B34" s="529" t="s">
        <v>366</v>
      </c>
      <c r="C34" s="496">
        <v>13</v>
      </c>
      <c r="D34" s="497"/>
      <c r="E34" s="488"/>
      <c r="F34" s="488"/>
      <c r="G34" s="488"/>
      <c r="H34" s="488"/>
      <c r="I34" s="488"/>
    </row>
    <row r="35" spans="1:10" x14ac:dyDescent="0.2">
      <c r="A35" s="491"/>
      <c r="B35" s="488"/>
      <c r="C35" s="488"/>
      <c r="D35" s="499"/>
      <c r="E35" s="488" t="s">
        <v>576</v>
      </c>
      <c r="F35" s="488"/>
      <c r="G35" s="490">
        <v>3</v>
      </c>
      <c r="H35" s="488"/>
      <c r="I35" s="488"/>
    </row>
    <row r="36" spans="1:10" x14ac:dyDescent="0.2">
      <c r="A36" s="489" t="s">
        <v>290</v>
      </c>
      <c r="B36" s="500" t="s">
        <v>576</v>
      </c>
      <c r="C36" s="501">
        <v>13</v>
      </c>
      <c r="D36" s="499"/>
      <c r="E36" s="492"/>
      <c r="F36" s="497"/>
      <c r="G36" s="488"/>
      <c r="H36" s="488"/>
      <c r="I36" s="488"/>
    </row>
    <row r="37" spans="1:10" x14ac:dyDescent="0.2">
      <c r="A37" s="491"/>
      <c r="B37" s="492"/>
      <c r="C37" s="502" t="s">
        <v>576</v>
      </c>
      <c r="D37" s="503"/>
      <c r="E37" s="501">
        <v>13</v>
      </c>
      <c r="F37" s="499"/>
      <c r="G37" s="488"/>
      <c r="H37" s="488"/>
      <c r="I37" s="488"/>
    </row>
    <row r="38" spans="1:10" x14ac:dyDescent="0.2">
      <c r="A38" s="489" t="s">
        <v>283</v>
      </c>
      <c r="B38" s="495" t="s">
        <v>405</v>
      </c>
      <c r="C38" s="504">
        <v>12</v>
      </c>
      <c r="D38" s="488"/>
      <c r="E38" s="498"/>
      <c r="F38" s="499"/>
      <c r="G38" s="488"/>
      <c r="H38" s="488"/>
      <c r="I38" s="488"/>
    </row>
    <row r="39" spans="1:10" ht="13.5" thickBot="1" x14ac:dyDescent="0.25">
      <c r="A39" s="491"/>
      <c r="B39" s="488"/>
      <c r="C39" s="488"/>
      <c r="D39" s="488"/>
      <c r="E39" s="498"/>
      <c r="F39" s="499"/>
      <c r="G39" s="488"/>
      <c r="H39" s="528" t="s">
        <v>363</v>
      </c>
      <c r="I39" s="488"/>
    </row>
    <row r="40" spans="1:10" x14ac:dyDescent="0.2">
      <c r="A40" s="489" t="s">
        <v>286</v>
      </c>
      <c r="B40" s="488" t="s">
        <v>578</v>
      </c>
      <c r="C40" s="490">
        <v>4</v>
      </c>
      <c r="D40" s="488"/>
      <c r="E40" s="498"/>
      <c r="F40" s="499"/>
      <c r="G40" s="505"/>
      <c r="H40" s="506" t="s">
        <v>287</v>
      </c>
      <c r="I40" s="507"/>
    </row>
    <row r="41" spans="1:10" x14ac:dyDescent="0.2">
      <c r="A41" s="491"/>
      <c r="B41" s="492"/>
      <c r="C41" s="493" t="s">
        <v>363</v>
      </c>
      <c r="D41" s="488"/>
      <c r="E41" s="501">
        <v>13</v>
      </c>
      <c r="F41" s="499"/>
      <c r="G41" s="488"/>
      <c r="H41" s="488"/>
      <c r="I41" s="488"/>
    </row>
    <row r="42" spans="1:10" ht="13.5" thickBot="1" x14ac:dyDescent="0.25">
      <c r="A42" s="489" t="s">
        <v>285</v>
      </c>
      <c r="B42" s="494" t="s">
        <v>363</v>
      </c>
      <c r="C42" s="496">
        <v>13</v>
      </c>
      <c r="D42" s="497"/>
      <c r="E42" s="498"/>
      <c r="F42" s="499"/>
      <c r="G42" s="488"/>
      <c r="H42" s="885" t="s">
        <v>576</v>
      </c>
      <c r="I42" s="508"/>
    </row>
    <row r="43" spans="1:10" x14ac:dyDescent="0.2">
      <c r="A43" s="491"/>
      <c r="B43" s="488"/>
      <c r="C43" s="488"/>
      <c r="D43" s="499"/>
      <c r="E43" s="494" t="s">
        <v>363</v>
      </c>
      <c r="F43" s="503"/>
      <c r="G43" s="490">
        <v>13</v>
      </c>
      <c r="H43" s="506" t="s">
        <v>289</v>
      </c>
      <c r="I43" s="488"/>
    </row>
    <row r="44" spans="1:10" x14ac:dyDescent="0.2">
      <c r="A44" s="489" t="s">
        <v>284</v>
      </c>
      <c r="B44" s="528" t="s">
        <v>373</v>
      </c>
      <c r="C44" s="501">
        <v>13</v>
      </c>
      <c r="D44" s="499"/>
      <c r="E44" s="488"/>
      <c r="F44" s="488"/>
      <c r="G44" s="488"/>
      <c r="H44" s="488"/>
      <c r="I44" s="488"/>
    </row>
    <row r="45" spans="1:10" x14ac:dyDescent="0.2">
      <c r="A45" s="491"/>
      <c r="B45" s="492"/>
      <c r="C45" s="502" t="s">
        <v>373</v>
      </c>
      <c r="D45" s="503"/>
      <c r="E45" s="490">
        <v>1</v>
      </c>
      <c r="F45" s="488"/>
      <c r="G45" s="488"/>
      <c r="H45" s="488"/>
      <c r="I45" s="488"/>
    </row>
    <row r="46" spans="1:10" x14ac:dyDescent="0.2">
      <c r="A46" s="489" t="s">
        <v>291</v>
      </c>
      <c r="B46" s="494" t="s">
        <v>338</v>
      </c>
      <c r="C46" s="504">
        <v>6</v>
      </c>
      <c r="D46" s="488"/>
      <c r="E46" s="488"/>
      <c r="F46" s="488"/>
      <c r="G46" s="488"/>
      <c r="H46" s="488"/>
      <c r="I46" s="488"/>
    </row>
    <row r="47" spans="1:10" x14ac:dyDescent="0.2">
      <c r="A47" s="488"/>
      <c r="B47" s="488"/>
      <c r="C47" s="488"/>
      <c r="D47" s="488"/>
      <c r="E47" s="488" t="s">
        <v>366</v>
      </c>
      <c r="F47" s="488"/>
      <c r="G47" s="501">
        <v>13</v>
      </c>
      <c r="H47" s="498"/>
      <c r="I47" s="498"/>
    </row>
    <row r="48" spans="1:10" ht="13.5" thickBot="1" x14ac:dyDescent="0.25">
      <c r="A48" s="488"/>
      <c r="B48" s="488"/>
      <c r="C48" s="488"/>
      <c r="D48" s="488"/>
      <c r="E48" s="492"/>
      <c r="F48" s="497"/>
      <c r="G48" s="508"/>
      <c r="H48" s="885" t="s">
        <v>366</v>
      </c>
      <c r="I48" s="508"/>
    </row>
    <row r="49" spans="1:9" x14ac:dyDescent="0.2">
      <c r="A49" s="488"/>
      <c r="B49" s="488"/>
      <c r="C49" s="488"/>
      <c r="D49" s="488"/>
      <c r="E49" s="494" t="s">
        <v>373</v>
      </c>
      <c r="F49" s="503"/>
      <c r="G49" s="490">
        <v>11</v>
      </c>
      <c r="H49" s="509" t="s">
        <v>292</v>
      </c>
      <c r="I49" s="498"/>
    </row>
    <row r="50" spans="1:9" x14ac:dyDescent="0.2">
      <c r="A50" s="488"/>
      <c r="B50" s="488"/>
      <c r="C50" s="488"/>
      <c r="D50" s="488"/>
      <c r="E50" s="488"/>
      <c r="F50" s="488"/>
      <c r="G50" s="488"/>
      <c r="H50" s="498"/>
      <c r="I50" s="498"/>
    </row>
    <row r="51" spans="1:9" ht="13.5" thickBot="1" x14ac:dyDescent="0.25">
      <c r="A51" s="488"/>
      <c r="B51" s="488"/>
      <c r="C51" s="488"/>
      <c r="D51" s="488"/>
      <c r="E51" s="488"/>
      <c r="F51" s="498"/>
      <c r="G51" s="488"/>
      <c r="H51" s="508" t="s">
        <v>373</v>
      </c>
      <c r="I51" s="508"/>
    </row>
    <row r="52" spans="1:9" x14ac:dyDescent="0.2">
      <c r="A52" s="488"/>
      <c r="B52" s="488"/>
      <c r="C52" s="528" t="s">
        <v>431</v>
      </c>
      <c r="D52" s="488"/>
      <c r="E52" s="490">
        <v>13</v>
      </c>
      <c r="F52" s="488"/>
      <c r="G52" s="488"/>
      <c r="H52" s="510" t="s">
        <v>293</v>
      </c>
      <c r="I52" s="488"/>
    </row>
    <row r="53" spans="1:9" x14ac:dyDescent="0.2">
      <c r="A53" s="488"/>
      <c r="B53" s="488"/>
      <c r="C53" s="492"/>
      <c r="D53" s="497"/>
      <c r="E53" s="493" t="s">
        <v>431</v>
      </c>
      <c r="F53" s="494"/>
      <c r="G53" s="490">
        <v>13</v>
      </c>
      <c r="H53" s="488"/>
      <c r="I53" s="488"/>
    </row>
    <row r="54" spans="1:9" x14ac:dyDescent="0.2">
      <c r="A54" s="488"/>
      <c r="B54" s="488"/>
      <c r="C54" s="494" t="s">
        <v>405</v>
      </c>
      <c r="D54" s="503"/>
      <c r="E54" s="496">
        <v>4</v>
      </c>
      <c r="F54" s="499"/>
      <c r="G54" s="488"/>
      <c r="H54" s="488"/>
      <c r="I54" s="488"/>
    </row>
    <row r="55" spans="1:9" ht="13.5" thickBot="1" x14ac:dyDescent="0.25">
      <c r="A55" s="488"/>
      <c r="B55" s="488"/>
      <c r="C55" s="488"/>
      <c r="D55" s="488"/>
      <c r="E55" s="498"/>
      <c r="F55" s="499"/>
      <c r="G55" s="488"/>
      <c r="H55" s="488" t="s">
        <v>431</v>
      </c>
      <c r="I55" s="488"/>
    </row>
    <row r="56" spans="1:9" x14ac:dyDescent="0.2">
      <c r="A56" s="488"/>
      <c r="B56" s="488"/>
      <c r="C56" s="488" t="s">
        <v>578</v>
      </c>
      <c r="D56" s="488"/>
      <c r="E56" s="501">
        <v>5</v>
      </c>
      <c r="F56" s="499"/>
      <c r="G56" s="505"/>
      <c r="H56" s="506" t="s">
        <v>294</v>
      </c>
      <c r="I56" s="507"/>
    </row>
    <row r="57" spans="1:9" x14ac:dyDescent="0.2">
      <c r="A57" s="488"/>
      <c r="B57" s="488"/>
      <c r="C57" s="492"/>
      <c r="D57" s="497"/>
      <c r="E57" s="502" t="s">
        <v>338</v>
      </c>
      <c r="F57" s="503"/>
      <c r="G57" s="501">
        <v>12</v>
      </c>
      <c r="H57" s="488"/>
      <c r="I57" s="488"/>
    </row>
    <row r="58" spans="1:9" ht="13.5" thickBot="1" x14ac:dyDescent="0.25">
      <c r="A58" s="488"/>
      <c r="B58" s="488"/>
      <c r="C58" s="530" t="s">
        <v>338</v>
      </c>
      <c r="D58" s="503"/>
      <c r="E58" s="504">
        <v>13</v>
      </c>
      <c r="F58" s="488"/>
      <c r="G58" s="498"/>
      <c r="H58" s="498" t="s">
        <v>338</v>
      </c>
      <c r="I58" s="508"/>
    </row>
    <row r="59" spans="1:9" x14ac:dyDescent="0.2">
      <c r="A59" s="488"/>
      <c r="B59" s="488"/>
      <c r="C59" s="488"/>
      <c r="D59" s="488"/>
      <c r="E59" s="488"/>
      <c r="F59" s="488"/>
      <c r="G59" s="498"/>
      <c r="H59" s="506" t="s">
        <v>295</v>
      </c>
      <c r="I59" s="498"/>
    </row>
    <row r="60" spans="1:9" x14ac:dyDescent="0.2">
      <c r="A60" s="488"/>
      <c r="B60" s="488"/>
      <c r="C60" s="488"/>
      <c r="D60" s="488"/>
      <c r="E60" s="488" t="s">
        <v>405</v>
      </c>
      <c r="F60" s="488"/>
      <c r="G60" s="501">
        <v>7</v>
      </c>
      <c r="H60" s="498"/>
      <c r="I60" s="498"/>
    </row>
    <row r="61" spans="1:9" ht="13.5" thickBot="1" x14ac:dyDescent="0.25">
      <c r="A61" s="488"/>
      <c r="B61" s="488"/>
      <c r="C61" s="488"/>
      <c r="D61" s="488"/>
      <c r="E61" s="492"/>
      <c r="F61" s="497"/>
      <c r="G61" s="508"/>
      <c r="H61" s="508" t="s">
        <v>578</v>
      </c>
      <c r="I61" s="508"/>
    </row>
    <row r="62" spans="1:9" x14ac:dyDescent="0.2">
      <c r="A62" s="488"/>
      <c r="B62" s="488"/>
      <c r="C62" s="488"/>
      <c r="D62" s="488"/>
      <c r="E62" s="494" t="s">
        <v>578</v>
      </c>
      <c r="F62" s="503"/>
      <c r="G62" s="490">
        <v>13</v>
      </c>
      <c r="H62" s="506" t="s">
        <v>296</v>
      </c>
      <c r="I62" s="498"/>
    </row>
    <row r="63" spans="1:9" x14ac:dyDescent="0.2">
      <c r="A63" s="488"/>
      <c r="B63" s="488"/>
      <c r="C63" s="488"/>
      <c r="D63" s="488"/>
      <c r="E63" s="488"/>
      <c r="F63" s="488"/>
      <c r="G63" s="488"/>
      <c r="H63" s="498"/>
      <c r="I63" s="498"/>
    </row>
    <row r="64" spans="1:9" ht="13.5" thickBot="1" x14ac:dyDescent="0.25">
      <c r="A64" s="488"/>
      <c r="B64" s="488"/>
      <c r="C64" s="488"/>
      <c r="D64" s="488"/>
      <c r="E64" s="488"/>
      <c r="F64" s="498"/>
      <c r="G64" s="488"/>
      <c r="H64" s="508" t="s">
        <v>405</v>
      </c>
      <c r="I64" s="508"/>
    </row>
    <row r="65" spans="1:10" x14ac:dyDescent="0.2">
      <c r="A65" s="488"/>
      <c r="B65" s="488"/>
      <c r="C65" s="488"/>
      <c r="D65" s="488"/>
      <c r="E65" s="488"/>
      <c r="F65" s="498"/>
      <c r="G65" s="488"/>
      <c r="H65" s="506" t="s">
        <v>297</v>
      </c>
      <c r="I65" s="964"/>
    </row>
    <row r="66" spans="1:10" x14ac:dyDescent="0.2">
      <c r="A66" s="443"/>
      <c r="B66" s="485"/>
      <c r="C66" s="486"/>
      <c r="D66" s="486"/>
      <c r="E66" s="486"/>
      <c r="F66" s="486"/>
      <c r="G66" s="486"/>
    </row>
    <row r="67" spans="1:10" x14ac:dyDescent="0.2">
      <c r="A67" s="487" t="s">
        <v>575</v>
      </c>
      <c r="B67" s="488"/>
      <c r="C67" s="488"/>
      <c r="D67" s="488"/>
      <c r="E67" s="488"/>
      <c r="F67" s="488"/>
      <c r="G67" s="488"/>
      <c r="H67" s="152"/>
      <c r="I67" s="152"/>
      <c r="J67" s="152"/>
    </row>
    <row r="68" spans="1:10" x14ac:dyDescent="0.2">
      <c r="A68" s="487"/>
      <c r="B68" s="488"/>
      <c r="C68" s="488"/>
      <c r="D68" s="488"/>
      <c r="E68" s="488"/>
      <c r="F68" s="488"/>
      <c r="G68" s="488"/>
      <c r="H68" s="152"/>
      <c r="I68" s="152"/>
      <c r="J68" s="152"/>
    </row>
    <row r="69" spans="1:10" x14ac:dyDescent="0.2">
      <c r="A69" s="154"/>
      <c r="B69" s="512" t="s">
        <v>302</v>
      </c>
      <c r="C69" s="532" t="s">
        <v>515</v>
      </c>
      <c r="D69" s="436"/>
      <c r="E69" s="514">
        <v>13</v>
      </c>
      <c r="G69" s="436"/>
      <c r="H69" s="436"/>
      <c r="I69" s="436"/>
      <c r="J69" s="488"/>
    </row>
    <row r="70" spans="1:10" x14ac:dyDescent="0.2">
      <c r="A70" s="154"/>
      <c r="B70" s="154"/>
      <c r="C70" s="515"/>
      <c r="D70" s="516"/>
      <c r="E70" s="531" t="s">
        <v>515</v>
      </c>
      <c r="F70" s="436"/>
      <c r="G70" s="514">
        <v>4</v>
      </c>
      <c r="H70" s="436"/>
      <c r="I70" s="436"/>
      <c r="J70" s="488"/>
    </row>
    <row r="71" spans="1:10" x14ac:dyDescent="0.2">
      <c r="A71" s="154"/>
      <c r="B71" s="512" t="s">
        <v>301</v>
      </c>
      <c r="C71" s="533" t="s">
        <v>580</v>
      </c>
      <c r="D71" s="519"/>
      <c r="E71" s="520">
        <v>4</v>
      </c>
      <c r="F71" s="516"/>
      <c r="G71" s="436"/>
      <c r="H71" s="436"/>
      <c r="I71" s="436"/>
    </row>
    <row r="72" spans="1:10" ht="13.5" thickBot="1" x14ac:dyDescent="0.25">
      <c r="A72" s="154"/>
      <c r="B72" s="154"/>
      <c r="C72" s="436"/>
      <c r="D72" s="436"/>
      <c r="E72" s="436"/>
      <c r="F72" s="521"/>
      <c r="G72" s="436"/>
      <c r="H72" s="436" t="s">
        <v>541</v>
      </c>
      <c r="I72" s="436"/>
    </row>
    <row r="73" spans="1:10" x14ac:dyDescent="0.2">
      <c r="A73" s="154"/>
      <c r="B73" s="512" t="s">
        <v>300</v>
      </c>
      <c r="C73" s="436" t="s">
        <v>541</v>
      </c>
      <c r="D73" s="436"/>
      <c r="E73" s="514">
        <v>13</v>
      </c>
      <c r="F73" s="521"/>
      <c r="G73" s="522"/>
      <c r="H73" s="523" t="s">
        <v>303</v>
      </c>
      <c r="I73" s="522"/>
    </row>
    <row r="74" spans="1:10" x14ac:dyDescent="0.2">
      <c r="A74" s="154"/>
      <c r="B74" s="154"/>
      <c r="C74" s="515"/>
      <c r="D74" s="516"/>
      <c r="E74" s="517" t="s">
        <v>541</v>
      </c>
      <c r="F74" s="519"/>
      <c r="G74" s="514">
        <v>13</v>
      </c>
      <c r="H74" s="436"/>
      <c r="I74" s="436"/>
    </row>
    <row r="75" spans="1:10" ht="13.5" thickBot="1" x14ac:dyDescent="0.25">
      <c r="A75" s="154"/>
      <c r="B75" s="512" t="s">
        <v>305</v>
      </c>
      <c r="C75" s="518" t="s">
        <v>577</v>
      </c>
      <c r="D75" s="519"/>
      <c r="E75" s="520">
        <v>5</v>
      </c>
      <c r="F75" s="513"/>
      <c r="G75" s="436"/>
      <c r="H75" s="513" t="s">
        <v>515</v>
      </c>
      <c r="I75" s="524"/>
    </row>
    <row r="76" spans="1:10" x14ac:dyDescent="0.2">
      <c r="A76" s="154"/>
      <c r="B76" s="154"/>
      <c r="C76" s="436"/>
      <c r="D76" s="436"/>
      <c r="E76" s="513"/>
      <c r="F76" s="513"/>
      <c r="G76" s="436"/>
      <c r="H76" s="523" t="s">
        <v>304</v>
      </c>
      <c r="I76" s="436"/>
    </row>
    <row r="77" spans="1:10" x14ac:dyDescent="0.2">
      <c r="A77" s="154"/>
      <c r="B77" s="154"/>
      <c r="C77" s="154"/>
      <c r="D77" s="513"/>
      <c r="E77" s="513" t="s">
        <v>580</v>
      </c>
      <c r="F77" s="436"/>
      <c r="G77" s="525">
        <v>2</v>
      </c>
      <c r="H77" s="436"/>
      <c r="I77" s="436"/>
    </row>
    <row r="78" spans="1:10" ht="13.5" thickBot="1" x14ac:dyDescent="0.25">
      <c r="A78" s="154"/>
      <c r="B78" s="154"/>
      <c r="C78" s="154"/>
      <c r="D78" s="513"/>
      <c r="E78" s="515"/>
      <c r="F78" s="516"/>
      <c r="G78" s="524"/>
      <c r="H78" s="524" t="s">
        <v>577</v>
      </c>
      <c r="I78" s="524"/>
    </row>
    <row r="79" spans="1:10" x14ac:dyDescent="0.2">
      <c r="A79" s="154"/>
      <c r="B79" s="154"/>
      <c r="C79" s="154"/>
      <c r="D79" s="513"/>
      <c r="E79" s="518" t="s">
        <v>577</v>
      </c>
      <c r="F79" s="519"/>
      <c r="G79" s="514">
        <v>13</v>
      </c>
      <c r="H79" s="526" t="s">
        <v>307</v>
      </c>
      <c r="I79" s="513"/>
    </row>
    <row r="80" spans="1:10" x14ac:dyDescent="0.2">
      <c r="A80" s="154"/>
      <c r="B80" s="154"/>
      <c r="C80" s="154"/>
      <c r="D80" s="513"/>
      <c r="E80" s="513"/>
      <c r="F80" s="436"/>
      <c r="G80" s="436"/>
      <c r="H80" s="513"/>
      <c r="I80" s="513"/>
    </row>
    <row r="81" spans="1:9" ht="13.5" thickBot="1" x14ac:dyDescent="0.25">
      <c r="A81" s="154"/>
      <c r="B81" s="154"/>
      <c r="C81" s="154"/>
      <c r="D81" s="513"/>
      <c r="E81" s="513"/>
      <c r="F81" s="513"/>
      <c r="G81" s="436"/>
      <c r="H81" s="534" t="s">
        <v>580</v>
      </c>
      <c r="I81" s="524"/>
    </row>
    <row r="82" spans="1:9" x14ac:dyDescent="0.2">
      <c r="A82" s="154"/>
      <c r="B82" s="154"/>
      <c r="C82" s="154"/>
      <c r="D82" s="154"/>
      <c r="E82" s="154"/>
      <c r="F82" s="154"/>
      <c r="G82" s="154"/>
      <c r="H82" s="527" t="s">
        <v>308</v>
      </c>
      <c r="I82" s="436"/>
    </row>
    <row r="83" spans="1:9" x14ac:dyDescent="0.2">
      <c r="A83" s="488"/>
      <c r="B83" s="488"/>
      <c r="C83" s="154"/>
      <c r="D83" s="154"/>
      <c r="E83" s="154"/>
      <c r="F83" s="154"/>
      <c r="G83" s="154"/>
      <c r="H83" s="488"/>
      <c r="I83" s="488"/>
    </row>
    <row r="84" spans="1:9" x14ac:dyDescent="0.2">
      <c r="A84" s="488"/>
      <c r="B84" s="488"/>
      <c r="C84" s="154"/>
      <c r="D84" s="154"/>
      <c r="E84" s="154"/>
      <c r="F84" s="154"/>
      <c r="G84" s="154"/>
    </row>
    <row r="85" spans="1:9" x14ac:dyDescent="0.2">
      <c r="A85" s="488"/>
      <c r="B85" s="488"/>
      <c r="C85" s="154"/>
      <c r="D85" s="154"/>
      <c r="E85" s="154"/>
      <c r="F85" s="154"/>
      <c r="G85" s="154"/>
    </row>
    <row r="86" spans="1:9" ht="13.5" thickBot="1" x14ac:dyDescent="0.25">
      <c r="A86" s="488"/>
      <c r="B86" s="488"/>
      <c r="C86" s="154"/>
      <c r="D86" s="154"/>
      <c r="E86" s="154"/>
      <c r="F86" s="154"/>
      <c r="G86" s="154"/>
      <c r="H86" s="488" t="s">
        <v>579</v>
      </c>
      <c r="I86" s="488"/>
    </row>
    <row r="87" spans="1:9" x14ac:dyDescent="0.2">
      <c r="A87" s="488"/>
      <c r="B87" s="488"/>
      <c r="C87" s="154"/>
      <c r="D87" s="154"/>
      <c r="E87" s="154"/>
      <c r="F87" s="154"/>
      <c r="G87" s="154"/>
      <c r="H87" s="506" t="s">
        <v>582</v>
      </c>
      <c r="I87" s="507"/>
    </row>
    <row r="88" spans="1:9" x14ac:dyDescent="0.2">
      <c r="A88" s="488"/>
      <c r="B88" s="488"/>
      <c r="C88" s="154"/>
      <c r="D88" s="154"/>
      <c r="E88" s="154"/>
      <c r="F88" s="154"/>
      <c r="G88" s="154"/>
      <c r="H88" s="488"/>
      <c r="I88" s="488"/>
    </row>
    <row r="89" spans="1:9" ht="13.5" thickBot="1" x14ac:dyDescent="0.25">
      <c r="A89" s="890">
        <v>1</v>
      </c>
      <c r="B89" s="891" t="s">
        <v>363</v>
      </c>
      <c r="C89" s="154"/>
      <c r="D89" s="154"/>
      <c r="E89" s="154"/>
      <c r="F89" s="154"/>
      <c r="G89" s="154"/>
      <c r="H89" s="498" t="s">
        <v>540</v>
      </c>
      <c r="I89" s="508"/>
    </row>
    <row r="90" spans="1:9" x14ac:dyDescent="0.2">
      <c r="A90" s="890">
        <v>2</v>
      </c>
      <c r="B90" s="913" t="s">
        <v>576</v>
      </c>
      <c r="C90" s="154"/>
      <c r="D90" s="154"/>
      <c r="E90" s="154"/>
      <c r="F90" s="154"/>
      <c r="G90" s="154"/>
      <c r="H90" s="506" t="s">
        <v>582</v>
      </c>
      <c r="I90" s="498"/>
    </row>
    <row r="91" spans="1:9" x14ac:dyDescent="0.2">
      <c r="A91" s="890">
        <v>3</v>
      </c>
      <c r="B91" s="892" t="s">
        <v>366</v>
      </c>
      <c r="C91" s="154"/>
      <c r="D91" s="154"/>
      <c r="E91" s="154"/>
      <c r="F91" s="154"/>
      <c r="G91" s="154"/>
      <c r="H91" s="498"/>
      <c r="I91" s="498"/>
    </row>
    <row r="92" spans="1:9" ht="13.5" thickBot="1" x14ac:dyDescent="0.25">
      <c r="A92" s="890">
        <v>4</v>
      </c>
      <c r="B92" s="893" t="s">
        <v>373</v>
      </c>
      <c r="C92" s="154"/>
      <c r="D92" s="154"/>
      <c r="E92" s="154"/>
      <c r="F92" s="154"/>
      <c r="G92" s="154"/>
      <c r="H92" s="508" t="s">
        <v>335</v>
      </c>
      <c r="I92" s="508"/>
    </row>
    <row r="93" spans="1:9" x14ac:dyDescent="0.2">
      <c r="A93" s="890">
        <v>5</v>
      </c>
      <c r="B93" s="912" t="s">
        <v>431</v>
      </c>
      <c r="H93" s="506" t="s">
        <v>582</v>
      </c>
      <c r="I93" s="498"/>
    </row>
    <row r="94" spans="1:9" x14ac:dyDescent="0.2">
      <c r="A94" s="890">
        <v>6</v>
      </c>
      <c r="B94" s="893" t="s">
        <v>338</v>
      </c>
    </row>
    <row r="95" spans="1:9" x14ac:dyDescent="0.2">
      <c r="A95" s="890">
        <v>7</v>
      </c>
      <c r="B95" s="912" t="s">
        <v>578</v>
      </c>
    </row>
    <row r="96" spans="1:9" x14ac:dyDescent="0.2">
      <c r="A96" s="890">
        <v>8</v>
      </c>
      <c r="B96" s="893" t="s">
        <v>405</v>
      </c>
    </row>
    <row r="97" spans="1:2" x14ac:dyDescent="0.2">
      <c r="A97" s="890">
        <v>9</v>
      </c>
      <c r="B97" s="893" t="s">
        <v>541</v>
      </c>
    </row>
    <row r="98" spans="1:2" x14ac:dyDescent="0.2">
      <c r="A98" s="890">
        <v>10</v>
      </c>
      <c r="B98" s="912" t="s">
        <v>515</v>
      </c>
    </row>
    <row r="99" spans="1:2" x14ac:dyDescent="0.2">
      <c r="A99" s="890">
        <v>11</v>
      </c>
      <c r="B99" s="893" t="s">
        <v>577</v>
      </c>
    </row>
    <row r="100" spans="1:2" x14ac:dyDescent="0.2">
      <c r="A100" s="890">
        <v>12</v>
      </c>
      <c r="B100" s="893" t="s">
        <v>580</v>
      </c>
    </row>
    <row r="101" spans="1:2" x14ac:dyDescent="0.2">
      <c r="A101" s="890" t="s">
        <v>581</v>
      </c>
      <c r="B101" s="894" t="s">
        <v>579</v>
      </c>
    </row>
    <row r="102" spans="1:2" x14ac:dyDescent="0.2">
      <c r="A102" s="890" t="s">
        <v>581</v>
      </c>
      <c r="B102" s="894" t="s">
        <v>540</v>
      </c>
    </row>
    <row r="103" spans="1:2" x14ac:dyDescent="0.2">
      <c r="A103" s="890" t="s">
        <v>581</v>
      </c>
      <c r="B103" s="894" t="s">
        <v>335</v>
      </c>
    </row>
  </sheetData>
  <conditionalFormatting sqref="C7:F9 D10 F10">
    <cfRule type="cellIs" dxfId="728" priority="42" operator="equal">
      <formula>13</formula>
    </cfRule>
  </conditionalFormatting>
  <conditionalFormatting sqref="G7:G10">
    <cfRule type="duplicateValues" dxfId="727" priority="40"/>
    <cfRule type="cellIs" dxfId="726" priority="41" operator="equal">
      <formula>13</formula>
    </cfRule>
  </conditionalFormatting>
  <conditionalFormatting sqref="C7:F9 D10 F10">
    <cfRule type="cellIs" dxfId="725" priority="39" operator="greaterThan">
      <formula>13</formula>
    </cfRule>
  </conditionalFormatting>
  <conditionalFormatting sqref="B7:B10">
    <cfRule type="duplicateValues" dxfId="724" priority="38"/>
  </conditionalFormatting>
  <conditionalFormatting sqref="C10">
    <cfRule type="cellIs" dxfId="723" priority="37" operator="equal">
      <formula>13</formula>
    </cfRule>
  </conditionalFormatting>
  <conditionalFormatting sqref="C10">
    <cfRule type="cellIs" dxfId="722" priority="36" operator="greaterThan">
      <formula>13</formula>
    </cfRule>
  </conditionalFormatting>
  <conditionalFormatting sqref="E10">
    <cfRule type="cellIs" dxfId="721" priority="35" operator="equal">
      <formula>13</formula>
    </cfRule>
  </conditionalFormatting>
  <conditionalFormatting sqref="E10">
    <cfRule type="cellIs" dxfId="720" priority="34" operator="greaterThan">
      <formula>13</formula>
    </cfRule>
  </conditionalFormatting>
  <conditionalFormatting sqref="C13:F15 D16:D17 F16:F17 F23 D23">
    <cfRule type="cellIs" dxfId="719" priority="33" operator="equal">
      <formula>13</formula>
    </cfRule>
  </conditionalFormatting>
  <conditionalFormatting sqref="C13:F15 D16:D17 F16:F17 F23 D23">
    <cfRule type="cellIs" dxfId="718" priority="30" operator="greaterThan">
      <formula>13</formula>
    </cfRule>
  </conditionalFormatting>
  <conditionalFormatting sqref="C16:C17 C23">
    <cfRule type="cellIs" dxfId="717" priority="28" operator="equal">
      <formula>13</formula>
    </cfRule>
  </conditionalFormatting>
  <conditionalFormatting sqref="C16:C17 C23">
    <cfRule type="cellIs" dxfId="716" priority="27" operator="greaterThan">
      <formula>13</formula>
    </cfRule>
  </conditionalFormatting>
  <conditionalFormatting sqref="E16:E17 E23">
    <cfRule type="cellIs" dxfId="715" priority="26" operator="equal">
      <formula>13</formula>
    </cfRule>
  </conditionalFormatting>
  <conditionalFormatting sqref="E16:E17 E23">
    <cfRule type="cellIs" dxfId="714" priority="25" operator="greaterThan">
      <formula>13</formula>
    </cfRule>
  </conditionalFormatting>
  <conditionalFormatting sqref="C19:F21 D22 F22">
    <cfRule type="cellIs" dxfId="713" priority="24" operator="equal">
      <formula>13</formula>
    </cfRule>
  </conditionalFormatting>
  <conditionalFormatting sqref="G19:G22">
    <cfRule type="duplicateValues" dxfId="712" priority="22"/>
    <cfRule type="cellIs" dxfId="711" priority="23" operator="equal">
      <formula>13</formula>
    </cfRule>
  </conditionalFormatting>
  <conditionalFormatting sqref="C19:F21 D22 F22">
    <cfRule type="cellIs" dxfId="710" priority="21" operator="greaterThan">
      <formula>13</formula>
    </cfRule>
  </conditionalFormatting>
  <conditionalFormatting sqref="B19:B22">
    <cfRule type="duplicateValues" dxfId="709" priority="20"/>
  </conditionalFormatting>
  <conditionalFormatting sqref="C22">
    <cfRule type="cellIs" dxfId="708" priority="19" operator="equal">
      <formula>13</formula>
    </cfRule>
  </conditionalFormatting>
  <conditionalFormatting sqref="C22">
    <cfRule type="cellIs" dxfId="707" priority="18" operator="greaterThan">
      <formula>13</formula>
    </cfRule>
  </conditionalFormatting>
  <conditionalFormatting sqref="E22">
    <cfRule type="cellIs" dxfId="706" priority="17" operator="equal">
      <formula>13</formula>
    </cfRule>
  </conditionalFormatting>
  <conditionalFormatting sqref="E22">
    <cfRule type="cellIs" dxfId="705" priority="16" operator="greaterThan">
      <formula>13</formula>
    </cfRule>
  </conditionalFormatting>
  <conditionalFormatting sqref="C25:F27 D28:D29 F28:F29 F66 D66">
    <cfRule type="cellIs" dxfId="704" priority="15" operator="equal">
      <formula>13</formula>
    </cfRule>
  </conditionalFormatting>
  <conditionalFormatting sqref="C25:F27 D28:D29 F28:F29 F66 D66">
    <cfRule type="cellIs" dxfId="703" priority="12" operator="greaterThan">
      <formula>13</formula>
    </cfRule>
  </conditionalFormatting>
  <conditionalFormatting sqref="C28:C29 C66">
    <cfRule type="cellIs" dxfId="702" priority="10" operator="equal">
      <formula>13</formula>
    </cfRule>
  </conditionalFormatting>
  <conditionalFormatting sqref="C28:C29 C66">
    <cfRule type="cellIs" dxfId="701" priority="9" operator="greaterThan">
      <formula>13</formula>
    </cfRule>
  </conditionalFormatting>
  <conditionalFormatting sqref="E28:E29 E66">
    <cfRule type="cellIs" dxfId="700" priority="8" operator="equal">
      <formula>13</formula>
    </cfRule>
  </conditionalFormatting>
  <conditionalFormatting sqref="E28:E29 E66">
    <cfRule type="cellIs" dxfId="699" priority="7" operator="greaterThan">
      <formula>13</formula>
    </cfRule>
  </conditionalFormatting>
  <conditionalFormatting sqref="C30:I32 C33:H33 C34:G65">
    <cfRule type="cellIs" dxfId="698" priority="6" stopIfTrue="1" operator="equal">
      <formula>13</formula>
    </cfRule>
  </conditionalFormatting>
  <conditionalFormatting sqref="C67:I68">
    <cfRule type="cellIs" dxfId="697" priority="5" stopIfTrue="1" operator="equal">
      <formula>13</formula>
    </cfRule>
  </conditionalFormatting>
  <conditionalFormatting sqref="G13:G17 G23">
    <cfRule type="duplicateValues" dxfId="696" priority="289"/>
    <cfRule type="cellIs" dxfId="695" priority="290" operator="equal">
      <formula>13</formula>
    </cfRule>
  </conditionalFormatting>
  <conditionalFormatting sqref="B13:B17 B23">
    <cfRule type="duplicateValues" dxfId="694" priority="293"/>
  </conditionalFormatting>
  <conditionalFormatting sqref="G25:G29 G66">
    <cfRule type="duplicateValues" dxfId="693" priority="295"/>
    <cfRule type="cellIs" dxfId="692" priority="296" operator="equal">
      <formula>13</formula>
    </cfRule>
  </conditionalFormatting>
  <conditionalFormatting sqref="B25:B29 B66">
    <cfRule type="duplicateValues" dxfId="691" priority="299"/>
  </conditionalFormatting>
  <conditionalFormatting sqref="C77:E79 B69:E76 G69:H69 F70:G79">
    <cfRule type="cellIs" dxfId="690" priority="4" stopIfTrue="1" operator="equal">
      <formula>13</formula>
    </cfRule>
  </conditionalFormatting>
  <conditionalFormatting sqref="B102">
    <cfRule type="duplicateValues" dxfId="689" priority="3"/>
  </conditionalFormatting>
  <conditionalFormatting sqref="B101">
    <cfRule type="duplicateValues" dxfId="688" priority="2"/>
  </conditionalFormatting>
  <conditionalFormatting sqref="B103">
    <cfRule type="duplicateValues" dxfId="687" priority="1"/>
  </conditionalFormatting>
  <pageMargins left="0.78740157480314965" right="0.39370078740157483" top="0.78740157480314965" bottom="0.39370078740157483" header="0.59055118110236227" footer="0"/>
  <pageSetup paperSize="9" fitToHeight="0" orientation="landscape" r:id="rId1"/>
  <headerFooter>
    <oddHeader>&amp;R&amp;"Arial,Regular"&amp;9Page &amp;P of &amp;N</oddHeader>
  </headerFooter>
  <rowBreaks count="2" manualBreakCount="2">
    <brk id="28" max="16383" man="1"/>
    <brk id="6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05"/>
  <sheetViews>
    <sheetView showGridLines="0" showRowColHeaders="0" zoomScaleNormal="100" workbookViewId="0">
      <pane ySplit="2" topLeftCell="A3" activePane="bottomLeft" state="frozen"/>
      <selection activeCell="I1" sqref="I1"/>
      <selection pane="bottomLeft" activeCell="I1" sqref="I1"/>
    </sheetView>
  </sheetViews>
  <sheetFormatPr defaultRowHeight="12.75" x14ac:dyDescent="0.2"/>
  <cols>
    <col min="1" max="1" width="3.28515625" style="2" customWidth="1"/>
    <col min="2" max="2" width="28.85546875" style="2" bestFit="1" customWidth="1"/>
    <col min="3" max="4" width="9.140625" style="2" customWidth="1"/>
    <col min="5" max="6" width="9.140625" style="2"/>
    <col min="7" max="7" width="9.140625" style="2" customWidth="1"/>
    <col min="8" max="8" width="9.140625" style="2"/>
    <col min="9" max="9" width="9.140625" style="2" customWidth="1"/>
    <col min="10" max="13" width="9.140625" style="2"/>
    <col min="14" max="14" width="5.28515625" style="2" customWidth="1"/>
    <col min="15" max="16384" width="9.140625" style="2"/>
  </cols>
  <sheetData>
    <row r="1" spans="1:7" x14ac:dyDescent="0.2">
      <c r="A1" s="1" t="str">
        <f>UPPER((Kalend!E32)&amp;" - "&amp;(Kalend!C32)&amp;" - "&amp;(Kalend!D32))</f>
        <v>8 - JÕHVI 17. MV - DUO</v>
      </c>
      <c r="E1" s="113" t="str">
        <f>HYPERLINK("#Kalend!I1","Kalender")</f>
        <v>Kalender</v>
      </c>
      <c r="G1" s="113" t="str">
        <f>HYPERLINK("#Reit!K1","Reiting")</f>
        <v>Reiting</v>
      </c>
    </row>
    <row r="2" spans="1:7" x14ac:dyDescent="0.2">
      <c r="A2" s="2" t="str">
        <f>"Toimumisaeg: "&amp;(Kalend!A32)&amp;" kell "&amp;(Kalend!B32)</f>
        <v>Toimumisaeg: N, 10.08.2017 kell 18:00</v>
      </c>
    </row>
    <row r="3" spans="1:7" x14ac:dyDescent="0.2">
      <c r="A3" s="2" t="str">
        <f>"Toimumiskoht: "&amp;(Kalend!F32)</f>
        <v>Toimumiskoht: Jõhvi, Neptun</v>
      </c>
    </row>
    <row r="4" spans="1:7" x14ac:dyDescent="0.2">
      <c r="A4" s="2" t="str">
        <f>"Korraldaja: "&amp;(Kalend!G32)</f>
        <v>Korraldaja: LTK Üks-Teist, Tõnu Kapper</v>
      </c>
    </row>
    <row r="6" spans="1:7" x14ac:dyDescent="0.2">
      <c r="A6" s="194" t="s">
        <v>588</v>
      </c>
    </row>
    <row r="8" spans="1:7" x14ac:dyDescent="0.2">
      <c r="A8" s="832" t="s">
        <v>263</v>
      </c>
      <c r="B8" s="832"/>
      <c r="C8" s="827">
        <v>1</v>
      </c>
      <c r="D8" s="827">
        <v>2</v>
      </c>
      <c r="E8" s="827">
        <v>3</v>
      </c>
      <c r="F8" s="827" t="s">
        <v>264</v>
      </c>
      <c r="G8" s="827" t="s">
        <v>83</v>
      </c>
    </row>
    <row r="9" spans="1:7" x14ac:dyDescent="0.2">
      <c r="A9" s="832">
        <v>1</v>
      </c>
      <c r="B9" s="540" t="s">
        <v>576</v>
      </c>
      <c r="C9" s="829"/>
      <c r="D9" s="828">
        <v>13</v>
      </c>
      <c r="E9" s="827">
        <v>11</v>
      </c>
      <c r="F9" s="834" t="s">
        <v>119</v>
      </c>
      <c r="G9" s="835" t="s">
        <v>269</v>
      </c>
    </row>
    <row r="10" spans="1:7" x14ac:dyDescent="0.2">
      <c r="A10" s="832">
        <v>2</v>
      </c>
      <c r="B10" s="833" t="s">
        <v>335</v>
      </c>
      <c r="C10" s="828">
        <v>7</v>
      </c>
      <c r="D10" s="829"/>
      <c r="E10" s="828">
        <v>5</v>
      </c>
      <c r="F10" s="834" t="s">
        <v>316</v>
      </c>
      <c r="G10" s="835" t="s">
        <v>266</v>
      </c>
    </row>
    <row r="11" spans="1:7" x14ac:dyDescent="0.2">
      <c r="A11" s="832">
        <v>3</v>
      </c>
      <c r="B11" s="902" t="s">
        <v>338</v>
      </c>
      <c r="C11" s="828">
        <v>2</v>
      </c>
      <c r="D11" s="827">
        <v>10</v>
      </c>
      <c r="E11" s="829"/>
      <c r="F11" s="834" t="s">
        <v>121</v>
      </c>
      <c r="G11" s="835" t="s">
        <v>267</v>
      </c>
    </row>
    <row r="12" spans="1:7" x14ac:dyDescent="0.2">
      <c r="A12" s="527"/>
      <c r="B12" s="436"/>
      <c r="C12" s="903"/>
      <c r="D12" s="903"/>
      <c r="E12" s="903"/>
      <c r="F12" s="904"/>
      <c r="G12" s="903"/>
    </row>
    <row r="13" spans="1:7" x14ac:dyDescent="0.2">
      <c r="A13" s="832" t="s">
        <v>271</v>
      </c>
      <c r="B13" s="832"/>
      <c r="C13" s="827">
        <v>1</v>
      </c>
      <c r="D13" s="827">
        <v>2</v>
      </c>
      <c r="E13" s="827">
        <v>3</v>
      </c>
      <c r="F13" s="827" t="s">
        <v>264</v>
      </c>
      <c r="G13" s="827" t="s">
        <v>83</v>
      </c>
    </row>
    <row r="14" spans="1:7" x14ac:dyDescent="0.2">
      <c r="A14" s="832">
        <v>1</v>
      </c>
      <c r="B14" s="901" t="s">
        <v>578</v>
      </c>
      <c r="C14" s="829"/>
      <c r="D14" s="827">
        <v>11</v>
      </c>
      <c r="E14" s="827">
        <v>7</v>
      </c>
      <c r="F14" s="834" t="s">
        <v>317</v>
      </c>
      <c r="G14" s="835" t="s">
        <v>269</v>
      </c>
    </row>
    <row r="15" spans="1:7" x14ac:dyDescent="0.2">
      <c r="A15" s="832">
        <v>2</v>
      </c>
      <c r="B15" s="901" t="s">
        <v>516</v>
      </c>
      <c r="C15" s="828">
        <v>3</v>
      </c>
      <c r="D15" s="829"/>
      <c r="E15" s="828">
        <v>11</v>
      </c>
      <c r="F15" s="834" t="s">
        <v>316</v>
      </c>
      <c r="G15" s="835" t="s">
        <v>266</v>
      </c>
    </row>
    <row r="16" spans="1:7" x14ac:dyDescent="0.2">
      <c r="A16" s="832">
        <v>3</v>
      </c>
      <c r="B16" s="901" t="s">
        <v>431</v>
      </c>
      <c r="C16" s="828">
        <v>6</v>
      </c>
      <c r="D16" s="917">
        <v>12</v>
      </c>
      <c r="E16" s="829"/>
      <c r="F16" s="834" t="s">
        <v>121</v>
      </c>
      <c r="G16" s="905" t="s">
        <v>267</v>
      </c>
    </row>
    <row r="17" spans="1:8" x14ac:dyDescent="0.2">
      <c r="A17" s="527"/>
      <c r="B17" s="436"/>
      <c r="C17" s="903"/>
      <c r="D17" s="903"/>
      <c r="E17" s="903"/>
      <c r="F17" s="904"/>
      <c r="G17" s="903"/>
    </row>
    <row r="18" spans="1:8" x14ac:dyDescent="0.2">
      <c r="A18" s="832" t="s">
        <v>272</v>
      </c>
      <c r="B18" s="832"/>
      <c r="C18" s="827">
        <v>1</v>
      </c>
      <c r="D18" s="827">
        <v>2</v>
      </c>
      <c r="E18" s="827">
        <v>3</v>
      </c>
      <c r="F18" s="827">
        <v>4</v>
      </c>
      <c r="G18" s="827" t="s">
        <v>264</v>
      </c>
      <c r="H18" s="827" t="s">
        <v>83</v>
      </c>
    </row>
    <row r="19" spans="1:8" x14ac:dyDescent="0.2">
      <c r="A19" s="832">
        <v>1</v>
      </c>
      <c r="B19" s="833" t="s">
        <v>363</v>
      </c>
      <c r="C19" s="829"/>
      <c r="D19" s="828">
        <v>13</v>
      </c>
      <c r="E19" s="828">
        <v>7</v>
      </c>
      <c r="F19" s="828">
        <v>13</v>
      </c>
      <c r="G19" s="834" t="s">
        <v>119</v>
      </c>
      <c r="H19" s="835" t="s">
        <v>267</v>
      </c>
    </row>
    <row r="20" spans="1:8" x14ac:dyDescent="0.2">
      <c r="A20" s="832">
        <v>2</v>
      </c>
      <c r="B20" s="901" t="s">
        <v>336</v>
      </c>
      <c r="C20" s="828">
        <v>3</v>
      </c>
      <c r="D20" s="829"/>
      <c r="E20" s="828">
        <v>2</v>
      </c>
      <c r="F20" s="827">
        <v>12</v>
      </c>
      <c r="G20" s="834" t="s">
        <v>265</v>
      </c>
      <c r="H20" s="835" t="s">
        <v>266</v>
      </c>
    </row>
    <row r="21" spans="1:8" x14ac:dyDescent="0.2">
      <c r="A21" s="832">
        <v>3</v>
      </c>
      <c r="B21" s="901" t="s">
        <v>590</v>
      </c>
      <c r="C21" s="828">
        <v>13</v>
      </c>
      <c r="D21" s="917">
        <v>10</v>
      </c>
      <c r="E21" s="829"/>
      <c r="F21" s="828">
        <v>13</v>
      </c>
      <c r="G21" s="834" t="s">
        <v>268</v>
      </c>
      <c r="H21" s="905" t="s">
        <v>269</v>
      </c>
    </row>
    <row r="22" spans="1:8" x14ac:dyDescent="0.2">
      <c r="A22" s="832">
        <v>4</v>
      </c>
      <c r="B22" s="901" t="s">
        <v>405</v>
      </c>
      <c r="C22" s="828">
        <v>2</v>
      </c>
      <c r="D22" s="828">
        <v>6</v>
      </c>
      <c r="E22" s="828">
        <v>11</v>
      </c>
      <c r="F22" s="829"/>
      <c r="G22" s="834" t="s">
        <v>270</v>
      </c>
      <c r="H22" s="835" t="s">
        <v>120</v>
      </c>
    </row>
    <row r="23" spans="1:8" x14ac:dyDescent="0.2">
      <c r="A23" s="526"/>
      <c r="B23" s="513"/>
      <c r="C23" s="445"/>
      <c r="D23" s="907"/>
      <c r="E23" s="445"/>
      <c r="F23" s="486"/>
      <c r="G23" s="442"/>
    </row>
    <row r="24" spans="1:8" x14ac:dyDescent="0.2">
      <c r="A24" s="832" t="s">
        <v>273</v>
      </c>
      <c r="B24" s="832"/>
      <c r="C24" s="827">
        <v>1</v>
      </c>
      <c r="D24" s="827">
        <v>2</v>
      </c>
      <c r="E24" s="827">
        <v>3</v>
      </c>
      <c r="F24" s="827" t="s">
        <v>264</v>
      </c>
      <c r="G24" s="827" t="s">
        <v>83</v>
      </c>
    </row>
    <row r="25" spans="1:8" x14ac:dyDescent="0.2">
      <c r="A25" s="832">
        <v>1</v>
      </c>
      <c r="B25" s="906" t="s">
        <v>366</v>
      </c>
      <c r="C25" s="829"/>
      <c r="D25" s="827">
        <v>11</v>
      </c>
      <c r="E25" s="827">
        <v>11</v>
      </c>
      <c r="F25" s="834" t="s">
        <v>317</v>
      </c>
      <c r="G25" s="835" t="s">
        <v>269</v>
      </c>
    </row>
    <row r="26" spans="1:8" x14ac:dyDescent="0.2">
      <c r="A26" s="832">
        <v>2</v>
      </c>
      <c r="B26" s="901" t="s">
        <v>591</v>
      </c>
      <c r="C26" s="828">
        <v>9</v>
      </c>
      <c r="D26" s="829"/>
      <c r="E26" s="828">
        <v>11</v>
      </c>
      <c r="F26" s="834" t="s">
        <v>316</v>
      </c>
      <c r="G26" s="835" t="s">
        <v>266</v>
      </c>
    </row>
    <row r="27" spans="1:8" x14ac:dyDescent="0.2">
      <c r="A27" s="832">
        <v>3</v>
      </c>
      <c r="B27" s="901" t="s">
        <v>367</v>
      </c>
      <c r="C27" s="828">
        <v>8</v>
      </c>
      <c r="D27" s="905">
        <v>13</v>
      </c>
      <c r="E27" s="829"/>
      <c r="F27" s="834" t="s">
        <v>121</v>
      </c>
      <c r="G27" s="905" t="s">
        <v>267</v>
      </c>
    </row>
    <row r="29" spans="1:8" x14ac:dyDescent="0.2">
      <c r="B29" s="441" t="s">
        <v>114</v>
      </c>
      <c r="C29" s="442" t="s">
        <v>276</v>
      </c>
      <c r="D29" s="442" t="s">
        <v>277</v>
      </c>
    </row>
    <row r="30" spans="1:8" x14ac:dyDescent="0.2">
      <c r="B30" s="441" t="s">
        <v>115</v>
      </c>
      <c r="C30" s="442" t="s">
        <v>278</v>
      </c>
      <c r="D30" s="442" t="s">
        <v>279</v>
      </c>
    </row>
    <row r="31" spans="1:8" x14ac:dyDescent="0.2">
      <c r="B31" s="441" t="s">
        <v>116</v>
      </c>
      <c r="C31" s="442" t="s">
        <v>265</v>
      </c>
      <c r="D31" s="442" t="s">
        <v>280</v>
      </c>
    </row>
    <row r="33" spans="1:9" x14ac:dyDescent="0.2">
      <c r="A33" s="487" t="s">
        <v>281</v>
      </c>
      <c r="B33" s="488"/>
      <c r="C33" s="488"/>
      <c r="D33" s="488"/>
      <c r="E33" s="488"/>
      <c r="F33" s="488"/>
      <c r="G33" s="488"/>
      <c r="H33" s="152"/>
      <c r="I33" s="152"/>
    </row>
    <row r="34" spans="1:9" x14ac:dyDescent="0.2">
      <c r="A34" s="487"/>
      <c r="B34" s="488"/>
      <c r="C34" s="488"/>
      <c r="D34" s="488"/>
      <c r="E34" s="488"/>
      <c r="F34" s="488"/>
      <c r="G34" s="488"/>
      <c r="H34" s="152"/>
      <c r="I34" s="152"/>
    </row>
    <row r="35" spans="1:9" x14ac:dyDescent="0.2">
      <c r="A35" s="489" t="s">
        <v>290</v>
      </c>
      <c r="B35" s="528" t="s">
        <v>576</v>
      </c>
      <c r="C35" s="490">
        <v>3</v>
      </c>
      <c r="D35" s="488"/>
      <c r="E35" s="488"/>
      <c r="F35" s="488"/>
      <c r="G35" s="488"/>
      <c r="H35" s="488"/>
      <c r="I35" s="488"/>
    </row>
    <row r="36" spans="1:9" x14ac:dyDescent="0.2">
      <c r="A36" s="491"/>
      <c r="B36" s="492"/>
      <c r="C36" s="493" t="s">
        <v>367</v>
      </c>
      <c r="D36" s="488"/>
      <c r="E36" s="490">
        <v>13</v>
      </c>
      <c r="F36" s="488"/>
      <c r="G36" s="488"/>
      <c r="H36" s="488"/>
      <c r="I36" s="488"/>
    </row>
    <row r="37" spans="1:9" x14ac:dyDescent="0.2">
      <c r="A37" s="489" t="s">
        <v>288</v>
      </c>
      <c r="B37" s="529" t="s">
        <v>367</v>
      </c>
      <c r="C37" s="914">
        <v>12</v>
      </c>
      <c r="D37" s="497"/>
      <c r="E37" s="488"/>
      <c r="F37" s="488"/>
      <c r="G37" s="488"/>
      <c r="H37" s="488"/>
      <c r="I37" s="488"/>
    </row>
    <row r="38" spans="1:9" x14ac:dyDescent="0.2">
      <c r="A38" s="491"/>
      <c r="B38" s="488"/>
      <c r="C38" s="488"/>
      <c r="D38" s="499"/>
      <c r="E38" s="488" t="s">
        <v>367</v>
      </c>
      <c r="F38" s="488"/>
      <c r="G38" s="490">
        <v>13</v>
      </c>
      <c r="H38" s="488"/>
      <c r="I38" s="488"/>
    </row>
    <row r="39" spans="1:9" x14ac:dyDescent="0.2">
      <c r="A39" s="489" t="s">
        <v>286</v>
      </c>
      <c r="B39" s="500" t="s">
        <v>578</v>
      </c>
      <c r="C39" s="915">
        <v>12</v>
      </c>
      <c r="D39" s="499"/>
      <c r="E39" s="492"/>
      <c r="F39" s="497"/>
      <c r="G39" s="488"/>
      <c r="H39" s="488"/>
      <c r="I39" s="488"/>
    </row>
    <row r="40" spans="1:9" x14ac:dyDescent="0.2">
      <c r="A40" s="491"/>
      <c r="B40" s="492"/>
      <c r="C40" s="502" t="s">
        <v>578</v>
      </c>
      <c r="D40" s="503"/>
      <c r="E40" s="918" t="s">
        <v>13</v>
      </c>
      <c r="F40" s="499"/>
      <c r="G40" s="488"/>
      <c r="H40" s="488"/>
      <c r="I40" s="488"/>
    </row>
    <row r="41" spans="1:9" x14ac:dyDescent="0.2">
      <c r="A41" s="489" t="s">
        <v>291</v>
      </c>
      <c r="B41" s="495" t="s">
        <v>363</v>
      </c>
      <c r="C41" s="504">
        <v>8</v>
      </c>
      <c r="D41" s="488"/>
      <c r="E41" s="498"/>
      <c r="F41" s="499"/>
      <c r="G41" s="488"/>
      <c r="H41" s="488"/>
      <c r="I41" s="488"/>
    </row>
    <row r="42" spans="1:9" ht="13.5" thickBot="1" x14ac:dyDescent="0.25">
      <c r="A42" s="491"/>
      <c r="B42" s="488"/>
      <c r="C42" s="488"/>
      <c r="D42" s="488"/>
      <c r="E42" s="498"/>
      <c r="F42" s="499"/>
      <c r="G42" s="488"/>
      <c r="H42" s="528" t="s">
        <v>367</v>
      </c>
      <c r="I42" s="488"/>
    </row>
    <row r="43" spans="1:9" x14ac:dyDescent="0.2">
      <c r="A43" s="489" t="s">
        <v>282</v>
      </c>
      <c r="B43" s="488" t="s">
        <v>590</v>
      </c>
      <c r="C43" s="490">
        <v>3</v>
      </c>
      <c r="D43" s="488"/>
      <c r="E43" s="498"/>
      <c r="F43" s="499"/>
      <c r="G43" s="505"/>
      <c r="H43" s="506" t="s">
        <v>287</v>
      </c>
      <c r="I43" s="507"/>
    </row>
    <row r="44" spans="1:9" x14ac:dyDescent="0.2">
      <c r="A44" s="491"/>
      <c r="B44" s="492"/>
      <c r="C44" s="493" t="s">
        <v>431</v>
      </c>
      <c r="D44" s="488"/>
      <c r="E44" s="501">
        <v>13</v>
      </c>
      <c r="F44" s="499"/>
      <c r="G44" s="488"/>
      <c r="H44" s="488"/>
      <c r="I44" s="488"/>
    </row>
    <row r="45" spans="1:9" ht="13.5" thickBot="1" x14ac:dyDescent="0.25">
      <c r="A45" s="489" t="s">
        <v>283</v>
      </c>
      <c r="B45" s="494" t="s">
        <v>431</v>
      </c>
      <c r="C45" s="496">
        <v>13</v>
      </c>
      <c r="D45" s="497"/>
      <c r="E45" s="498"/>
      <c r="F45" s="499"/>
      <c r="G45" s="488"/>
      <c r="H45" s="885" t="s">
        <v>431</v>
      </c>
      <c r="I45" s="508"/>
    </row>
    <row r="46" spans="1:9" x14ac:dyDescent="0.2">
      <c r="A46" s="491"/>
      <c r="B46" s="488"/>
      <c r="C46" s="488"/>
      <c r="D46" s="499"/>
      <c r="E46" s="494" t="s">
        <v>431</v>
      </c>
      <c r="F46" s="503"/>
      <c r="G46" s="490">
        <v>11</v>
      </c>
      <c r="H46" s="506" t="s">
        <v>289</v>
      </c>
      <c r="I46" s="488"/>
    </row>
    <row r="47" spans="1:9" x14ac:dyDescent="0.2">
      <c r="A47" s="489" t="s">
        <v>284</v>
      </c>
      <c r="B47" s="528" t="s">
        <v>366</v>
      </c>
      <c r="C47" s="915">
        <v>8</v>
      </c>
      <c r="D47" s="499"/>
      <c r="E47" s="488"/>
      <c r="F47" s="488"/>
      <c r="G47" s="488"/>
      <c r="H47" s="488"/>
      <c r="I47" s="488"/>
    </row>
    <row r="48" spans="1:9" x14ac:dyDescent="0.2">
      <c r="A48" s="491"/>
      <c r="B48" s="492"/>
      <c r="C48" s="502" t="s">
        <v>366</v>
      </c>
      <c r="D48" s="503"/>
      <c r="E48" s="490">
        <v>1</v>
      </c>
      <c r="F48" s="488"/>
      <c r="G48" s="488"/>
      <c r="H48" s="488"/>
      <c r="I48" s="488"/>
    </row>
    <row r="49" spans="1:9" x14ac:dyDescent="0.2">
      <c r="A49" s="489" t="s">
        <v>285</v>
      </c>
      <c r="B49" s="494" t="s">
        <v>338</v>
      </c>
      <c r="C49" s="504">
        <v>6</v>
      </c>
      <c r="D49" s="488"/>
      <c r="E49" s="488"/>
      <c r="F49" s="488"/>
      <c r="G49" s="488"/>
      <c r="H49" s="488"/>
      <c r="I49" s="488"/>
    </row>
    <row r="50" spans="1:9" x14ac:dyDescent="0.2">
      <c r="A50" s="488"/>
      <c r="B50" s="488"/>
      <c r="C50" s="488"/>
      <c r="D50" s="488"/>
      <c r="E50" s="488" t="s">
        <v>578</v>
      </c>
      <c r="F50" s="488"/>
      <c r="G50" s="915">
        <v>9</v>
      </c>
      <c r="H50" s="498"/>
      <c r="I50" s="498"/>
    </row>
    <row r="51" spans="1:9" ht="13.5" thickBot="1" x14ac:dyDescent="0.25">
      <c r="A51" s="488"/>
      <c r="B51" s="488"/>
      <c r="C51" s="488"/>
      <c r="D51" s="488"/>
      <c r="E51" s="492"/>
      <c r="F51" s="497"/>
      <c r="G51" s="508"/>
      <c r="H51" s="885" t="s">
        <v>578</v>
      </c>
      <c r="I51" s="508"/>
    </row>
    <row r="52" spans="1:9" x14ac:dyDescent="0.2">
      <c r="A52" s="488"/>
      <c r="B52" s="488"/>
      <c r="C52" s="488"/>
      <c r="D52" s="488"/>
      <c r="E52" s="494" t="s">
        <v>366</v>
      </c>
      <c r="F52" s="503"/>
      <c r="G52" s="490">
        <v>7</v>
      </c>
      <c r="H52" s="509" t="s">
        <v>292</v>
      </c>
      <c r="I52" s="498"/>
    </row>
    <row r="53" spans="1:9" x14ac:dyDescent="0.2">
      <c r="A53" s="488"/>
      <c r="B53" s="488"/>
      <c r="C53" s="488"/>
      <c r="D53" s="488"/>
      <c r="E53" s="488"/>
      <c r="F53" s="488"/>
      <c r="G53" s="488"/>
      <c r="H53" s="498"/>
      <c r="I53" s="498"/>
    </row>
    <row r="54" spans="1:9" ht="13.5" thickBot="1" x14ac:dyDescent="0.25">
      <c r="A54" s="488"/>
      <c r="B54" s="488"/>
      <c r="C54" s="488"/>
      <c r="D54" s="488"/>
      <c r="E54" s="488"/>
      <c r="F54" s="498"/>
      <c r="G54" s="488"/>
      <c r="H54" s="508" t="s">
        <v>366</v>
      </c>
      <c r="I54" s="508"/>
    </row>
    <row r="55" spans="1:9" x14ac:dyDescent="0.2">
      <c r="A55" s="488"/>
      <c r="B55" s="488"/>
      <c r="C55" s="528" t="s">
        <v>576</v>
      </c>
      <c r="D55" s="488"/>
      <c r="E55" s="490">
        <v>2</v>
      </c>
      <c r="F55" s="488"/>
      <c r="G55" s="488"/>
      <c r="H55" s="510" t="s">
        <v>293</v>
      </c>
      <c r="I55" s="488"/>
    </row>
    <row r="56" spans="1:9" x14ac:dyDescent="0.2">
      <c r="A56" s="488"/>
      <c r="B56" s="488"/>
      <c r="C56" s="492"/>
      <c r="D56" s="497"/>
      <c r="E56" s="493" t="s">
        <v>363</v>
      </c>
      <c r="F56" s="494"/>
      <c r="G56" s="490">
        <v>13</v>
      </c>
      <c r="H56" s="488"/>
      <c r="I56" s="488"/>
    </row>
    <row r="57" spans="1:9" x14ac:dyDescent="0.2">
      <c r="A57" s="488"/>
      <c r="B57" s="488"/>
      <c r="C57" s="494" t="s">
        <v>363</v>
      </c>
      <c r="D57" s="503"/>
      <c r="E57" s="496">
        <v>13</v>
      </c>
      <c r="F57" s="499"/>
      <c r="G57" s="488"/>
      <c r="H57" s="488"/>
      <c r="I57" s="488"/>
    </row>
    <row r="58" spans="1:9" ht="13.5" thickBot="1" x14ac:dyDescent="0.25">
      <c r="A58" s="488"/>
      <c r="B58" s="488"/>
      <c r="C58" s="488"/>
      <c r="D58" s="488"/>
      <c r="E58" s="498"/>
      <c r="F58" s="499"/>
      <c r="G58" s="488"/>
      <c r="H58" s="488" t="s">
        <v>363</v>
      </c>
      <c r="I58" s="488"/>
    </row>
    <row r="59" spans="1:9" x14ac:dyDescent="0.2">
      <c r="A59" s="488"/>
      <c r="B59" s="488"/>
      <c r="C59" s="488" t="s">
        <v>590</v>
      </c>
      <c r="D59" s="488"/>
      <c r="E59" s="501">
        <v>13</v>
      </c>
      <c r="F59" s="499"/>
      <c r="G59" s="505"/>
      <c r="H59" s="506" t="s">
        <v>294</v>
      </c>
      <c r="I59" s="507"/>
    </row>
    <row r="60" spans="1:9" x14ac:dyDescent="0.2">
      <c r="A60" s="488"/>
      <c r="B60" s="488"/>
      <c r="C60" s="492"/>
      <c r="D60" s="497"/>
      <c r="E60" s="502" t="s">
        <v>590</v>
      </c>
      <c r="F60" s="503"/>
      <c r="G60" s="501">
        <v>3</v>
      </c>
      <c r="H60" s="488"/>
      <c r="I60" s="488"/>
    </row>
    <row r="61" spans="1:9" ht="13.5" thickBot="1" x14ac:dyDescent="0.25">
      <c r="A61" s="488"/>
      <c r="B61" s="488"/>
      <c r="C61" s="530" t="s">
        <v>338</v>
      </c>
      <c r="D61" s="503"/>
      <c r="E61" s="916" t="s">
        <v>592</v>
      </c>
      <c r="F61" s="488"/>
      <c r="G61" s="498"/>
      <c r="H61" s="498" t="s">
        <v>590</v>
      </c>
      <c r="I61" s="508"/>
    </row>
    <row r="62" spans="1:9" x14ac:dyDescent="0.2">
      <c r="A62" s="488"/>
      <c r="B62" s="488"/>
      <c r="C62" s="488"/>
      <c r="D62" s="488"/>
      <c r="E62" s="488"/>
      <c r="F62" s="488"/>
      <c r="G62" s="498"/>
      <c r="H62" s="506" t="s">
        <v>295</v>
      </c>
      <c r="I62" s="498"/>
    </row>
    <row r="63" spans="1:9" x14ac:dyDescent="0.2">
      <c r="A63" s="488"/>
      <c r="B63" s="488"/>
      <c r="C63" s="488"/>
      <c r="D63" s="488"/>
      <c r="E63" s="488" t="s">
        <v>576</v>
      </c>
      <c r="F63" s="488"/>
      <c r="G63" s="501">
        <v>10</v>
      </c>
      <c r="H63" s="498"/>
      <c r="I63" s="498"/>
    </row>
    <row r="64" spans="1:9" ht="13.5" thickBot="1" x14ac:dyDescent="0.25">
      <c r="A64" s="488"/>
      <c r="B64" s="488"/>
      <c r="C64" s="488"/>
      <c r="D64" s="488"/>
      <c r="E64" s="492"/>
      <c r="F64" s="497"/>
      <c r="G64" s="508"/>
      <c r="H64" s="508" t="s">
        <v>338</v>
      </c>
      <c r="I64" s="508"/>
    </row>
    <row r="65" spans="1:11" x14ac:dyDescent="0.2">
      <c r="A65" s="488"/>
      <c r="B65" s="488"/>
      <c r="C65" s="488"/>
      <c r="D65" s="488"/>
      <c r="E65" s="494" t="s">
        <v>338</v>
      </c>
      <c r="F65" s="503"/>
      <c r="G65" s="490">
        <v>13</v>
      </c>
      <c r="H65" s="506" t="s">
        <v>296</v>
      </c>
      <c r="I65" s="498"/>
    </row>
    <row r="66" spans="1:11" x14ac:dyDescent="0.2">
      <c r="A66" s="488"/>
      <c r="B66" s="488"/>
      <c r="C66" s="488"/>
      <c r="D66" s="488"/>
      <c r="E66" s="488"/>
      <c r="F66" s="488"/>
      <c r="G66" s="488"/>
      <c r="H66" s="498"/>
      <c r="I66" s="498"/>
    </row>
    <row r="67" spans="1:11" ht="13.5" thickBot="1" x14ac:dyDescent="0.25">
      <c r="A67" s="488"/>
      <c r="B67" s="488"/>
      <c r="C67" s="488"/>
      <c r="D67" s="488"/>
      <c r="E67" s="488"/>
      <c r="F67" s="498"/>
      <c r="G67" s="488"/>
      <c r="H67" s="508" t="s">
        <v>576</v>
      </c>
      <c r="I67" s="508"/>
    </row>
    <row r="68" spans="1:11" x14ac:dyDescent="0.2">
      <c r="A68" s="488"/>
      <c r="B68" s="488"/>
      <c r="C68" s="488"/>
      <c r="D68" s="488"/>
      <c r="E68" s="488"/>
      <c r="F68" s="498"/>
      <c r="G68" s="488"/>
      <c r="H68" s="506" t="s">
        <v>297</v>
      </c>
      <c r="I68" s="498"/>
    </row>
    <row r="70" spans="1:11" s="366" customFormat="1" x14ac:dyDescent="0.2">
      <c r="A70" s="446" t="s">
        <v>298</v>
      </c>
    </row>
    <row r="71" spans="1:11" s="366" customFormat="1" x14ac:dyDescent="0.2">
      <c r="A71" s="446"/>
    </row>
    <row r="72" spans="1:11" s="366" customFormat="1" x14ac:dyDescent="0.2">
      <c r="A72" s="447" t="s">
        <v>305</v>
      </c>
      <c r="B72" s="366" t="s">
        <v>335</v>
      </c>
      <c r="C72" s="452">
        <v>13</v>
      </c>
    </row>
    <row r="73" spans="1:11" s="366" customFormat="1" x14ac:dyDescent="0.2">
      <c r="A73" s="448"/>
      <c r="B73" s="449"/>
      <c r="C73" s="450" t="s">
        <v>335</v>
      </c>
      <c r="D73" s="908"/>
      <c r="F73" s="452">
        <v>13</v>
      </c>
    </row>
    <row r="74" spans="1:11" s="366" customFormat="1" x14ac:dyDescent="0.2">
      <c r="A74" s="447"/>
      <c r="B74" s="909" t="s">
        <v>306</v>
      </c>
      <c r="C74" s="454">
        <v>0</v>
      </c>
      <c r="E74" s="455"/>
    </row>
    <row r="75" spans="1:11" s="366" customFormat="1" x14ac:dyDescent="0.2">
      <c r="A75" s="448"/>
      <c r="D75" s="456"/>
      <c r="E75" s="457"/>
      <c r="F75" s="366" t="s">
        <v>335</v>
      </c>
      <c r="I75" s="452">
        <v>13</v>
      </c>
    </row>
    <row r="76" spans="1:11" s="366" customFormat="1" x14ac:dyDescent="0.2">
      <c r="A76" s="447" t="s">
        <v>302</v>
      </c>
      <c r="B76" s="910" t="s">
        <v>516</v>
      </c>
      <c r="C76" s="459">
        <v>13</v>
      </c>
      <c r="E76" s="457"/>
      <c r="F76" s="449"/>
      <c r="G76" s="449"/>
      <c r="H76" s="455"/>
    </row>
    <row r="77" spans="1:11" s="366" customFormat="1" x14ac:dyDescent="0.2">
      <c r="A77" s="448"/>
      <c r="B77" s="449"/>
      <c r="C77" s="460" t="s">
        <v>516</v>
      </c>
      <c r="E77" s="911"/>
      <c r="F77" s="459">
        <v>8</v>
      </c>
      <c r="G77" s="456"/>
      <c r="H77" s="457"/>
    </row>
    <row r="78" spans="1:11" s="366" customFormat="1" x14ac:dyDescent="0.2">
      <c r="A78" s="447"/>
      <c r="B78" s="909" t="s">
        <v>306</v>
      </c>
      <c r="C78" s="466">
        <v>0</v>
      </c>
      <c r="D78" s="449"/>
      <c r="F78" s="456"/>
      <c r="G78" s="456"/>
      <c r="H78" s="457"/>
    </row>
    <row r="79" spans="1:11" s="366" customFormat="1" ht="13.5" thickBot="1" x14ac:dyDescent="0.25">
      <c r="A79" s="448"/>
      <c r="F79" s="456"/>
      <c r="G79" s="456"/>
      <c r="H79" s="457"/>
      <c r="J79" s="366" t="s">
        <v>335</v>
      </c>
    </row>
    <row r="80" spans="1:11" s="366" customFormat="1" x14ac:dyDescent="0.2">
      <c r="A80" s="447" t="s">
        <v>299</v>
      </c>
      <c r="B80" s="366" t="s">
        <v>336</v>
      </c>
      <c r="C80" s="452">
        <v>13</v>
      </c>
      <c r="F80" s="456"/>
      <c r="G80" s="456"/>
      <c r="H80" s="457"/>
      <c r="I80" s="462"/>
      <c r="J80" s="463" t="s">
        <v>303</v>
      </c>
      <c r="K80" s="464"/>
    </row>
    <row r="81" spans="1:11" s="366" customFormat="1" x14ac:dyDescent="0.2">
      <c r="A81" s="448"/>
      <c r="B81" s="449"/>
      <c r="C81" s="450" t="s">
        <v>336</v>
      </c>
      <c r="D81" s="908"/>
      <c r="F81" s="459">
        <v>12</v>
      </c>
      <c r="G81" s="456"/>
      <c r="H81" s="457"/>
    </row>
    <row r="82" spans="1:11" s="366" customFormat="1" ht="13.5" thickBot="1" x14ac:dyDescent="0.25">
      <c r="A82" s="447"/>
      <c r="B82" s="908" t="s">
        <v>306</v>
      </c>
      <c r="C82" s="454">
        <v>0</v>
      </c>
      <c r="E82" s="455"/>
      <c r="F82" s="456"/>
      <c r="G82" s="456"/>
      <c r="H82" s="457"/>
      <c r="J82" s="465" t="s">
        <v>591</v>
      </c>
      <c r="K82" s="465"/>
    </row>
    <row r="83" spans="1:11" s="366" customFormat="1" x14ac:dyDescent="0.2">
      <c r="A83" s="448"/>
      <c r="D83" s="456"/>
      <c r="E83" s="457"/>
      <c r="F83" s="908" t="s">
        <v>591</v>
      </c>
      <c r="G83" s="908"/>
      <c r="H83" s="911"/>
      <c r="I83" s="452">
        <v>12</v>
      </c>
      <c r="J83" s="463" t="s">
        <v>304</v>
      </c>
    </row>
    <row r="84" spans="1:11" s="366" customFormat="1" x14ac:dyDescent="0.2">
      <c r="A84" s="447" t="s">
        <v>301</v>
      </c>
      <c r="B84" s="366" t="s">
        <v>591</v>
      </c>
      <c r="C84" s="459">
        <v>13</v>
      </c>
      <c r="E84" s="457"/>
    </row>
    <row r="85" spans="1:11" s="366" customFormat="1" x14ac:dyDescent="0.2">
      <c r="A85" s="448"/>
      <c r="B85" s="449"/>
      <c r="C85" s="460" t="s">
        <v>591</v>
      </c>
      <c r="E85" s="911"/>
      <c r="F85" s="452">
        <v>13</v>
      </c>
    </row>
    <row r="86" spans="1:11" s="366" customFormat="1" x14ac:dyDescent="0.2">
      <c r="A86" s="447" t="s">
        <v>589</v>
      </c>
      <c r="B86" s="908" t="s">
        <v>405</v>
      </c>
      <c r="C86" s="466">
        <v>6</v>
      </c>
      <c r="D86" s="449"/>
    </row>
    <row r="87" spans="1:11" s="366" customFormat="1" x14ac:dyDescent="0.2">
      <c r="F87" s="366" t="s">
        <v>516</v>
      </c>
      <c r="I87" s="459">
        <v>0</v>
      </c>
      <c r="J87" s="456"/>
      <c r="K87" s="456"/>
    </row>
    <row r="88" spans="1:11" s="366" customFormat="1" ht="13.5" thickBot="1" x14ac:dyDescent="0.25">
      <c r="F88" s="449"/>
      <c r="G88" s="449"/>
      <c r="H88" s="455"/>
      <c r="I88" s="465"/>
      <c r="J88" s="465" t="s">
        <v>336</v>
      </c>
      <c r="K88" s="465"/>
    </row>
    <row r="89" spans="1:11" s="366" customFormat="1" x14ac:dyDescent="0.2">
      <c r="F89" s="908" t="s">
        <v>336</v>
      </c>
      <c r="G89" s="908"/>
      <c r="H89" s="911"/>
      <c r="I89" s="452">
        <v>13</v>
      </c>
      <c r="J89" s="467" t="s">
        <v>307</v>
      </c>
      <c r="K89" s="456"/>
    </row>
    <row r="90" spans="1:11" s="366" customFormat="1" x14ac:dyDescent="0.2">
      <c r="J90" s="456"/>
      <c r="K90" s="456"/>
    </row>
    <row r="91" spans="1:11" s="366" customFormat="1" ht="13.5" thickBot="1" x14ac:dyDescent="0.25">
      <c r="G91" s="456"/>
      <c r="H91" s="456"/>
      <c r="J91" s="465" t="s">
        <v>516</v>
      </c>
      <c r="K91" s="465"/>
    </row>
    <row r="92" spans="1:11" s="366" customFormat="1" x14ac:dyDescent="0.2">
      <c r="J92" s="468" t="s">
        <v>308</v>
      </c>
    </row>
    <row r="93" spans="1:11" s="366" customFormat="1" x14ac:dyDescent="0.2">
      <c r="A93" s="223">
        <v>1</v>
      </c>
      <c r="B93" s="224" t="s">
        <v>367</v>
      </c>
    </row>
    <row r="94" spans="1:11" s="366" customFormat="1" x14ac:dyDescent="0.2">
      <c r="A94" s="223">
        <v>2</v>
      </c>
      <c r="B94" s="535" t="s">
        <v>431</v>
      </c>
    </row>
    <row r="95" spans="1:11" s="366" customFormat="1" x14ac:dyDescent="0.2">
      <c r="A95" s="223">
        <v>3</v>
      </c>
      <c r="B95" s="536" t="s">
        <v>578</v>
      </c>
    </row>
    <row r="96" spans="1:11" s="366" customFormat="1" ht="13.5" thickBot="1" x14ac:dyDescent="0.25">
      <c r="A96" s="223">
        <v>4</v>
      </c>
      <c r="B96" s="540" t="s">
        <v>366</v>
      </c>
      <c r="J96" s="366" t="s">
        <v>405</v>
      </c>
    </row>
    <row r="97" spans="1:11" s="366" customFormat="1" x14ac:dyDescent="0.2">
      <c r="A97" s="223">
        <v>5</v>
      </c>
      <c r="B97" s="540" t="s">
        <v>363</v>
      </c>
      <c r="J97" s="463" t="s">
        <v>309</v>
      </c>
      <c r="K97" s="464"/>
    </row>
    <row r="98" spans="1:11" s="366" customFormat="1" x14ac:dyDescent="0.2">
      <c r="A98" s="223">
        <v>6</v>
      </c>
      <c r="B98" s="912" t="s">
        <v>590</v>
      </c>
    </row>
    <row r="99" spans="1:11" s="366" customFormat="1" x14ac:dyDescent="0.2">
      <c r="A99" s="223">
        <v>7</v>
      </c>
      <c r="B99" s="912" t="s">
        <v>338</v>
      </c>
    </row>
    <row r="100" spans="1:11" s="366" customFormat="1" x14ac:dyDescent="0.2">
      <c r="A100" s="223">
        <v>8</v>
      </c>
      <c r="B100" s="231" t="s">
        <v>576</v>
      </c>
    </row>
    <row r="101" spans="1:11" s="366" customFormat="1" x14ac:dyDescent="0.2">
      <c r="A101" s="223">
        <v>9</v>
      </c>
      <c r="B101" s="894" t="s">
        <v>335</v>
      </c>
    </row>
    <row r="102" spans="1:11" s="366" customFormat="1" x14ac:dyDescent="0.2">
      <c r="A102" s="223">
        <v>10</v>
      </c>
      <c r="B102" s="912" t="s">
        <v>591</v>
      </c>
    </row>
    <row r="103" spans="1:11" s="366" customFormat="1" x14ac:dyDescent="0.2">
      <c r="A103" s="223">
        <v>11</v>
      </c>
      <c r="B103" s="540" t="s">
        <v>336</v>
      </c>
    </row>
    <row r="104" spans="1:11" s="366" customFormat="1" x14ac:dyDescent="0.2">
      <c r="A104" s="223">
        <v>12</v>
      </c>
      <c r="B104" s="540" t="s">
        <v>516</v>
      </c>
    </row>
    <row r="105" spans="1:11" s="366" customFormat="1" x14ac:dyDescent="0.2">
      <c r="A105" s="223">
        <v>13</v>
      </c>
      <c r="B105" s="912" t="s">
        <v>405</v>
      </c>
      <c r="G105" s="456"/>
      <c r="H105" s="456"/>
    </row>
  </sheetData>
  <conditionalFormatting sqref="C33:I35 C36:H36 C37:G68">
    <cfRule type="cellIs" dxfId="686" priority="3" stopIfTrue="1" operator="equal">
      <formula>13</formula>
    </cfRule>
  </conditionalFormatting>
  <conditionalFormatting sqref="B101">
    <cfRule type="duplicateValues" dxfId="685" priority="2"/>
  </conditionalFormatting>
  <conditionalFormatting sqref="C9:I91">
    <cfRule type="cellIs" dxfId="684" priority="1" operator="equal">
      <formula>13</formula>
    </cfRule>
  </conditionalFormatting>
  <pageMargins left="0.78740157480314965" right="0.39370078740157483" top="0.78740157480314965" bottom="0.39370078740157483" header="0.59055118110236227" footer="0"/>
  <pageSetup paperSize="9" fitToHeight="0" orientation="landscape" r:id="rId1"/>
  <headerFooter>
    <oddHeader>&amp;R&amp;"Arial,Regular"&amp;9Page &amp;P of &amp;N</oddHeader>
  </headerFooter>
  <rowBreaks count="3" manualBreakCount="3">
    <brk id="31" max="16383" man="1"/>
    <brk id="68" max="16383" man="1"/>
    <brk id="10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52"/>
  <sheetViews>
    <sheetView showGridLines="0" showRowColHeaders="0" zoomScaleNormal="100" workbookViewId="0">
      <pane ySplit="2" topLeftCell="A3" activePane="bottomLeft" state="frozen"/>
      <selection activeCell="Q1" sqref="Q1"/>
      <selection pane="bottomLeft" activeCell="L1" sqref="L1"/>
    </sheetView>
  </sheetViews>
  <sheetFormatPr defaultRowHeight="12.75" x14ac:dyDescent="0.2"/>
  <cols>
    <col min="1" max="1" width="3.28515625" style="2" customWidth="1"/>
    <col min="2" max="2" width="18.7109375" style="2" bestFit="1" customWidth="1"/>
    <col min="3" max="3" width="6.7109375" style="2" bestFit="1" customWidth="1"/>
    <col min="4" max="4" width="7.42578125" style="2" bestFit="1" customWidth="1"/>
    <col min="5" max="5" width="9.140625" style="2"/>
    <col min="6" max="6" width="6.7109375" style="2" bestFit="1" customWidth="1"/>
    <col min="7" max="7" width="5.140625" style="2" bestFit="1" customWidth="1"/>
    <col min="8" max="8" width="9.140625" style="2"/>
    <col min="9" max="9" width="9.140625" style="2" customWidth="1"/>
    <col min="10" max="10" width="14" style="2" bestFit="1" customWidth="1"/>
    <col min="11" max="12" width="9.140625" style="2" customWidth="1"/>
    <col min="13" max="13" width="9.140625" style="2"/>
    <col min="14" max="15" width="9.140625" style="2" customWidth="1"/>
    <col min="16" max="16384" width="9.140625" style="2"/>
  </cols>
  <sheetData>
    <row r="1" spans="1:10" x14ac:dyDescent="0.2">
      <c r="A1" s="1" t="str">
        <f>UPPER((Kalend!E34)&amp;" - "&amp;(Kalend!C34)&amp;" - "&amp;(Kalend!D34))</f>
        <v>9 - K-JÄRVE 18. MV - ÜKSIK</v>
      </c>
      <c r="H1" s="113" t="str">
        <f>HYPERLINK("#Kalend!I1","Kalender")</f>
        <v>Kalender</v>
      </c>
      <c r="J1" s="113" t="str">
        <f>HYPERLINK("#Reit!K1","Reiting")</f>
        <v>Reiting</v>
      </c>
    </row>
    <row r="2" spans="1:10" x14ac:dyDescent="0.2">
      <c r="A2" s="2" t="str">
        <f>"Toimumisaeg: "&amp;(Kalend!A34)&amp;" kell "&amp;(Kalend!B34)</f>
        <v>Toimumisaeg: N, 17.08.2017 kell 18:00</v>
      </c>
    </row>
    <row r="3" spans="1:10" x14ac:dyDescent="0.2">
      <c r="A3" s="2" t="str">
        <f>"Toimumiskoht: "&amp;(Kalend!F34)</f>
        <v>Toimumiskoht: K-Järve spordihoone</v>
      </c>
    </row>
    <row r="4" spans="1:10" x14ac:dyDescent="0.2">
      <c r="A4" s="2" t="str">
        <f>"Korraldaja: "&amp;(Kalend!G34)</f>
        <v>Korraldaja: K-Järve SHK, Ivar Viljaste</v>
      </c>
    </row>
    <row r="6" spans="1:10" x14ac:dyDescent="0.2">
      <c r="A6" s="427" t="s">
        <v>255</v>
      </c>
      <c r="B6" s="428"/>
      <c r="C6" s="429" t="s">
        <v>256</v>
      </c>
      <c r="D6" s="479" t="s">
        <v>257</v>
      </c>
      <c r="E6" s="479" t="s">
        <v>258</v>
      </c>
      <c r="F6" s="478" t="s">
        <v>254</v>
      </c>
      <c r="G6" s="478" t="s">
        <v>145</v>
      </c>
      <c r="H6" s="24"/>
    </row>
    <row r="7" spans="1:10" x14ac:dyDescent="0.2">
      <c r="A7" s="430">
        <v>1</v>
      </c>
      <c r="B7" s="482" t="s">
        <v>156</v>
      </c>
      <c r="C7" s="434">
        <v>13</v>
      </c>
      <c r="D7" s="434">
        <v>11</v>
      </c>
      <c r="E7" s="434"/>
      <c r="F7" s="434">
        <v>13</v>
      </c>
      <c r="G7" s="434" t="str">
        <f>IF(AND(COUNTIF(C7:F7,13)=0,COUNT(C7:F7)=2),"IV",IF(AND(COUNTIF(C7:F7,13)=1,COUNT(C7:F7)=3),"III",IF(AND(COUNTIF(C7:F7,13)=2,COUNT(C7:F7)=3),"II",IF(AND(COUNTIF(C7:F7,13)=2,COUNT(C7:F7)=2),"I"))))</f>
        <v>II</v>
      </c>
      <c r="H7" s="24"/>
    </row>
    <row r="8" spans="1:10" x14ac:dyDescent="0.2">
      <c r="A8" s="430">
        <v>2</v>
      </c>
      <c r="B8" s="538" t="s">
        <v>172</v>
      </c>
      <c r="C8" s="434">
        <v>13</v>
      </c>
      <c r="D8" s="434">
        <v>13</v>
      </c>
      <c r="E8" s="434"/>
      <c r="F8" s="434"/>
      <c r="G8" s="434" t="str">
        <f t="shared" ref="G8:G9" si="0">IF(AND(COUNTIF(C8:F8,13)=0,COUNT(C8:F8)=2),"IV",IF(AND(COUNTIF(C8:F8,13)=1,COUNT(C8:F8)=3),"III",IF(AND(COUNTIF(C8:F8,13)=2,COUNT(C8:F8)=3),"II",IF(AND(COUNTIF(C8:F8,13)=2,COUNT(C8:F8)=2),"I"))))</f>
        <v>I</v>
      </c>
      <c r="H8" s="24"/>
    </row>
    <row r="9" spans="1:10" x14ac:dyDescent="0.2">
      <c r="A9" s="430">
        <v>3</v>
      </c>
      <c r="B9" s="480" t="s">
        <v>173</v>
      </c>
      <c r="C9" s="434">
        <v>8</v>
      </c>
      <c r="D9" s="434"/>
      <c r="E9" s="434">
        <v>13</v>
      </c>
      <c r="F9" s="434">
        <v>8</v>
      </c>
      <c r="G9" s="434" t="str">
        <f t="shared" si="0"/>
        <v>III</v>
      </c>
      <c r="H9" s="24"/>
    </row>
    <row r="10" spans="1:10" x14ac:dyDescent="0.2">
      <c r="A10" s="430">
        <v>4</v>
      </c>
      <c r="B10" s="481"/>
      <c r="C10" s="434">
        <f>IF(ISBLANK(B10),0)</f>
        <v>0</v>
      </c>
      <c r="D10" s="434"/>
      <c r="E10" s="434">
        <v>0</v>
      </c>
      <c r="F10" s="434"/>
      <c r="G10" s="434"/>
      <c r="H10" s="24"/>
    </row>
    <row r="11" spans="1:10" x14ac:dyDescent="0.2">
      <c r="D11" s="24"/>
      <c r="E11" s="24"/>
      <c r="F11" s="24"/>
      <c r="G11" s="24"/>
      <c r="H11" s="24"/>
    </row>
    <row r="12" spans="1:10" x14ac:dyDescent="0.2">
      <c r="A12" s="427" t="s">
        <v>318</v>
      </c>
      <c r="B12" s="428"/>
      <c r="C12" s="429" t="s">
        <v>256</v>
      </c>
      <c r="D12" s="479" t="s">
        <v>257</v>
      </c>
      <c r="E12" s="479" t="s">
        <v>258</v>
      </c>
      <c r="F12" s="478" t="s">
        <v>254</v>
      </c>
      <c r="G12" s="478" t="s">
        <v>145</v>
      </c>
      <c r="H12" s="24"/>
    </row>
    <row r="13" spans="1:10" x14ac:dyDescent="0.2">
      <c r="A13" s="430">
        <v>1</v>
      </c>
      <c r="B13" s="482" t="s">
        <v>159</v>
      </c>
      <c r="C13" s="434">
        <v>13</v>
      </c>
      <c r="D13" s="434">
        <v>6</v>
      </c>
      <c r="E13" s="434"/>
      <c r="F13" s="434">
        <v>13</v>
      </c>
      <c r="G13" s="434" t="str">
        <f>IF(AND(COUNTIF(C13:F13,13)=0,COUNT(C13:F13)=2),"IV",IF(AND(COUNTIF(C13:F13,13)=1,COUNT(C13:F13)=3),"III",IF(AND(COUNTIF(C13:F13,13)=2,COUNT(C13:F13)=3),"II",IF(AND(COUNTIF(C13:F13,13)=2,COUNT(C13:F13)=2),"I"))))</f>
        <v>II</v>
      </c>
      <c r="H13" s="24"/>
    </row>
    <row r="14" spans="1:10" x14ac:dyDescent="0.2">
      <c r="A14" s="430">
        <v>2</v>
      </c>
      <c r="B14" s="480" t="s">
        <v>161</v>
      </c>
      <c r="C14" s="434">
        <v>13</v>
      </c>
      <c r="D14" s="434">
        <v>13</v>
      </c>
      <c r="E14" s="434"/>
      <c r="F14" s="434"/>
      <c r="G14" s="434" t="str">
        <f>IF(AND(COUNTIF(C14:F14,13)=0,COUNT(C14:F14)=2),"IV",IF(AND(COUNTIF(C14:F14,13)=1,COUNT(C14:F14)=3),"III",IF(AND(COUNTIF(C14:F14,13)=2,COUNT(C14:F14)=3),"II",IF(AND(COUNTIF(C14:F14,13)=2,COUNT(C14:F14)=2),"I"))))</f>
        <v>I</v>
      </c>
      <c r="H14" s="24"/>
    </row>
    <row r="15" spans="1:10" x14ac:dyDescent="0.2">
      <c r="A15" s="430">
        <v>3</v>
      </c>
      <c r="B15" s="480" t="s">
        <v>387</v>
      </c>
      <c r="C15" s="434">
        <v>4</v>
      </c>
      <c r="D15" s="434"/>
      <c r="E15" s="434">
        <v>10</v>
      </c>
      <c r="F15" s="434"/>
      <c r="G15" s="434" t="str">
        <f>IF(AND(COUNTIF(C15:F15,13)=0,COUNT(C15:F15)=2),"IV",IF(AND(COUNTIF(C15:F15,13)=1,COUNT(C15:F15)=3),"III",IF(AND(COUNTIF(C15:F15,13)=2,COUNT(C15:F15)=3),"II",IF(AND(COUNTIF(C15:F15,13)=2,COUNT(C15:F15)=2),"I"))))</f>
        <v>IV</v>
      </c>
      <c r="H15" s="24"/>
    </row>
    <row r="16" spans="1:10" x14ac:dyDescent="0.2">
      <c r="A16" s="430">
        <v>4</v>
      </c>
      <c r="B16" s="481" t="s">
        <v>179</v>
      </c>
      <c r="C16" s="434">
        <v>9</v>
      </c>
      <c r="D16" s="434"/>
      <c r="E16" s="434">
        <v>13</v>
      </c>
      <c r="F16" s="434">
        <v>11</v>
      </c>
      <c r="G16" s="434" t="str">
        <f>IF(AND(COUNTIF(C16:F16,13)=0,COUNT(C16:F16)=2),"IV",IF(AND(COUNTIF(C16:F16,13)=1,COUNT(C16:F16)=3),"III",IF(AND(COUNTIF(C16:F16,13)=2,COUNT(C16:F16)=3),"II",IF(AND(COUNTIF(C16:F16,13)=2,COUNT(C16:F16)=2),"I"))))</f>
        <v>III</v>
      </c>
      <c r="H16" s="24"/>
    </row>
    <row r="17" spans="1:15" x14ac:dyDescent="0.2">
      <c r="D17" s="24"/>
      <c r="E17" s="24"/>
      <c r="F17" s="24"/>
      <c r="G17" s="24"/>
      <c r="H17" s="24"/>
    </row>
    <row r="18" spans="1:15" x14ac:dyDescent="0.2">
      <c r="A18" s="427" t="s">
        <v>319</v>
      </c>
      <c r="B18" s="428"/>
      <c r="C18" s="429" t="s">
        <v>256</v>
      </c>
      <c r="D18" s="479" t="s">
        <v>257</v>
      </c>
      <c r="E18" s="479" t="s">
        <v>258</v>
      </c>
      <c r="F18" s="478" t="s">
        <v>254</v>
      </c>
      <c r="G18" s="478" t="s">
        <v>145</v>
      </c>
      <c r="H18" s="24"/>
    </row>
    <row r="19" spans="1:15" x14ac:dyDescent="0.2">
      <c r="A19" s="430">
        <v>1</v>
      </c>
      <c r="B19" s="482" t="s">
        <v>155</v>
      </c>
      <c r="C19" s="434">
        <v>13</v>
      </c>
      <c r="D19" s="434">
        <v>13</v>
      </c>
      <c r="E19" s="434"/>
      <c r="F19" s="434"/>
      <c r="G19" s="434" t="str">
        <f>IF(AND(COUNTIF(C19:F19,13)=0,COUNT(C19:F19)=2),"IV",IF(AND(COUNTIF(C19:F19,13)=1,COUNT(C19:F19)=3),"III",IF(AND(COUNTIF(C19:F19,13)=2,COUNT(C19:F19)=3),"II",IF(AND(COUNTIF(C19:F19,13)=2,COUNT(C19:F19)=2),"I"))))</f>
        <v>I</v>
      </c>
    </row>
    <row r="20" spans="1:15" x14ac:dyDescent="0.2">
      <c r="A20" s="430">
        <v>2</v>
      </c>
      <c r="B20" s="480" t="s">
        <v>160</v>
      </c>
      <c r="C20" s="478">
        <v>13</v>
      </c>
      <c r="D20" s="434">
        <v>2</v>
      </c>
      <c r="E20" s="434"/>
      <c r="F20" s="434">
        <v>13</v>
      </c>
      <c r="G20" s="434" t="str">
        <f t="shared" ref="G20" si="1">IF(AND(COUNTIF(C20:F20,13)=0,COUNT(C20:F20)=2),"IV",IF(AND(COUNTIF(C20:F20,13)=1,COUNT(C20:F20)=3),"III",IF(AND(COUNTIF(C20:F20,13)=2,COUNT(C20:F20)=3),"II",IF(AND(COUNTIF(C20:F20,13)=2,COUNT(C20:F20)=2),"I"))))</f>
        <v>II</v>
      </c>
    </row>
    <row r="21" spans="1:15" x14ac:dyDescent="0.2">
      <c r="A21" s="430">
        <v>3</v>
      </c>
      <c r="B21" s="480" t="s">
        <v>169</v>
      </c>
      <c r="C21" s="434">
        <v>12</v>
      </c>
      <c r="D21" s="434"/>
      <c r="E21" s="434">
        <v>13</v>
      </c>
      <c r="F21" s="434">
        <v>9</v>
      </c>
      <c r="G21" s="434" t="str">
        <f t="shared" ref="G21" si="2">IF(AND(COUNTIF(C21:F21,13)=0,COUNT(C21:F21)=2),"IV",IF(AND(COUNTIF(C21:F21,13)=1,COUNT(C21:F21)=3),"III",IF(AND(COUNTIF(C21:F21,13)=2,COUNT(C21:F21)=3),"II",IF(AND(COUNTIF(C21:F21,13)=2,COUNT(C21:F21)=2),"I"))))</f>
        <v>III</v>
      </c>
    </row>
    <row r="22" spans="1:15" x14ac:dyDescent="0.2">
      <c r="A22" s="430">
        <v>4</v>
      </c>
      <c r="B22" s="481"/>
      <c r="C22" s="434">
        <f>IF(ISBLANK(B22),0)</f>
        <v>0</v>
      </c>
      <c r="D22" s="434"/>
      <c r="E22" s="434">
        <v>0</v>
      </c>
      <c r="F22" s="434"/>
      <c r="G22" s="434"/>
    </row>
    <row r="23" spans="1:15" x14ac:dyDescent="0.2">
      <c r="A23" s="443"/>
      <c r="B23" s="485"/>
      <c r="C23" s="486"/>
      <c r="D23" s="486"/>
      <c r="E23" s="486"/>
      <c r="F23" s="486"/>
      <c r="G23" s="486"/>
      <c r="I23" s="443"/>
      <c r="K23" s="486"/>
      <c r="L23" s="486"/>
      <c r="M23" s="486"/>
      <c r="N23" s="486"/>
      <c r="O23" s="486"/>
    </row>
    <row r="24" spans="1:15" x14ac:dyDescent="0.2">
      <c r="A24" s="476" t="s">
        <v>417</v>
      </c>
      <c r="B24" s="477"/>
      <c r="C24" s="478" t="s">
        <v>256</v>
      </c>
      <c r="D24" s="479" t="s">
        <v>257</v>
      </c>
      <c r="E24" s="479" t="s">
        <v>258</v>
      </c>
      <c r="F24" s="478" t="s">
        <v>254</v>
      </c>
      <c r="G24" s="429" t="s">
        <v>145</v>
      </c>
      <c r="I24" s="443"/>
      <c r="J24" s="485"/>
      <c r="K24" s="486"/>
      <c r="L24" s="486"/>
      <c r="M24" s="486"/>
      <c r="N24" s="486"/>
      <c r="O24" s="486"/>
    </row>
    <row r="25" spans="1:15" x14ac:dyDescent="0.2">
      <c r="A25" s="479">
        <v>1</v>
      </c>
      <c r="B25" s="138" t="s">
        <v>166</v>
      </c>
      <c r="C25" s="434">
        <v>13</v>
      </c>
      <c r="D25" s="434">
        <v>13</v>
      </c>
      <c r="E25" s="434"/>
      <c r="F25" s="434"/>
      <c r="G25" s="434" t="str">
        <f>IF(AND(COUNTIF(C25:F25,13)=0,COUNT(C25:F25)=2),"IV",IF(AND(COUNTIF(C25:F25,13)=1,COUNT(C25:F25)=3),"III",IF(AND(COUNTIF(C25:F25,13)=2,COUNT(C25:F25)=3),"II",IF(AND(COUNTIF(C25:F25,13)=2,COUNT(C25:F25)=2),"I"))))</f>
        <v>I</v>
      </c>
      <c r="I25" s="443"/>
      <c r="J25" s="485"/>
      <c r="K25" s="486"/>
      <c r="L25" s="486"/>
      <c r="M25" s="486"/>
      <c r="N25" s="486"/>
      <c r="O25" s="486"/>
    </row>
    <row r="26" spans="1:15" x14ac:dyDescent="0.2">
      <c r="A26" s="479">
        <v>2</v>
      </c>
      <c r="B26" s="480" t="s">
        <v>182</v>
      </c>
      <c r="C26" s="434">
        <v>13</v>
      </c>
      <c r="D26" s="434">
        <v>12</v>
      </c>
      <c r="E26" s="434"/>
      <c r="F26" s="434">
        <v>13</v>
      </c>
      <c r="G26" s="434" t="str">
        <f t="shared" ref="G26:G27" si="3">IF(AND(COUNTIF(C26:F26,13)=0,COUNT(C26:F26)=2),"IV",IF(AND(COUNTIF(C26:F26,13)=1,COUNT(C26:F26)=3),"III",IF(AND(COUNTIF(C26:F26,13)=2,COUNT(C26:F26)=3),"II",IF(AND(COUNTIF(C26:F26,13)=2,COUNT(C26:F26)=2),"I"))))</f>
        <v>II</v>
      </c>
      <c r="I26" s="443"/>
      <c r="J26" s="485"/>
      <c r="K26" s="486"/>
      <c r="L26" s="486"/>
      <c r="M26" s="486"/>
      <c r="N26" s="486"/>
      <c r="O26" s="486"/>
    </row>
    <row r="27" spans="1:15" x14ac:dyDescent="0.2">
      <c r="A27" s="479">
        <v>3</v>
      </c>
      <c r="B27" s="480" t="s">
        <v>183</v>
      </c>
      <c r="C27" s="434">
        <v>6</v>
      </c>
      <c r="D27" s="434"/>
      <c r="E27" s="434">
        <v>13</v>
      </c>
      <c r="F27" s="434">
        <v>11</v>
      </c>
      <c r="G27" s="434" t="str">
        <f t="shared" si="3"/>
        <v>III</v>
      </c>
      <c r="I27" s="443"/>
      <c r="K27" s="486"/>
      <c r="L27" s="486"/>
      <c r="M27" s="486"/>
      <c r="N27" s="486"/>
      <c r="O27" s="486"/>
    </row>
    <row r="28" spans="1:15" x14ac:dyDescent="0.2">
      <c r="A28" s="479">
        <v>4</v>
      </c>
      <c r="B28" s="481"/>
      <c r="C28" s="434">
        <f>IF(ISBLANK(B28),0)</f>
        <v>0</v>
      </c>
      <c r="D28" s="434"/>
      <c r="E28" s="434">
        <v>0</v>
      </c>
      <c r="F28" s="434"/>
      <c r="G28" s="434"/>
      <c r="I28" s="443"/>
      <c r="K28" s="486"/>
      <c r="L28" s="486"/>
      <c r="M28" s="486"/>
      <c r="N28" s="486"/>
      <c r="O28" s="486"/>
    </row>
    <row r="29" spans="1:15" x14ac:dyDescent="0.2">
      <c r="A29" s="24"/>
      <c r="B29" s="24"/>
      <c r="C29" s="24"/>
      <c r="D29" s="24"/>
      <c r="E29" s="24"/>
      <c r="F29" s="24"/>
      <c r="I29" s="443"/>
      <c r="J29" s="485"/>
      <c r="K29" s="486"/>
      <c r="L29" s="486"/>
      <c r="M29" s="486"/>
      <c r="N29" s="486"/>
      <c r="O29" s="486"/>
    </row>
    <row r="30" spans="1:15" x14ac:dyDescent="0.2">
      <c r="A30" s="476" t="s">
        <v>418</v>
      </c>
      <c r="B30" s="477"/>
      <c r="C30" s="478" t="s">
        <v>256</v>
      </c>
      <c r="D30" s="479" t="s">
        <v>257</v>
      </c>
      <c r="E30" s="479" t="s">
        <v>258</v>
      </c>
      <c r="F30" s="478" t="s">
        <v>254</v>
      </c>
      <c r="G30" s="429" t="s">
        <v>145</v>
      </c>
      <c r="I30" s="443"/>
      <c r="K30" s="486"/>
      <c r="L30" s="486"/>
      <c r="M30" s="486"/>
      <c r="N30" s="486"/>
      <c r="O30" s="486"/>
    </row>
    <row r="31" spans="1:15" x14ac:dyDescent="0.2">
      <c r="A31" s="479">
        <v>1</v>
      </c>
      <c r="B31" s="138" t="s">
        <v>157</v>
      </c>
      <c r="C31" s="434">
        <v>13</v>
      </c>
      <c r="D31" s="434">
        <v>8</v>
      </c>
      <c r="E31" s="434"/>
      <c r="F31" s="922">
        <v>13</v>
      </c>
      <c r="G31" s="434" t="str">
        <f>IF(AND(COUNTIF(C31:F31,13)=0,COUNT(C31:F31)=2),"IV",IF(AND(COUNTIF(C31:F31,13)=1,COUNT(C31:F31)=3),"III",IF(AND(COUNTIF(C31:F31,13)=2,COUNT(C31:F31)=3),"II",IF(AND(COUNTIF(C31:F31,13)=2,COUNT(C31:F31)=2),"I"))))</f>
        <v>II</v>
      </c>
      <c r="I31" s="443"/>
      <c r="J31" s="408"/>
      <c r="K31" s="486"/>
      <c r="L31" s="486"/>
      <c r="M31" s="486"/>
      <c r="N31" s="486"/>
      <c r="O31" s="486"/>
    </row>
    <row r="32" spans="1:15" x14ac:dyDescent="0.2">
      <c r="A32" s="479">
        <v>2</v>
      </c>
      <c r="B32" s="480" t="s">
        <v>175</v>
      </c>
      <c r="C32" s="434">
        <v>13</v>
      </c>
      <c r="D32" s="434">
        <v>13</v>
      </c>
      <c r="E32" s="434"/>
      <c r="F32" s="434"/>
      <c r="G32" s="434" t="str">
        <f t="shared" ref="G32:G33" si="4">IF(AND(COUNTIF(C32:F32,13)=0,COUNT(C32:F32)=2),"IV",IF(AND(COUNTIF(C32:F32,13)=1,COUNT(C32:F32)=3),"III",IF(AND(COUNTIF(C32:F32,13)=2,COUNT(C32:F32)=3),"II",IF(AND(COUNTIF(C32:F32,13)=2,COUNT(C32:F32)=2),"I"))))</f>
        <v>I</v>
      </c>
      <c r="I32" s="443"/>
      <c r="K32" s="486"/>
      <c r="L32" s="486"/>
      <c r="M32" s="486"/>
      <c r="N32" s="486"/>
      <c r="O32" s="486"/>
    </row>
    <row r="33" spans="1:15" x14ac:dyDescent="0.2">
      <c r="A33" s="479">
        <v>3</v>
      </c>
      <c r="B33" s="480" t="s">
        <v>332</v>
      </c>
      <c r="C33" s="434">
        <v>8</v>
      </c>
      <c r="D33" s="434"/>
      <c r="E33" s="434">
        <v>13</v>
      </c>
      <c r="F33" s="434">
        <v>9</v>
      </c>
      <c r="G33" s="434" t="str">
        <f t="shared" si="4"/>
        <v>III</v>
      </c>
      <c r="I33" s="443"/>
      <c r="K33" s="486"/>
      <c r="L33" s="486"/>
      <c r="M33" s="486"/>
      <c r="N33" s="486"/>
      <c r="O33" s="486"/>
    </row>
    <row r="34" spans="1:15" x14ac:dyDescent="0.2">
      <c r="A34" s="479">
        <v>4</v>
      </c>
      <c r="B34" s="481"/>
      <c r="C34" s="434">
        <f>IF(ISBLANK(B34),0)</f>
        <v>0</v>
      </c>
      <c r="D34" s="434"/>
      <c r="E34" s="434">
        <v>0</v>
      </c>
      <c r="F34" s="434"/>
      <c r="G34" s="434"/>
      <c r="I34" s="443"/>
      <c r="K34" s="486"/>
      <c r="L34" s="486"/>
      <c r="M34" s="486"/>
      <c r="N34" s="486"/>
      <c r="O34" s="486"/>
    </row>
    <row r="35" spans="1:15" x14ac:dyDescent="0.2">
      <c r="A35" s="24"/>
      <c r="B35" s="24"/>
      <c r="C35" s="24"/>
      <c r="D35" s="24"/>
      <c r="E35" s="24"/>
      <c r="F35" s="24"/>
      <c r="I35" s="443"/>
      <c r="K35" s="486"/>
      <c r="L35" s="486"/>
      <c r="M35" s="486"/>
      <c r="N35" s="486"/>
      <c r="O35" s="486"/>
    </row>
    <row r="36" spans="1:15" x14ac:dyDescent="0.2">
      <c r="A36" s="476" t="s">
        <v>419</v>
      </c>
      <c r="B36" s="477"/>
      <c r="C36" s="478" t="s">
        <v>256</v>
      </c>
      <c r="D36" s="479" t="s">
        <v>257</v>
      </c>
      <c r="E36" s="479" t="s">
        <v>258</v>
      </c>
      <c r="F36" s="478" t="s">
        <v>254</v>
      </c>
      <c r="G36" s="429" t="s">
        <v>145</v>
      </c>
      <c r="I36" s="443"/>
      <c r="K36" s="486"/>
      <c r="L36" s="486"/>
      <c r="M36" s="486"/>
      <c r="N36" s="486"/>
      <c r="O36" s="486"/>
    </row>
    <row r="37" spans="1:15" x14ac:dyDescent="0.2">
      <c r="A37" s="430">
        <v>1</v>
      </c>
      <c r="B37" s="138" t="s">
        <v>162</v>
      </c>
      <c r="C37" s="434">
        <v>13</v>
      </c>
      <c r="D37" s="434">
        <v>7</v>
      </c>
      <c r="E37" s="434"/>
      <c r="F37" s="434">
        <v>6</v>
      </c>
      <c r="G37" s="434" t="str">
        <f>IF(AND(COUNTIF(C37:F37,13)=0,COUNT(C37:F37)=2),"IV",IF(AND(COUNTIF(C37:F37,13)=1,COUNT(C37:F37)=3),"III",IF(AND(COUNTIF(C37:F37,13)=2,COUNT(C37:F37)=3),"II",IF(AND(COUNTIF(C37:F37,13)=2,COUNT(C37:F37)=2),"I"))))</f>
        <v>III</v>
      </c>
      <c r="I37" s="443"/>
      <c r="K37" s="486"/>
      <c r="L37" s="486"/>
      <c r="M37" s="486"/>
      <c r="N37" s="486"/>
      <c r="O37" s="486"/>
    </row>
    <row r="38" spans="1:15" x14ac:dyDescent="0.2">
      <c r="A38" s="430">
        <v>2</v>
      </c>
      <c r="B38" s="480" t="s">
        <v>164</v>
      </c>
      <c r="C38" s="434">
        <v>13</v>
      </c>
      <c r="D38" s="434">
        <v>13</v>
      </c>
      <c r="E38" s="434"/>
      <c r="F38" s="434"/>
      <c r="G38" s="434" t="str">
        <f t="shared" ref="G38:G39" si="5">IF(AND(COUNTIF(C38:F38,13)=0,COUNT(C38:F38)=2),"IV",IF(AND(COUNTIF(C38:F38,13)=1,COUNT(C38:F38)=3),"III",IF(AND(COUNTIF(C38:F38,13)=2,COUNT(C38:F38)=3),"II",IF(AND(COUNTIF(C38:F38,13)=2,COUNT(C38:F38)=2),"I"))))</f>
        <v>I</v>
      </c>
      <c r="I38" s="443"/>
      <c r="K38" s="486"/>
      <c r="L38" s="486"/>
      <c r="M38" s="486"/>
      <c r="N38" s="486"/>
      <c r="O38" s="486"/>
    </row>
    <row r="39" spans="1:15" x14ac:dyDescent="0.2">
      <c r="A39" s="430">
        <v>3</v>
      </c>
      <c r="B39" s="480" t="s">
        <v>168</v>
      </c>
      <c r="C39" s="434">
        <v>7</v>
      </c>
      <c r="D39" s="434"/>
      <c r="E39" s="434">
        <v>13</v>
      </c>
      <c r="F39" s="434">
        <v>13</v>
      </c>
      <c r="G39" s="434" t="str">
        <f t="shared" si="5"/>
        <v>II</v>
      </c>
      <c r="I39" s="443"/>
      <c r="K39" s="486"/>
      <c r="L39" s="486"/>
      <c r="M39" s="486"/>
      <c r="N39" s="486"/>
      <c r="O39" s="486"/>
    </row>
    <row r="40" spans="1:15" x14ac:dyDescent="0.2">
      <c r="A40" s="430">
        <v>4</v>
      </c>
      <c r="B40" s="481"/>
      <c r="C40" s="434">
        <f>IF(ISBLANK(B40),0)</f>
        <v>0</v>
      </c>
      <c r="D40" s="434"/>
      <c r="E40" s="434">
        <v>0</v>
      </c>
      <c r="F40" s="434"/>
      <c r="G40" s="434"/>
      <c r="I40" s="443"/>
      <c r="K40" s="486"/>
      <c r="L40" s="486"/>
      <c r="M40" s="486"/>
      <c r="N40" s="486"/>
      <c r="O40" s="486"/>
    </row>
    <row r="42" spans="1:15" x14ac:dyDescent="0.2">
      <c r="A42" s="639" t="s">
        <v>410</v>
      </c>
      <c r="B42" s="513"/>
      <c r="C42" s="445"/>
      <c r="D42" s="445"/>
      <c r="E42" s="445"/>
      <c r="F42" s="486"/>
      <c r="G42" s="442"/>
      <c r="H42" s="436"/>
      <c r="I42" s="436"/>
      <c r="J42" s="436"/>
      <c r="K42" s="436"/>
      <c r="L42" s="436"/>
      <c r="M42" s="436"/>
    </row>
    <row r="43" spans="1:15" x14ac:dyDescent="0.2">
      <c r="A43" s="436"/>
      <c r="B43" s="436"/>
      <c r="C43" s="436"/>
      <c r="D43" s="436"/>
      <c r="E43" s="436"/>
      <c r="F43" s="436"/>
      <c r="G43" s="436"/>
      <c r="H43" s="436"/>
      <c r="I43" s="436"/>
      <c r="J43" s="436"/>
      <c r="K43" s="436"/>
      <c r="L43" s="436"/>
      <c r="M43" s="436"/>
    </row>
    <row r="44" spans="1:15" x14ac:dyDescent="0.2">
      <c r="A44" s="548" t="s">
        <v>286</v>
      </c>
      <c r="B44" s="436" t="s">
        <v>161</v>
      </c>
      <c r="C44" s="514">
        <v>13</v>
      </c>
      <c r="D44" s="436"/>
      <c r="E44" s="436"/>
      <c r="F44" s="436"/>
      <c r="G44" s="436"/>
      <c r="H44" s="436"/>
      <c r="I44" s="436"/>
      <c r="J44" s="436"/>
      <c r="K44" s="436"/>
      <c r="M44" s="436"/>
    </row>
    <row r="45" spans="1:15" x14ac:dyDescent="0.2">
      <c r="A45" s="549"/>
      <c r="B45" s="515"/>
      <c r="C45" s="550" t="s">
        <v>161</v>
      </c>
      <c r="D45" s="436"/>
      <c r="E45" s="514">
        <v>13</v>
      </c>
      <c r="F45" s="436"/>
      <c r="G45" s="436"/>
      <c r="H45" s="436"/>
      <c r="I45" s="436"/>
      <c r="J45" s="436"/>
      <c r="K45" s="436"/>
    </row>
    <row r="46" spans="1:15" x14ac:dyDescent="0.2">
      <c r="A46" s="549"/>
      <c r="B46" s="533" t="s">
        <v>306</v>
      </c>
      <c r="C46" s="551">
        <v>0</v>
      </c>
      <c r="D46" s="516"/>
      <c r="E46" s="436"/>
      <c r="F46" s="436"/>
      <c r="G46" s="436"/>
      <c r="H46" s="436"/>
      <c r="I46" s="436"/>
      <c r="J46" s="436"/>
      <c r="K46" s="436"/>
    </row>
    <row r="47" spans="1:15" x14ac:dyDescent="0.2">
      <c r="A47" s="549"/>
      <c r="B47" s="436"/>
      <c r="C47" s="436"/>
      <c r="D47" s="521"/>
      <c r="E47" s="517" t="s">
        <v>161</v>
      </c>
      <c r="F47" s="436"/>
      <c r="G47" s="514">
        <v>13</v>
      </c>
      <c r="H47" s="436"/>
      <c r="I47" s="436"/>
      <c r="J47" s="436"/>
      <c r="K47" s="436"/>
    </row>
    <row r="48" spans="1:15" x14ac:dyDescent="0.2">
      <c r="A48" s="549" t="s">
        <v>282</v>
      </c>
      <c r="B48" s="436" t="s">
        <v>155</v>
      </c>
      <c r="C48" s="525">
        <v>13</v>
      </c>
      <c r="D48" s="521"/>
      <c r="E48" s="640"/>
      <c r="F48" s="516"/>
      <c r="G48" s="436"/>
      <c r="H48" s="436"/>
      <c r="I48" s="436"/>
      <c r="J48" s="436"/>
      <c r="K48" s="436"/>
    </row>
    <row r="49" spans="1:11" x14ac:dyDescent="0.2">
      <c r="A49" s="549"/>
      <c r="B49" s="515"/>
      <c r="C49" s="517" t="s">
        <v>155</v>
      </c>
      <c r="D49" s="519"/>
      <c r="E49" s="525">
        <v>9</v>
      </c>
      <c r="F49" s="521"/>
      <c r="G49" s="436"/>
      <c r="H49" s="436"/>
      <c r="I49" s="436"/>
      <c r="J49" s="436"/>
      <c r="K49" s="436"/>
    </row>
    <row r="50" spans="1:11" x14ac:dyDescent="0.2">
      <c r="A50" s="549" t="s">
        <v>414</v>
      </c>
      <c r="B50" s="518" t="s">
        <v>157</v>
      </c>
      <c r="C50" s="520">
        <v>9</v>
      </c>
      <c r="D50" s="436"/>
      <c r="E50" s="513"/>
      <c r="F50" s="521"/>
      <c r="G50" s="436"/>
      <c r="H50" s="436"/>
      <c r="I50" s="436"/>
      <c r="J50" s="436"/>
      <c r="K50" s="436"/>
    </row>
    <row r="51" spans="1:11" x14ac:dyDescent="0.2">
      <c r="A51" s="527"/>
      <c r="B51" s="436"/>
      <c r="C51" s="436"/>
      <c r="D51" s="436"/>
      <c r="E51" s="513"/>
      <c r="F51" s="521"/>
      <c r="G51" s="517" t="s">
        <v>161</v>
      </c>
      <c r="H51" s="436"/>
      <c r="I51" s="514"/>
      <c r="J51" s="436"/>
      <c r="K51" s="436"/>
    </row>
    <row r="52" spans="1:11" x14ac:dyDescent="0.2">
      <c r="A52" s="548" t="s">
        <v>285</v>
      </c>
      <c r="B52" s="436" t="s">
        <v>156</v>
      </c>
      <c r="C52" s="514">
        <v>13</v>
      </c>
      <c r="D52" s="436"/>
      <c r="E52" s="513"/>
      <c r="F52" s="521"/>
      <c r="G52" s="515"/>
      <c r="H52" s="516"/>
      <c r="I52" s="436"/>
      <c r="J52" s="436"/>
      <c r="K52" s="436"/>
    </row>
    <row r="53" spans="1:11" x14ac:dyDescent="0.2">
      <c r="A53" s="549"/>
      <c r="B53" s="515"/>
      <c r="C53" s="582" t="s">
        <v>156</v>
      </c>
      <c r="D53" s="436"/>
      <c r="E53" s="525">
        <v>4</v>
      </c>
      <c r="F53" s="521"/>
      <c r="G53" s="513"/>
      <c r="H53" s="521"/>
      <c r="I53" s="436"/>
      <c r="J53" s="436"/>
      <c r="K53" s="436"/>
    </row>
    <row r="54" spans="1:11" x14ac:dyDescent="0.2">
      <c r="A54" s="549" t="s">
        <v>288</v>
      </c>
      <c r="B54" s="518" t="s">
        <v>182</v>
      </c>
      <c r="C54" s="551">
        <v>11</v>
      </c>
      <c r="D54" s="516"/>
      <c r="E54" s="513"/>
      <c r="F54" s="521"/>
      <c r="G54" s="513"/>
      <c r="H54" s="521"/>
      <c r="I54" s="436"/>
      <c r="J54" s="436"/>
      <c r="K54" s="436"/>
    </row>
    <row r="55" spans="1:11" x14ac:dyDescent="0.2">
      <c r="A55" s="549"/>
      <c r="B55" s="436"/>
      <c r="C55" s="436"/>
      <c r="D55" s="521"/>
      <c r="E55" s="518" t="s">
        <v>164</v>
      </c>
      <c r="F55" s="519"/>
      <c r="G55" s="525">
        <v>9</v>
      </c>
      <c r="H55" s="521"/>
      <c r="I55" s="436"/>
      <c r="J55" s="436"/>
      <c r="K55" s="436"/>
    </row>
    <row r="56" spans="1:11" x14ac:dyDescent="0.2">
      <c r="A56" s="549" t="s">
        <v>413</v>
      </c>
      <c r="B56" s="532" t="s">
        <v>164</v>
      </c>
      <c r="C56" s="525">
        <v>13</v>
      </c>
      <c r="D56" s="521"/>
      <c r="E56" s="517"/>
      <c r="F56" s="513"/>
      <c r="G56" s="513"/>
      <c r="H56" s="521"/>
      <c r="I56" s="436"/>
      <c r="J56" s="436"/>
      <c r="K56" s="436"/>
    </row>
    <row r="57" spans="1:11" x14ac:dyDescent="0.2">
      <c r="A57" s="549"/>
      <c r="B57" s="515"/>
      <c r="C57" s="517" t="s">
        <v>164</v>
      </c>
      <c r="D57" s="519"/>
      <c r="E57" s="525">
        <v>13</v>
      </c>
      <c r="F57" s="436"/>
      <c r="G57" s="513"/>
      <c r="H57" s="521"/>
      <c r="I57" s="436"/>
      <c r="J57" s="436"/>
      <c r="K57" s="436"/>
    </row>
    <row r="58" spans="1:11" x14ac:dyDescent="0.2">
      <c r="A58" s="549"/>
      <c r="B58" s="533" t="s">
        <v>306</v>
      </c>
      <c r="C58" s="520">
        <v>0</v>
      </c>
      <c r="D58" s="436"/>
      <c r="E58" s="513"/>
      <c r="F58" s="513"/>
      <c r="G58" s="513"/>
      <c r="H58" s="521"/>
      <c r="I58" s="436"/>
      <c r="J58" s="436"/>
      <c r="K58" s="436"/>
    </row>
    <row r="59" spans="1:11" ht="13.5" thickBot="1" x14ac:dyDescent="0.25">
      <c r="A59" s="436"/>
      <c r="B59" s="436"/>
      <c r="C59" s="436"/>
      <c r="D59" s="436"/>
      <c r="E59" s="436"/>
      <c r="F59" s="436"/>
      <c r="G59" s="513"/>
      <c r="H59" s="521"/>
      <c r="I59" s="436"/>
      <c r="J59" s="436" t="s">
        <v>166</v>
      </c>
    </row>
    <row r="60" spans="1:11" x14ac:dyDescent="0.2">
      <c r="A60" s="548" t="s">
        <v>290</v>
      </c>
      <c r="B60" s="436" t="s">
        <v>172</v>
      </c>
      <c r="C60" s="514">
        <v>13</v>
      </c>
      <c r="D60" s="436"/>
      <c r="E60" s="436"/>
      <c r="F60" s="436"/>
      <c r="G60" s="513"/>
      <c r="H60" s="521"/>
      <c r="I60" s="552"/>
      <c r="J60" s="523" t="s">
        <v>287</v>
      </c>
    </row>
    <row r="61" spans="1:11" x14ac:dyDescent="0.2">
      <c r="A61" s="549"/>
      <c r="B61" s="515"/>
      <c r="C61" s="550" t="s">
        <v>172</v>
      </c>
      <c r="D61" s="436"/>
      <c r="E61" s="514">
        <v>13</v>
      </c>
      <c r="F61" s="436"/>
      <c r="G61" s="513"/>
      <c r="H61" s="521"/>
      <c r="I61" s="436"/>
      <c r="J61" s="436"/>
    </row>
    <row r="62" spans="1:11" x14ac:dyDescent="0.2">
      <c r="A62" s="549"/>
      <c r="B62" s="533" t="s">
        <v>306</v>
      </c>
      <c r="C62" s="551">
        <v>0</v>
      </c>
      <c r="D62" s="516"/>
      <c r="E62" s="436"/>
      <c r="F62" s="436"/>
      <c r="G62" s="513"/>
      <c r="H62" s="521"/>
      <c r="I62" s="436"/>
      <c r="J62" s="436"/>
    </row>
    <row r="63" spans="1:11" x14ac:dyDescent="0.2">
      <c r="A63" s="549"/>
      <c r="B63" s="436"/>
      <c r="C63" s="436"/>
      <c r="D63" s="521"/>
      <c r="E63" s="436" t="s">
        <v>172</v>
      </c>
      <c r="F63" s="436"/>
      <c r="G63" s="525">
        <v>3</v>
      </c>
      <c r="H63" s="521"/>
      <c r="I63" s="436"/>
      <c r="J63" s="436"/>
    </row>
    <row r="64" spans="1:11" x14ac:dyDescent="0.2">
      <c r="A64" s="549" t="s">
        <v>283</v>
      </c>
      <c r="B64" s="436" t="s">
        <v>159</v>
      </c>
      <c r="C64" s="525">
        <v>8</v>
      </c>
      <c r="D64" s="521"/>
      <c r="E64" s="640"/>
      <c r="F64" s="516"/>
      <c r="G64" s="513"/>
      <c r="H64" s="521"/>
      <c r="I64" s="436"/>
      <c r="J64" s="436"/>
    </row>
    <row r="65" spans="1:13" x14ac:dyDescent="0.2">
      <c r="A65" s="549"/>
      <c r="B65" s="515"/>
      <c r="C65" s="517" t="s">
        <v>168</v>
      </c>
      <c r="D65" s="519"/>
      <c r="E65" s="525">
        <v>7</v>
      </c>
      <c r="F65" s="521"/>
      <c r="G65" s="513"/>
      <c r="H65" s="521"/>
      <c r="I65" s="436"/>
      <c r="J65" s="436"/>
    </row>
    <row r="66" spans="1:13" x14ac:dyDescent="0.2">
      <c r="A66" s="549" t="s">
        <v>412</v>
      </c>
      <c r="B66" s="518" t="s">
        <v>168</v>
      </c>
      <c r="C66" s="520">
        <v>13</v>
      </c>
      <c r="D66" s="436"/>
      <c r="E66" s="513"/>
      <c r="F66" s="521"/>
      <c r="G66" s="513"/>
      <c r="H66" s="521"/>
      <c r="I66" s="436"/>
      <c r="J66" s="436"/>
    </row>
    <row r="67" spans="1:13" x14ac:dyDescent="0.2">
      <c r="A67" s="436"/>
      <c r="B67" s="436"/>
      <c r="C67" s="436"/>
      <c r="D67" s="436"/>
      <c r="E67" s="513"/>
      <c r="F67" s="521"/>
      <c r="G67" s="518" t="s">
        <v>166</v>
      </c>
      <c r="H67" s="519"/>
      <c r="I67" s="514">
        <v>13</v>
      </c>
      <c r="J67" s="436"/>
    </row>
    <row r="68" spans="1:13" ht="13.5" thickBot="1" x14ac:dyDescent="0.25">
      <c r="A68" s="548" t="s">
        <v>411</v>
      </c>
      <c r="B68" s="436" t="s">
        <v>175</v>
      </c>
      <c r="C68" s="514">
        <v>13</v>
      </c>
      <c r="D68" s="436"/>
      <c r="E68" s="513"/>
      <c r="F68" s="521"/>
      <c r="G68" s="436"/>
      <c r="H68" s="436"/>
      <c r="I68" s="436"/>
      <c r="J68" s="513" t="s">
        <v>161</v>
      </c>
    </row>
    <row r="69" spans="1:13" x14ac:dyDescent="0.2">
      <c r="A69" s="549"/>
      <c r="B69" s="515"/>
      <c r="C69" s="550" t="s">
        <v>175</v>
      </c>
      <c r="D69" s="436"/>
      <c r="E69" s="525">
        <v>9</v>
      </c>
      <c r="F69" s="521"/>
      <c r="G69" s="436"/>
      <c r="H69" s="436"/>
      <c r="I69" s="436"/>
      <c r="J69" s="523" t="s">
        <v>289</v>
      </c>
    </row>
    <row r="70" spans="1:13" x14ac:dyDescent="0.2">
      <c r="A70" s="549" t="s">
        <v>299</v>
      </c>
      <c r="B70" s="533" t="s">
        <v>160</v>
      </c>
      <c r="C70" s="551">
        <v>9</v>
      </c>
      <c r="D70" s="516"/>
      <c r="E70" s="513"/>
      <c r="F70" s="521"/>
      <c r="G70" s="436"/>
      <c r="H70" s="436"/>
      <c r="I70" s="436"/>
      <c r="J70" s="436"/>
    </row>
    <row r="71" spans="1:13" x14ac:dyDescent="0.2">
      <c r="A71" s="549"/>
      <c r="B71" s="436"/>
      <c r="C71" s="436"/>
      <c r="D71" s="521"/>
      <c r="E71" s="518" t="s">
        <v>166</v>
      </c>
      <c r="F71" s="519"/>
      <c r="G71" s="514">
        <v>13</v>
      </c>
      <c r="H71" s="436"/>
      <c r="I71" s="436"/>
      <c r="J71" s="436"/>
    </row>
    <row r="72" spans="1:13" x14ac:dyDescent="0.2">
      <c r="A72" s="549" t="s">
        <v>284</v>
      </c>
      <c r="B72" s="436" t="s">
        <v>166</v>
      </c>
      <c r="C72" s="525">
        <v>13</v>
      </c>
      <c r="D72" s="521"/>
      <c r="E72" s="517"/>
      <c r="F72" s="513"/>
      <c r="G72" s="436"/>
      <c r="H72" s="436"/>
      <c r="I72" s="436"/>
      <c r="J72" s="436"/>
    </row>
    <row r="73" spans="1:13" x14ac:dyDescent="0.2">
      <c r="A73" s="549"/>
      <c r="B73" s="515"/>
      <c r="C73" s="517" t="s">
        <v>166</v>
      </c>
      <c r="D73" s="519"/>
      <c r="E73" s="525">
        <v>13</v>
      </c>
      <c r="F73" s="436"/>
      <c r="G73" s="436" t="s">
        <v>164</v>
      </c>
      <c r="H73" s="436"/>
      <c r="I73" s="525">
        <v>13</v>
      </c>
      <c r="J73" s="436"/>
    </row>
    <row r="74" spans="1:13" ht="13.5" thickBot="1" x14ac:dyDescent="0.25">
      <c r="A74" s="549"/>
      <c r="B74" s="533" t="s">
        <v>306</v>
      </c>
      <c r="C74" s="660">
        <v>0</v>
      </c>
      <c r="D74" s="436"/>
      <c r="E74" s="513"/>
      <c r="F74" s="513"/>
      <c r="G74" s="515"/>
      <c r="H74" s="516"/>
      <c r="I74" s="524"/>
      <c r="J74" s="524" t="s">
        <v>164</v>
      </c>
    </row>
    <row r="75" spans="1:13" x14ac:dyDescent="0.2">
      <c r="A75" s="436"/>
      <c r="B75" s="436"/>
      <c r="C75" s="436"/>
      <c r="D75" s="436"/>
      <c r="E75" s="436"/>
      <c r="F75" s="513"/>
      <c r="G75" s="533" t="s">
        <v>172</v>
      </c>
      <c r="H75" s="519"/>
      <c r="I75" s="514">
        <v>6</v>
      </c>
      <c r="J75" s="526" t="s">
        <v>292</v>
      </c>
    </row>
    <row r="76" spans="1:13" x14ac:dyDescent="0.2">
      <c r="A76" s="436"/>
      <c r="B76" s="436"/>
      <c r="C76" s="436"/>
      <c r="D76" s="436"/>
      <c r="E76" s="436"/>
      <c r="F76" s="513"/>
      <c r="G76" s="436"/>
      <c r="H76" s="436"/>
      <c r="I76" s="436"/>
      <c r="J76" s="513"/>
    </row>
    <row r="77" spans="1:13" ht="13.5" thickBot="1" x14ac:dyDescent="0.25">
      <c r="A77" s="436"/>
      <c r="B77" s="436"/>
      <c r="C77" s="436"/>
      <c r="D77" s="436"/>
      <c r="E77" s="436"/>
      <c r="F77" s="513"/>
      <c r="G77" s="513"/>
      <c r="H77" s="513"/>
      <c r="I77" s="436"/>
      <c r="J77" s="524" t="s">
        <v>172</v>
      </c>
    </row>
    <row r="78" spans="1:13" x14ac:dyDescent="0.2">
      <c r="A78" s="436"/>
      <c r="B78" s="436"/>
      <c r="C78" s="436"/>
      <c r="D78" s="436"/>
      <c r="E78" s="436"/>
      <c r="F78" s="436"/>
      <c r="G78" s="513"/>
      <c r="H78" s="513"/>
      <c r="I78" s="436"/>
      <c r="J78" s="527" t="s">
        <v>293</v>
      </c>
    </row>
    <row r="79" spans="1:13" x14ac:dyDescent="0.2">
      <c r="A79" s="436"/>
      <c r="B79" s="436"/>
      <c r="C79" s="436"/>
      <c r="D79" s="436"/>
      <c r="E79" s="436"/>
      <c r="F79" s="436"/>
      <c r="G79" s="436"/>
      <c r="H79" s="436"/>
      <c r="I79" s="513"/>
      <c r="J79" s="513"/>
      <c r="K79" s="436"/>
      <c r="L79" s="527"/>
      <c r="M79" s="436"/>
    </row>
    <row r="80" spans="1:13" x14ac:dyDescent="0.2">
      <c r="A80" s="641" t="s">
        <v>415</v>
      </c>
      <c r="B80" s="436"/>
      <c r="C80" s="436"/>
      <c r="D80" s="436"/>
      <c r="E80" s="436"/>
      <c r="F80" s="436"/>
      <c r="G80" s="436"/>
      <c r="H80" s="436"/>
      <c r="I80" s="513"/>
      <c r="J80" s="513"/>
      <c r="K80" s="436"/>
      <c r="L80" s="527"/>
      <c r="M80" s="436"/>
    </row>
    <row r="81" spans="1:13" x14ac:dyDescent="0.2">
      <c r="A81" s="641"/>
      <c r="B81" s="436"/>
      <c r="C81" s="436"/>
      <c r="D81" s="436"/>
      <c r="E81" s="436"/>
      <c r="F81" s="436"/>
      <c r="G81" s="436"/>
      <c r="H81" s="436"/>
      <c r="I81" s="513"/>
      <c r="J81" s="513"/>
      <c r="K81" s="436"/>
      <c r="L81" s="527"/>
      <c r="M81" s="436"/>
    </row>
    <row r="82" spans="1:13" x14ac:dyDescent="0.2">
      <c r="A82" s="436"/>
      <c r="B82" s="436"/>
      <c r="C82" s="436"/>
      <c r="D82" s="436"/>
      <c r="E82" s="642" t="s">
        <v>155</v>
      </c>
      <c r="F82" s="514"/>
      <c r="G82" s="514">
        <v>13</v>
      </c>
      <c r="H82" s="514"/>
      <c r="I82" s="514"/>
      <c r="J82" s="436"/>
      <c r="K82" s="436"/>
    </row>
    <row r="83" spans="1:13" x14ac:dyDescent="0.2">
      <c r="A83" s="436"/>
      <c r="B83" s="436"/>
      <c r="C83" s="436"/>
      <c r="D83" s="436"/>
      <c r="E83" s="643"/>
      <c r="F83" s="644"/>
      <c r="G83" s="658" t="s">
        <v>155</v>
      </c>
      <c r="H83" s="514"/>
      <c r="I83" s="514">
        <v>13</v>
      </c>
      <c r="J83" s="436"/>
      <c r="K83" s="436"/>
    </row>
    <row r="84" spans="1:13" x14ac:dyDescent="0.2">
      <c r="A84" s="436"/>
      <c r="B84" s="436"/>
      <c r="C84" s="436"/>
      <c r="D84" s="436"/>
      <c r="E84" s="645" t="s">
        <v>156</v>
      </c>
      <c r="F84" s="646"/>
      <c r="G84" s="514">
        <v>7</v>
      </c>
      <c r="H84" s="644"/>
      <c r="I84" s="514"/>
      <c r="J84" s="436"/>
    </row>
    <row r="85" spans="1:13" ht="13.5" thickBot="1" x14ac:dyDescent="0.25">
      <c r="A85" s="436"/>
      <c r="B85" s="436"/>
      <c r="C85" s="436"/>
      <c r="D85" s="436"/>
      <c r="E85" s="514"/>
      <c r="F85" s="514"/>
      <c r="G85" s="525"/>
      <c r="H85" s="647"/>
      <c r="I85" s="514"/>
      <c r="J85" s="436" t="s">
        <v>155</v>
      </c>
    </row>
    <row r="86" spans="1:13" x14ac:dyDescent="0.2">
      <c r="A86" s="436"/>
      <c r="B86" s="436"/>
      <c r="C86" s="436"/>
      <c r="D86" s="436"/>
      <c r="E86" s="514" t="s">
        <v>168</v>
      </c>
      <c r="F86" s="514"/>
      <c r="G86" s="514">
        <v>13</v>
      </c>
      <c r="H86" s="647"/>
      <c r="I86" s="648"/>
      <c r="J86" s="523" t="s">
        <v>294</v>
      </c>
    </row>
    <row r="87" spans="1:13" x14ac:dyDescent="0.2">
      <c r="A87" s="436"/>
      <c r="B87" s="436"/>
      <c r="C87" s="436"/>
      <c r="D87" s="436"/>
      <c r="E87" s="643"/>
      <c r="F87" s="644"/>
      <c r="G87" s="514" t="s">
        <v>168</v>
      </c>
      <c r="H87" s="646"/>
      <c r="I87" s="525">
        <v>0</v>
      </c>
      <c r="J87" s="436"/>
    </row>
    <row r="88" spans="1:13" ht="13.5" thickBot="1" x14ac:dyDescent="0.25">
      <c r="A88" s="436"/>
      <c r="B88" s="436"/>
      <c r="C88" s="436"/>
      <c r="D88" s="436"/>
      <c r="E88" s="645" t="s">
        <v>175</v>
      </c>
      <c r="F88" s="646"/>
      <c r="G88" s="643">
        <v>5</v>
      </c>
      <c r="H88" s="514"/>
      <c r="I88" s="525"/>
      <c r="J88" s="513" t="s">
        <v>168</v>
      </c>
    </row>
    <row r="89" spans="1:13" x14ac:dyDescent="0.2">
      <c r="A89" s="436"/>
      <c r="B89" s="436"/>
      <c r="C89" s="436"/>
      <c r="D89" s="436"/>
      <c r="E89" s="514"/>
      <c r="F89" s="514"/>
      <c r="G89" s="514"/>
      <c r="H89" s="514"/>
      <c r="I89" s="525"/>
      <c r="J89" s="523" t="s">
        <v>295</v>
      </c>
    </row>
    <row r="90" spans="1:13" x14ac:dyDescent="0.2">
      <c r="A90" s="436"/>
      <c r="B90" s="436"/>
      <c r="C90" s="436"/>
      <c r="D90" s="436"/>
      <c r="E90" s="514"/>
      <c r="F90" s="525"/>
      <c r="G90" s="659" t="s">
        <v>156</v>
      </c>
      <c r="H90" s="514"/>
      <c r="I90" s="525">
        <v>11</v>
      </c>
      <c r="J90" s="513"/>
    </row>
    <row r="91" spans="1:13" ht="13.5" thickBot="1" x14ac:dyDescent="0.25">
      <c r="A91" s="436"/>
      <c r="B91" s="436"/>
      <c r="C91" s="436"/>
      <c r="D91" s="436"/>
      <c r="E91" s="514"/>
      <c r="F91" s="525"/>
      <c r="G91" s="643"/>
      <c r="H91" s="644"/>
      <c r="I91" s="649"/>
      <c r="J91" s="524" t="s">
        <v>175</v>
      </c>
    </row>
    <row r="92" spans="1:13" x14ac:dyDescent="0.2">
      <c r="A92" s="436"/>
      <c r="B92" s="436"/>
      <c r="C92" s="436"/>
      <c r="D92" s="436"/>
      <c r="E92" s="514"/>
      <c r="F92" s="525"/>
      <c r="G92" s="645" t="s">
        <v>175</v>
      </c>
      <c r="H92" s="646"/>
      <c r="I92" s="514">
        <v>13</v>
      </c>
      <c r="J92" s="526" t="s">
        <v>296</v>
      </c>
    </row>
    <row r="93" spans="1:13" x14ac:dyDescent="0.2">
      <c r="A93" s="436"/>
      <c r="B93" s="436"/>
      <c r="C93" s="436"/>
      <c r="D93" s="436"/>
      <c r="E93" s="436"/>
      <c r="F93" s="513"/>
      <c r="G93" s="436"/>
      <c r="H93" s="436"/>
      <c r="I93" s="436"/>
      <c r="J93" s="513"/>
    </row>
    <row r="94" spans="1:13" ht="13.5" thickBot="1" x14ac:dyDescent="0.25">
      <c r="A94" s="436"/>
      <c r="B94" s="436"/>
      <c r="C94" s="436"/>
      <c r="D94" s="436"/>
      <c r="E94" s="527"/>
      <c r="F94" s="436"/>
      <c r="G94" s="513"/>
      <c r="H94" s="513"/>
      <c r="I94" s="436"/>
      <c r="J94" s="524" t="s">
        <v>156</v>
      </c>
    </row>
    <row r="95" spans="1:13" x14ac:dyDescent="0.2">
      <c r="A95" s="436"/>
      <c r="B95" s="436"/>
      <c r="C95" s="436"/>
      <c r="D95" s="436"/>
      <c r="E95" s="527"/>
      <c r="F95" s="436"/>
      <c r="G95" s="513"/>
      <c r="H95" s="513"/>
      <c r="I95" s="436"/>
      <c r="J95" s="526" t="s">
        <v>297</v>
      </c>
    </row>
    <row r="96" spans="1:13" x14ac:dyDescent="0.2">
      <c r="A96" s="436"/>
      <c r="B96" s="436"/>
      <c r="C96" s="436"/>
      <c r="D96" s="436"/>
      <c r="E96" s="436"/>
      <c r="F96" s="436"/>
      <c r="G96" s="513"/>
      <c r="H96" s="513"/>
      <c r="I96" s="436"/>
      <c r="J96" s="527"/>
    </row>
    <row r="97" spans="1:10" x14ac:dyDescent="0.2">
      <c r="A97" s="641" t="s">
        <v>329</v>
      </c>
      <c r="B97" s="436"/>
      <c r="C97" s="436"/>
      <c r="D97" s="436"/>
      <c r="E97" s="436"/>
      <c r="F97" s="436"/>
      <c r="G97" s="513"/>
      <c r="H97" s="513"/>
      <c r="I97" s="436"/>
      <c r="J97" s="527"/>
    </row>
    <row r="98" spans="1:10" x14ac:dyDescent="0.2">
      <c r="A98" s="641"/>
      <c r="B98" s="436"/>
      <c r="C98" s="436"/>
      <c r="D98" s="436"/>
      <c r="E98" s="436"/>
      <c r="F98" s="436"/>
      <c r="G98" s="513"/>
      <c r="H98" s="513"/>
      <c r="I98" s="436"/>
      <c r="J98" s="527"/>
    </row>
    <row r="99" spans="1:10" x14ac:dyDescent="0.2">
      <c r="A99" s="436"/>
      <c r="B99" s="436"/>
      <c r="C99" s="436"/>
      <c r="D99" s="436"/>
      <c r="E99" s="642" t="s">
        <v>157</v>
      </c>
      <c r="F99" s="514"/>
      <c r="G99" s="514">
        <v>5</v>
      </c>
      <c r="H99" s="514"/>
      <c r="I99" s="514"/>
      <c r="J99" s="436"/>
    </row>
    <row r="100" spans="1:10" x14ac:dyDescent="0.2">
      <c r="A100" s="436"/>
      <c r="B100" s="436"/>
      <c r="C100" s="436"/>
      <c r="D100" s="436"/>
      <c r="E100" s="643"/>
      <c r="F100" s="644"/>
      <c r="G100" s="645" t="s">
        <v>182</v>
      </c>
      <c r="H100" s="514"/>
      <c r="I100" s="514">
        <v>13</v>
      </c>
      <c r="J100" s="436"/>
    </row>
    <row r="101" spans="1:10" x14ac:dyDescent="0.2">
      <c r="A101" s="436"/>
      <c r="B101" s="436"/>
      <c r="C101" s="436"/>
      <c r="D101" s="436"/>
      <c r="E101" s="645" t="s">
        <v>182</v>
      </c>
      <c r="F101" s="646"/>
      <c r="G101" s="514">
        <v>13</v>
      </c>
      <c r="H101" s="644"/>
      <c r="I101" s="514"/>
      <c r="J101" s="436"/>
    </row>
    <row r="102" spans="1:10" ht="13.5" thickBot="1" x14ac:dyDescent="0.25">
      <c r="A102" s="436"/>
      <c r="B102" s="436"/>
      <c r="C102" s="436"/>
      <c r="D102" s="436"/>
      <c r="E102" s="514"/>
      <c r="F102" s="514"/>
      <c r="G102" s="525"/>
      <c r="H102" s="647"/>
      <c r="I102" s="514"/>
      <c r="J102" s="436" t="s">
        <v>182</v>
      </c>
    </row>
    <row r="103" spans="1:10" x14ac:dyDescent="0.2">
      <c r="A103" s="436"/>
      <c r="B103" s="436"/>
      <c r="C103" s="436"/>
      <c r="D103" s="436"/>
      <c r="E103" s="514" t="s">
        <v>159</v>
      </c>
      <c r="F103" s="514"/>
      <c r="G103" s="514">
        <v>13</v>
      </c>
      <c r="H103" s="647"/>
      <c r="I103" s="648"/>
      <c r="J103" s="523" t="s">
        <v>303</v>
      </c>
    </row>
    <row r="104" spans="1:10" x14ac:dyDescent="0.2">
      <c r="A104" s="436"/>
      <c r="B104" s="436"/>
      <c r="C104" s="436"/>
      <c r="D104" s="436"/>
      <c r="E104" s="643"/>
      <c r="F104" s="644"/>
      <c r="G104" s="514" t="s">
        <v>159</v>
      </c>
      <c r="H104" s="646"/>
      <c r="I104" s="525">
        <v>9</v>
      </c>
      <c r="J104" s="436"/>
    </row>
    <row r="105" spans="1:10" ht="13.5" thickBot="1" x14ac:dyDescent="0.25">
      <c r="A105" s="436"/>
      <c r="B105" s="436"/>
      <c r="C105" s="436"/>
      <c r="D105" s="436"/>
      <c r="E105" s="645" t="s">
        <v>160</v>
      </c>
      <c r="F105" s="646"/>
      <c r="G105" s="661">
        <v>9</v>
      </c>
      <c r="H105" s="514"/>
      <c r="I105" s="525"/>
      <c r="J105" s="513" t="s">
        <v>159</v>
      </c>
    </row>
    <row r="106" spans="1:10" x14ac:dyDescent="0.2">
      <c r="A106" s="436"/>
      <c r="B106" s="436"/>
      <c r="C106" s="436"/>
      <c r="D106" s="436"/>
      <c r="E106" s="514"/>
      <c r="F106" s="514"/>
      <c r="G106" s="514"/>
      <c r="H106" s="514"/>
      <c r="I106" s="525"/>
      <c r="J106" s="523" t="s">
        <v>304</v>
      </c>
    </row>
    <row r="107" spans="1:10" x14ac:dyDescent="0.2">
      <c r="A107" s="436"/>
      <c r="B107" s="436"/>
      <c r="C107" s="436"/>
      <c r="D107" s="436"/>
      <c r="E107" s="514"/>
      <c r="F107" s="525"/>
      <c r="G107" s="514" t="s">
        <v>157</v>
      </c>
      <c r="H107" s="514"/>
      <c r="I107" s="525">
        <v>0</v>
      </c>
      <c r="J107" s="513"/>
    </row>
    <row r="108" spans="1:10" ht="13.5" thickBot="1" x14ac:dyDescent="0.25">
      <c r="A108" s="436"/>
      <c r="B108" s="436"/>
      <c r="C108" s="436"/>
      <c r="D108" s="436"/>
      <c r="E108" s="514"/>
      <c r="F108" s="525"/>
      <c r="G108" s="643"/>
      <c r="H108" s="644"/>
      <c r="I108" s="649"/>
      <c r="J108" s="524" t="s">
        <v>160</v>
      </c>
    </row>
    <row r="109" spans="1:10" x14ac:dyDescent="0.2">
      <c r="A109" s="436"/>
      <c r="B109" s="436"/>
      <c r="C109" s="436"/>
      <c r="D109" s="436"/>
      <c r="E109" s="514"/>
      <c r="F109" s="525"/>
      <c r="G109" s="645" t="s">
        <v>160</v>
      </c>
      <c r="H109" s="646"/>
      <c r="I109" s="659">
        <v>13</v>
      </c>
      <c r="J109" s="526" t="s">
        <v>307</v>
      </c>
    </row>
    <row r="110" spans="1:10" x14ac:dyDescent="0.2">
      <c r="A110" s="436"/>
      <c r="B110" s="436"/>
      <c r="C110" s="436"/>
      <c r="D110" s="436"/>
      <c r="E110" s="436"/>
      <c r="F110" s="513"/>
      <c r="G110" s="436"/>
      <c r="H110" s="436"/>
      <c r="I110" s="436"/>
      <c r="J110" s="513"/>
    </row>
    <row r="111" spans="1:10" ht="13.5" thickBot="1" x14ac:dyDescent="0.25">
      <c r="A111" s="436"/>
      <c r="B111" s="436"/>
      <c r="C111" s="436"/>
      <c r="D111" s="436"/>
      <c r="E111" s="527"/>
      <c r="F111" s="436"/>
      <c r="G111" s="513"/>
      <c r="H111" s="513"/>
      <c r="I111" s="436"/>
      <c r="J111" s="524" t="s">
        <v>157</v>
      </c>
    </row>
    <row r="112" spans="1:10" x14ac:dyDescent="0.2">
      <c r="A112" s="436"/>
      <c r="B112" s="436"/>
      <c r="C112" s="436"/>
      <c r="D112" s="436"/>
      <c r="E112" s="527"/>
      <c r="F112" s="436"/>
      <c r="G112" s="513"/>
      <c r="H112" s="513"/>
      <c r="I112" s="436"/>
      <c r="J112" s="526" t="s">
        <v>308</v>
      </c>
    </row>
    <row r="113" spans="1:13" x14ac:dyDescent="0.2">
      <c r="A113" s="436"/>
      <c r="B113" s="436"/>
      <c r="C113" s="436"/>
      <c r="D113" s="436"/>
      <c r="E113" s="436"/>
      <c r="F113" s="527"/>
      <c r="G113" s="436"/>
      <c r="H113" s="436"/>
      <c r="I113" s="513"/>
      <c r="J113" s="513"/>
      <c r="M113" s="436"/>
    </row>
    <row r="114" spans="1:13" x14ac:dyDescent="0.2">
      <c r="A114" s="650" t="s">
        <v>602</v>
      </c>
      <c r="B114" s="436"/>
      <c r="C114" s="436"/>
      <c r="D114" s="436"/>
      <c r="E114" s="436"/>
      <c r="F114" s="436"/>
      <c r="G114" s="436"/>
      <c r="H114" s="436"/>
      <c r="I114" s="436"/>
      <c r="J114" s="436"/>
      <c r="M114" s="436"/>
    </row>
    <row r="115" spans="1:13" x14ac:dyDescent="0.2">
      <c r="A115" s="651"/>
      <c r="B115" s="436"/>
      <c r="C115" s="436"/>
      <c r="D115" s="436"/>
      <c r="E115" s="436"/>
      <c r="F115" s="436"/>
      <c r="G115" s="436"/>
      <c r="H115" s="436"/>
      <c r="I115" s="436"/>
      <c r="J115" s="436"/>
      <c r="M115" s="436"/>
    </row>
    <row r="116" spans="1:13" x14ac:dyDescent="0.2">
      <c r="A116" s="436"/>
      <c r="B116" s="656"/>
      <c r="C116" s="533" t="s">
        <v>306</v>
      </c>
      <c r="D116" s="436"/>
      <c r="E116" s="514">
        <v>0</v>
      </c>
      <c r="F116" s="436"/>
      <c r="G116" s="436"/>
      <c r="H116" s="436"/>
      <c r="I116" s="436"/>
      <c r="J116" s="436"/>
      <c r="K116" s="436"/>
    </row>
    <row r="117" spans="1:13" x14ac:dyDescent="0.2">
      <c r="A117" s="436"/>
      <c r="B117" s="656"/>
      <c r="C117" s="515"/>
      <c r="D117" s="516"/>
      <c r="E117" s="517" t="s">
        <v>183</v>
      </c>
      <c r="F117" s="436"/>
      <c r="G117" s="514">
        <v>5</v>
      </c>
      <c r="H117" s="436"/>
      <c r="I117" s="436"/>
      <c r="J117" s="436"/>
      <c r="K117" s="436"/>
    </row>
    <row r="118" spans="1:13" x14ac:dyDescent="0.2">
      <c r="A118" s="436"/>
      <c r="B118" s="656" t="s">
        <v>301</v>
      </c>
      <c r="C118" s="533" t="s">
        <v>183</v>
      </c>
      <c r="D118" s="519"/>
      <c r="E118" s="643">
        <v>13</v>
      </c>
      <c r="F118" s="516"/>
      <c r="G118" s="436"/>
      <c r="H118" s="436"/>
      <c r="I118" s="436"/>
      <c r="J118" s="436"/>
      <c r="K118" s="436"/>
    </row>
    <row r="119" spans="1:13" x14ac:dyDescent="0.2">
      <c r="A119" s="436"/>
      <c r="B119" s="656"/>
      <c r="C119" s="436"/>
      <c r="D119" s="436"/>
      <c r="E119" s="513"/>
      <c r="F119" s="521"/>
      <c r="G119" s="517" t="s">
        <v>162</v>
      </c>
      <c r="H119" s="436"/>
      <c r="I119" s="514">
        <v>13</v>
      </c>
      <c r="J119" s="436"/>
      <c r="K119" s="436"/>
    </row>
    <row r="120" spans="1:13" x14ac:dyDescent="0.2">
      <c r="A120" s="436"/>
      <c r="B120" s="656" t="s">
        <v>302</v>
      </c>
      <c r="C120" s="533" t="s">
        <v>179</v>
      </c>
      <c r="D120" s="436"/>
      <c r="E120" s="525">
        <v>5</v>
      </c>
      <c r="F120" s="521"/>
      <c r="G120" s="640"/>
      <c r="H120" s="516"/>
      <c r="I120" s="436"/>
      <c r="J120" s="436"/>
      <c r="K120" s="436"/>
    </row>
    <row r="121" spans="1:13" x14ac:dyDescent="0.2">
      <c r="A121" s="436"/>
      <c r="B121" s="656"/>
      <c r="C121" s="436"/>
      <c r="D121" s="516"/>
      <c r="E121" s="518" t="s">
        <v>162</v>
      </c>
      <c r="F121" s="519"/>
      <c r="G121" s="525">
        <v>13</v>
      </c>
      <c r="H121" s="521"/>
      <c r="I121" s="436"/>
      <c r="J121" s="436"/>
      <c r="K121" s="436"/>
    </row>
    <row r="122" spans="1:13" x14ac:dyDescent="0.2">
      <c r="A122" s="436"/>
      <c r="B122" s="656" t="s">
        <v>423</v>
      </c>
      <c r="C122" s="513" t="s">
        <v>162</v>
      </c>
      <c r="D122" s="519"/>
      <c r="E122" s="525">
        <v>13</v>
      </c>
      <c r="F122" s="436"/>
      <c r="G122" s="513"/>
      <c r="H122" s="521"/>
      <c r="I122" s="436"/>
      <c r="J122" s="436"/>
      <c r="K122" s="436"/>
    </row>
    <row r="123" spans="1:13" ht="13.5" thickBot="1" x14ac:dyDescent="0.25">
      <c r="A123" s="436"/>
      <c r="B123" s="656"/>
      <c r="C123" s="643"/>
      <c r="D123" s="436"/>
      <c r="E123" s="513"/>
      <c r="F123" s="513"/>
      <c r="G123" s="513"/>
      <c r="H123" s="521"/>
      <c r="I123" s="436"/>
      <c r="J123" s="436" t="s">
        <v>162</v>
      </c>
    </row>
    <row r="124" spans="1:13" x14ac:dyDescent="0.2">
      <c r="A124" s="436"/>
      <c r="B124" s="656" t="s">
        <v>305</v>
      </c>
      <c r="C124" s="513" t="s">
        <v>173</v>
      </c>
      <c r="D124" s="436"/>
      <c r="E124" s="514">
        <v>13</v>
      </c>
      <c r="F124" s="436"/>
      <c r="G124" s="436"/>
      <c r="H124" s="521"/>
      <c r="I124" s="522"/>
      <c r="J124" s="523" t="s">
        <v>309</v>
      </c>
    </row>
    <row r="125" spans="1:13" x14ac:dyDescent="0.2">
      <c r="A125" s="436"/>
      <c r="B125" s="656"/>
      <c r="C125" s="515"/>
      <c r="D125" s="516"/>
      <c r="E125" s="517" t="s">
        <v>173</v>
      </c>
      <c r="F125" s="436"/>
      <c r="G125" s="514">
        <v>6</v>
      </c>
      <c r="H125" s="521"/>
      <c r="I125" s="436"/>
      <c r="J125" s="436"/>
    </row>
    <row r="126" spans="1:13" ht="13.5" thickBot="1" x14ac:dyDescent="0.25">
      <c r="A126" s="436"/>
      <c r="B126" s="656" t="s">
        <v>422</v>
      </c>
      <c r="C126" s="518" t="s">
        <v>332</v>
      </c>
      <c r="D126" s="519"/>
      <c r="E126" s="643">
        <v>10</v>
      </c>
      <c r="F126" s="516"/>
      <c r="G126" s="436"/>
      <c r="H126" s="521"/>
      <c r="I126" s="436"/>
      <c r="J126" s="513" t="s">
        <v>169</v>
      </c>
    </row>
    <row r="127" spans="1:13" x14ac:dyDescent="0.2">
      <c r="A127" s="436"/>
      <c r="B127" s="656"/>
      <c r="C127" s="436"/>
      <c r="D127" s="436"/>
      <c r="E127" s="513"/>
      <c r="F127" s="521"/>
      <c r="G127" s="517" t="s">
        <v>169</v>
      </c>
      <c r="H127" s="519"/>
      <c r="I127" s="514">
        <v>3</v>
      </c>
      <c r="J127" s="523" t="s">
        <v>310</v>
      </c>
    </row>
    <row r="128" spans="1:13" x14ac:dyDescent="0.2">
      <c r="A128" s="436"/>
      <c r="B128" s="656" t="s">
        <v>299</v>
      </c>
      <c r="C128" s="518" t="s">
        <v>169</v>
      </c>
      <c r="D128" s="436"/>
      <c r="E128" s="525">
        <v>13</v>
      </c>
      <c r="F128" s="521"/>
      <c r="G128" s="640"/>
      <c r="H128" s="515"/>
      <c r="I128" s="436"/>
      <c r="J128" s="436"/>
    </row>
    <row r="129" spans="1:11" x14ac:dyDescent="0.2">
      <c r="A129" s="436"/>
      <c r="B129" s="656"/>
      <c r="C129" s="436"/>
      <c r="D129" s="516"/>
      <c r="E129" s="518" t="s">
        <v>169</v>
      </c>
      <c r="F129" s="519"/>
      <c r="G129" s="525">
        <v>13</v>
      </c>
      <c r="H129" s="513"/>
      <c r="I129" s="436"/>
      <c r="J129" s="436"/>
    </row>
    <row r="130" spans="1:11" x14ac:dyDescent="0.2">
      <c r="A130" s="436"/>
      <c r="B130" s="656" t="s">
        <v>300</v>
      </c>
      <c r="C130" s="592" t="s">
        <v>387</v>
      </c>
      <c r="D130" s="519"/>
      <c r="E130" s="525">
        <v>3</v>
      </c>
      <c r="F130" s="436"/>
      <c r="G130" s="513"/>
      <c r="H130" s="513"/>
      <c r="I130" s="436"/>
      <c r="J130" s="436"/>
    </row>
    <row r="131" spans="1:11" x14ac:dyDescent="0.2">
      <c r="A131" s="436"/>
      <c r="B131" s="513"/>
      <c r="C131" s="643"/>
      <c r="D131" s="436"/>
      <c r="E131" s="513"/>
      <c r="F131" s="513"/>
      <c r="G131" s="436" t="s">
        <v>183</v>
      </c>
      <c r="H131" s="436"/>
      <c r="I131" s="525">
        <v>10</v>
      </c>
      <c r="J131" s="436"/>
    </row>
    <row r="132" spans="1:11" ht="13.5" thickBot="1" x14ac:dyDescent="0.25">
      <c r="A132" s="436"/>
      <c r="B132" s="513"/>
      <c r="C132" s="436"/>
      <c r="D132" s="436"/>
      <c r="E132" s="513"/>
      <c r="F132" s="513"/>
      <c r="G132" s="515"/>
      <c r="H132" s="516"/>
      <c r="I132" s="524"/>
      <c r="J132" s="534" t="s">
        <v>173</v>
      </c>
    </row>
    <row r="133" spans="1:11" x14ac:dyDescent="0.2">
      <c r="A133" s="436"/>
      <c r="B133" s="513"/>
      <c r="C133" s="514"/>
      <c r="D133" s="436"/>
      <c r="E133" s="513"/>
      <c r="F133" s="513"/>
      <c r="G133" s="518" t="s">
        <v>173</v>
      </c>
      <c r="H133" s="519"/>
      <c r="I133" s="514">
        <v>13</v>
      </c>
      <c r="J133" s="526" t="s">
        <v>311</v>
      </c>
    </row>
    <row r="134" spans="1:11" x14ac:dyDescent="0.2">
      <c r="A134" s="223">
        <v>1</v>
      </c>
      <c r="B134" s="224" t="s">
        <v>166</v>
      </c>
      <c r="C134" s="513"/>
      <c r="D134" s="513"/>
      <c r="E134" s="525"/>
      <c r="F134" s="513"/>
      <c r="G134" s="436"/>
      <c r="H134" s="436"/>
      <c r="I134" s="436"/>
      <c r="J134" s="513"/>
    </row>
    <row r="135" spans="1:11" ht="13.5" thickBot="1" x14ac:dyDescent="0.25">
      <c r="A135" s="223">
        <v>2</v>
      </c>
      <c r="B135" s="227" t="s">
        <v>161</v>
      </c>
      <c r="C135" s="525"/>
      <c r="D135" s="513"/>
      <c r="E135" s="513"/>
      <c r="F135" s="513"/>
      <c r="G135" s="513"/>
      <c r="H135" s="513"/>
      <c r="I135" s="436"/>
      <c r="J135" s="524" t="s">
        <v>183</v>
      </c>
    </row>
    <row r="136" spans="1:11" x14ac:dyDescent="0.2">
      <c r="A136" s="223">
        <v>3</v>
      </c>
      <c r="B136" s="229" t="s">
        <v>164</v>
      </c>
      <c r="C136" s="513"/>
      <c r="D136" s="513"/>
      <c r="E136" s="513"/>
      <c r="F136" s="513"/>
      <c r="G136" s="513"/>
      <c r="H136" s="513"/>
      <c r="I136" s="436"/>
      <c r="J136" s="527" t="s">
        <v>312</v>
      </c>
    </row>
    <row r="137" spans="1:11" x14ac:dyDescent="0.2">
      <c r="A137" s="223">
        <v>4</v>
      </c>
      <c r="B137" s="231" t="s">
        <v>172</v>
      </c>
      <c r="E137" s="657" t="s">
        <v>306</v>
      </c>
      <c r="F137" s="514"/>
      <c r="G137" s="514">
        <v>0</v>
      </c>
      <c r="H137" s="514"/>
      <c r="I137" s="514"/>
      <c r="J137" s="436"/>
    </row>
    <row r="138" spans="1:11" x14ac:dyDescent="0.2">
      <c r="A138" s="223">
        <v>5</v>
      </c>
      <c r="B138" s="231" t="s">
        <v>155</v>
      </c>
      <c r="E138" s="643"/>
      <c r="F138" s="644"/>
      <c r="G138" s="645" t="s">
        <v>179</v>
      </c>
      <c r="H138" s="514"/>
      <c r="I138" s="659">
        <v>12</v>
      </c>
      <c r="J138" s="436"/>
      <c r="K138" s="436"/>
    </row>
    <row r="139" spans="1:11" x14ac:dyDescent="0.2">
      <c r="A139" s="223">
        <v>6</v>
      </c>
      <c r="B139" s="231" t="s">
        <v>168</v>
      </c>
      <c r="E139" s="645" t="s">
        <v>179</v>
      </c>
      <c r="F139" s="646"/>
      <c r="G139" s="514">
        <v>13</v>
      </c>
      <c r="H139" s="644"/>
      <c r="I139" s="514"/>
      <c r="J139" s="436"/>
      <c r="K139" s="436"/>
    </row>
    <row r="140" spans="1:11" ht="13.5" thickBot="1" x14ac:dyDescent="0.25">
      <c r="A140" s="223">
        <v>7</v>
      </c>
      <c r="B140" s="231" t="s">
        <v>175</v>
      </c>
      <c r="E140" s="514"/>
      <c r="F140" s="514"/>
      <c r="G140" s="525"/>
      <c r="H140" s="647"/>
      <c r="I140" s="514"/>
      <c r="J140" s="436" t="s">
        <v>332</v>
      </c>
    </row>
    <row r="141" spans="1:11" x14ac:dyDescent="0.2">
      <c r="A141" s="223">
        <v>8</v>
      </c>
      <c r="B141" s="231" t="s">
        <v>156</v>
      </c>
      <c r="E141" s="514" t="s">
        <v>332</v>
      </c>
      <c r="F141" s="514"/>
      <c r="G141" s="514">
        <v>13</v>
      </c>
      <c r="H141" s="647"/>
      <c r="I141" s="648"/>
      <c r="J141" s="523" t="s">
        <v>420</v>
      </c>
    </row>
    <row r="142" spans="1:11" x14ac:dyDescent="0.2">
      <c r="A142" s="223">
        <v>9</v>
      </c>
      <c r="B142" s="231" t="s">
        <v>182</v>
      </c>
      <c r="E142" s="643"/>
      <c r="F142" s="644"/>
      <c r="G142" s="514" t="s">
        <v>332</v>
      </c>
      <c r="H142" s="646"/>
      <c r="I142" s="525">
        <v>13</v>
      </c>
      <c r="J142" s="436"/>
    </row>
    <row r="143" spans="1:11" ht="13.5" thickBot="1" x14ac:dyDescent="0.25">
      <c r="A143" s="223">
        <v>10</v>
      </c>
      <c r="B143" s="231" t="s">
        <v>159</v>
      </c>
      <c r="E143" s="658" t="s">
        <v>387</v>
      </c>
      <c r="F143" s="646"/>
      <c r="G143" s="643">
        <v>9</v>
      </c>
      <c r="H143" s="514"/>
      <c r="I143" s="525"/>
      <c r="J143" s="592" t="s">
        <v>179</v>
      </c>
    </row>
    <row r="144" spans="1:11" x14ac:dyDescent="0.2">
      <c r="A144" s="223">
        <v>11</v>
      </c>
      <c r="B144" s="231" t="s">
        <v>160</v>
      </c>
      <c r="E144" s="514"/>
      <c r="F144" s="514"/>
      <c r="G144" s="514"/>
      <c r="H144" s="514"/>
      <c r="I144" s="525"/>
      <c r="J144" s="523" t="s">
        <v>421</v>
      </c>
    </row>
    <row r="145" spans="1:10" x14ac:dyDescent="0.2">
      <c r="A145" s="223">
        <v>12</v>
      </c>
      <c r="B145" s="231" t="s">
        <v>157</v>
      </c>
      <c r="E145" s="514"/>
      <c r="F145" s="525"/>
      <c r="G145" s="659" t="s">
        <v>306</v>
      </c>
      <c r="H145" s="514"/>
      <c r="I145" s="525"/>
      <c r="J145" s="513"/>
    </row>
    <row r="146" spans="1:10" ht="13.5" thickBot="1" x14ac:dyDescent="0.25">
      <c r="A146" s="223">
        <v>13</v>
      </c>
      <c r="B146" s="231" t="s">
        <v>162</v>
      </c>
      <c r="E146" s="514"/>
      <c r="F146" s="525"/>
      <c r="G146" s="643"/>
      <c r="H146" s="644"/>
      <c r="I146" s="649"/>
      <c r="J146" s="524" t="s">
        <v>387</v>
      </c>
    </row>
    <row r="147" spans="1:10" x14ac:dyDescent="0.2">
      <c r="A147" s="223">
        <v>14</v>
      </c>
      <c r="B147" s="231" t="s">
        <v>169</v>
      </c>
      <c r="E147" s="514"/>
      <c r="F147" s="525"/>
      <c r="G147" s="645" t="s">
        <v>387</v>
      </c>
      <c r="H147" s="646"/>
      <c r="I147" s="514"/>
      <c r="J147" s="523" t="s">
        <v>603</v>
      </c>
    </row>
    <row r="148" spans="1:10" x14ac:dyDescent="0.2">
      <c r="A148" s="223">
        <v>15</v>
      </c>
      <c r="B148" s="231" t="s">
        <v>173</v>
      </c>
      <c r="E148" s="436"/>
      <c r="F148" s="513"/>
      <c r="G148" s="436"/>
      <c r="H148" s="436"/>
      <c r="I148" s="436"/>
      <c r="J148" s="513"/>
    </row>
    <row r="149" spans="1:10" ht="13.5" thickBot="1" x14ac:dyDescent="0.25">
      <c r="A149" s="223">
        <v>16</v>
      </c>
      <c r="B149" s="231" t="s">
        <v>183</v>
      </c>
      <c r="E149" s="527"/>
      <c r="F149" s="436"/>
      <c r="G149" s="513"/>
      <c r="H149" s="513"/>
      <c r="I149" s="436"/>
      <c r="J149" s="524"/>
    </row>
    <row r="150" spans="1:10" x14ac:dyDescent="0.2">
      <c r="A150" s="223">
        <v>17</v>
      </c>
      <c r="B150" s="231" t="s">
        <v>332</v>
      </c>
      <c r="E150" s="527"/>
      <c r="F150" s="436"/>
      <c r="G150" s="513"/>
      <c r="H150" s="513"/>
      <c r="I150" s="436"/>
      <c r="J150" s="526"/>
    </row>
    <row r="151" spans="1:10" x14ac:dyDescent="0.2">
      <c r="A151" s="223">
        <v>18</v>
      </c>
      <c r="B151" s="540" t="s">
        <v>179</v>
      </c>
    </row>
    <row r="152" spans="1:10" s="365" customFormat="1" x14ac:dyDescent="0.2">
      <c r="A152" s="223">
        <v>19</v>
      </c>
      <c r="B152" s="231" t="s">
        <v>387</v>
      </c>
      <c r="E152" s="2"/>
      <c r="F152" s="2"/>
      <c r="G152" s="2"/>
      <c r="H152" s="2"/>
      <c r="I152" s="2"/>
      <c r="J152" s="2"/>
    </row>
  </sheetData>
  <sortState ref="J6:J23">
    <sortCondition ref="J6"/>
  </sortState>
  <conditionalFormatting sqref="C7:F9 D10 F10 K23:N40 C40:F40">
    <cfRule type="cellIs" dxfId="683" priority="52" operator="equal">
      <formula>13</formula>
    </cfRule>
  </conditionalFormatting>
  <conditionalFormatting sqref="G7:G10">
    <cfRule type="duplicateValues" dxfId="682" priority="50"/>
    <cfRule type="cellIs" dxfId="681" priority="51" operator="equal">
      <formula>13</formula>
    </cfRule>
  </conditionalFormatting>
  <conditionalFormatting sqref="C7:F9 D10 F10 K23:N40 C40:F40">
    <cfRule type="cellIs" dxfId="680" priority="49" operator="greaterThan">
      <formula>13</formula>
    </cfRule>
  </conditionalFormatting>
  <conditionalFormatting sqref="B7 B9:B10">
    <cfRule type="duplicateValues" dxfId="679" priority="48"/>
  </conditionalFormatting>
  <conditionalFormatting sqref="C10">
    <cfRule type="cellIs" dxfId="678" priority="47" operator="equal">
      <formula>13</formula>
    </cfRule>
  </conditionalFormatting>
  <conditionalFormatting sqref="C10">
    <cfRule type="cellIs" dxfId="677" priority="46" operator="greaterThan">
      <formula>13</formula>
    </cfRule>
  </conditionalFormatting>
  <conditionalFormatting sqref="E10">
    <cfRule type="cellIs" dxfId="676" priority="45" operator="equal">
      <formula>13</formula>
    </cfRule>
  </conditionalFormatting>
  <conditionalFormatting sqref="E10">
    <cfRule type="cellIs" dxfId="675" priority="44" operator="greaterThan">
      <formula>13</formula>
    </cfRule>
  </conditionalFormatting>
  <conditionalFormatting sqref="C13:F15 D16 F16">
    <cfRule type="cellIs" dxfId="674" priority="37" operator="greaterThan">
      <formula>13</formula>
    </cfRule>
  </conditionalFormatting>
  <conditionalFormatting sqref="C42:M43 I123:J124 J126:J127 C79:M81 M44 C44:K58 C59:J78 C82:K83 C84:J95 C113:J115 M113:M115 C116:E136 F123:H125 F129:J136 F126:I128 F116:K122 K138:K139 E137:J138">
    <cfRule type="cellIs" dxfId="673" priority="43" stopIfTrue="1" operator="equal">
      <formula>13</formula>
    </cfRule>
  </conditionalFormatting>
  <conditionalFormatting sqref="C96:J112">
    <cfRule type="cellIs" dxfId="672" priority="42" stopIfTrue="1" operator="equal">
      <formula>13</formula>
    </cfRule>
  </conditionalFormatting>
  <conditionalFormatting sqref="E139:J150">
    <cfRule type="cellIs" dxfId="671" priority="41" stopIfTrue="1" operator="equal">
      <formula>13</formula>
    </cfRule>
  </conditionalFormatting>
  <conditionalFormatting sqref="C13:F15 D16 F16">
    <cfRule type="cellIs" dxfId="670" priority="40" operator="equal">
      <formula>13</formula>
    </cfRule>
  </conditionalFormatting>
  <conditionalFormatting sqref="B13:B16">
    <cfRule type="duplicateValues" dxfId="669" priority="36"/>
  </conditionalFormatting>
  <conditionalFormatting sqref="C16">
    <cfRule type="cellIs" dxfId="668" priority="35" operator="equal">
      <formula>13</formula>
    </cfRule>
  </conditionalFormatting>
  <conditionalFormatting sqref="C16">
    <cfRule type="cellIs" dxfId="667" priority="34" operator="greaterThan">
      <formula>13</formula>
    </cfRule>
  </conditionalFormatting>
  <conditionalFormatting sqref="E16">
    <cfRule type="cellIs" dxfId="666" priority="33" operator="equal">
      <formula>13</formula>
    </cfRule>
  </conditionalFormatting>
  <conditionalFormatting sqref="E16">
    <cfRule type="cellIs" dxfId="665" priority="32" operator="greaterThan">
      <formula>13</formula>
    </cfRule>
  </conditionalFormatting>
  <conditionalFormatting sqref="C19:F21 D22:D23 F22:F23">
    <cfRule type="cellIs" dxfId="664" priority="31" operator="equal">
      <formula>13</formula>
    </cfRule>
  </conditionalFormatting>
  <conditionalFormatting sqref="C19:F21 D22:D23 F22:F23">
    <cfRule type="cellIs" dxfId="663" priority="30" operator="greaterThan">
      <formula>13</formula>
    </cfRule>
  </conditionalFormatting>
  <conditionalFormatting sqref="C22:C23">
    <cfRule type="cellIs" dxfId="662" priority="29" operator="equal">
      <formula>13</formula>
    </cfRule>
  </conditionalFormatting>
  <conditionalFormatting sqref="C22:C23">
    <cfRule type="cellIs" dxfId="661" priority="28" operator="greaterThan">
      <formula>13</formula>
    </cfRule>
  </conditionalFormatting>
  <conditionalFormatting sqref="E22:E23">
    <cfRule type="cellIs" dxfId="660" priority="27" operator="equal">
      <formula>13</formula>
    </cfRule>
  </conditionalFormatting>
  <conditionalFormatting sqref="E22:E23">
    <cfRule type="cellIs" dxfId="659" priority="26" operator="greaterThan">
      <formula>13</formula>
    </cfRule>
  </conditionalFormatting>
  <conditionalFormatting sqref="C25:F27 D28 F28">
    <cfRule type="cellIs" dxfId="658" priority="25" operator="equal">
      <formula>13</formula>
    </cfRule>
  </conditionalFormatting>
  <conditionalFormatting sqref="G25:G28">
    <cfRule type="duplicateValues" dxfId="657" priority="23"/>
    <cfRule type="cellIs" dxfId="656" priority="24" operator="equal">
      <formula>13</formula>
    </cfRule>
  </conditionalFormatting>
  <conditionalFormatting sqref="C25:F27 D28 F28">
    <cfRule type="cellIs" dxfId="655" priority="22" operator="greaterThan">
      <formula>13</formula>
    </cfRule>
  </conditionalFormatting>
  <conditionalFormatting sqref="B25:B28">
    <cfRule type="duplicateValues" dxfId="654" priority="21"/>
  </conditionalFormatting>
  <conditionalFormatting sqref="C28">
    <cfRule type="cellIs" dxfId="653" priority="20" operator="equal">
      <formula>13</formula>
    </cfRule>
  </conditionalFormatting>
  <conditionalFormatting sqref="C28">
    <cfRule type="cellIs" dxfId="652" priority="19" operator="greaterThan">
      <formula>13</formula>
    </cfRule>
  </conditionalFormatting>
  <conditionalFormatting sqref="E28">
    <cfRule type="cellIs" dxfId="651" priority="18" operator="equal">
      <formula>13</formula>
    </cfRule>
  </conditionalFormatting>
  <conditionalFormatting sqref="E28">
    <cfRule type="cellIs" dxfId="650" priority="17" operator="greaterThan">
      <formula>13</formula>
    </cfRule>
  </conditionalFormatting>
  <conditionalFormatting sqref="C31:F33 D34 F34">
    <cfRule type="cellIs" dxfId="649" priority="16" operator="equal">
      <formula>13</formula>
    </cfRule>
  </conditionalFormatting>
  <conditionalFormatting sqref="G31:G34">
    <cfRule type="duplicateValues" dxfId="648" priority="14"/>
    <cfRule type="cellIs" dxfId="647" priority="15" operator="equal">
      <formula>13</formula>
    </cfRule>
  </conditionalFormatting>
  <conditionalFormatting sqref="C31:F33 D34 F34">
    <cfRule type="cellIs" dxfId="646" priority="13" operator="greaterThan">
      <formula>13</formula>
    </cfRule>
  </conditionalFormatting>
  <conditionalFormatting sqref="B31:B34">
    <cfRule type="duplicateValues" dxfId="645" priority="12"/>
  </conditionalFormatting>
  <conditionalFormatting sqref="C34">
    <cfRule type="cellIs" dxfId="644" priority="11" operator="equal">
      <formula>13</formula>
    </cfRule>
  </conditionalFormatting>
  <conditionalFormatting sqref="C34">
    <cfRule type="cellIs" dxfId="643" priority="10" operator="greaterThan">
      <formula>13</formula>
    </cfRule>
  </conditionalFormatting>
  <conditionalFormatting sqref="E34">
    <cfRule type="cellIs" dxfId="642" priority="9" operator="equal">
      <formula>13</formula>
    </cfRule>
  </conditionalFormatting>
  <conditionalFormatting sqref="E34">
    <cfRule type="cellIs" dxfId="641" priority="8" operator="greaterThan">
      <formula>13</formula>
    </cfRule>
  </conditionalFormatting>
  <conditionalFormatting sqref="C37:F39">
    <cfRule type="cellIs" dxfId="640" priority="7" operator="equal">
      <formula>13</formula>
    </cfRule>
  </conditionalFormatting>
  <conditionalFormatting sqref="C37:F39">
    <cfRule type="cellIs" dxfId="639" priority="6" operator="greaterThan">
      <formula>13</formula>
    </cfRule>
  </conditionalFormatting>
  <conditionalFormatting sqref="B8">
    <cfRule type="duplicateValues" dxfId="638" priority="5" stopIfTrue="1"/>
  </conditionalFormatting>
  <conditionalFormatting sqref="B19:B23">
    <cfRule type="duplicateValues" dxfId="637" priority="55"/>
  </conditionalFormatting>
  <conditionalFormatting sqref="O23:O40 G37:G40">
    <cfRule type="duplicateValues" dxfId="636" priority="56"/>
    <cfRule type="cellIs" dxfId="635" priority="57" operator="equal">
      <formula>13</formula>
    </cfRule>
  </conditionalFormatting>
  <conditionalFormatting sqref="J23:J26 B37:B40">
    <cfRule type="duplicateValues" dxfId="634" priority="58"/>
  </conditionalFormatting>
  <conditionalFormatting sqref="G19:G22">
    <cfRule type="duplicateValues" dxfId="633" priority="53"/>
    <cfRule type="cellIs" dxfId="632" priority="54" operator="equal">
      <formula>13</formula>
    </cfRule>
  </conditionalFormatting>
  <conditionalFormatting sqref="G13:G16">
    <cfRule type="duplicateValues" dxfId="631" priority="1"/>
    <cfRule type="cellIs" dxfId="630" priority="2" operator="equal">
      <formula>13</formula>
    </cfRule>
  </conditionalFormatting>
  <pageMargins left="0.78740157480314965" right="0.39370078740157483" top="0.78740157480314965" bottom="0.39370078740157483" header="0.59055118110236227" footer="0"/>
  <pageSetup paperSize="9" fitToHeight="0" orientation="portrait" verticalDpi="1200" r:id="rId1"/>
  <headerFooter>
    <oddHeader>&amp;R&amp;"Arial,Regular"&amp;9Page &amp;P of &amp;N</oddHeader>
  </headerFooter>
  <rowBreaks count="2" manualBreakCount="2">
    <brk id="40" max="16383" man="1"/>
    <brk id="9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8"/>
  <sheetViews>
    <sheetView showGridLines="0" showRowColHeaders="0" zoomScaleNormal="100" workbookViewId="0">
      <pane ySplit="2" topLeftCell="A3" activePane="bottomLeft" state="frozen"/>
      <selection activeCell="I1" sqref="I1"/>
      <selection pane="bottomLeft" activeCell="I1" sqref="I1"/>
    </sheetView>
  </sheetViews>
  <sheetFormatPr defaultRowHeight="12.75" x14ac:dyDescent="0.2"/>
  <cols>
    <col min="1" max="1" width="3.28515625" style="2" customWidth="1"/>
    <col min="2" max="2" width="42.5703125" style="2" bestFit="1" customWidth="1"/>
    <col min="3" max="9" width="6.5703125" style="2" customWidth="1"/>
    <col min="10" max="13" width="9.140625" style="2"/>
    <col min="14" max="14" width="9.140625" style="2" customWidth="1"/>
    <col min="15" max="16384" width="9.140625" style="2"/>
  </cols>
  <sheetData>
    <row r="1" spans="1:10" x14ac:dyDescent="0.2">
      <c r="A1" s="1" t="str">
        <f>UPPER((Kalend!E37)&amp;" - "&amp;(Kalend!C37)&amp;" - "&amp;(Kalend!D37))</f>
        <v>10 - K-JÄRVE 16. MV - TRIO</v>
      </c>
      <c r="E1" s="113" t="str">
        <f>HYPERLINK("#Kalend!I1","Kalender")</f>
        <v>Kalender</v>
      </c>
      <c r="G1" s="113" t="str">
        <f>HYPERLINK("#Reit!K1","Reiting")</f>
        <v>Reiting</v>
      </c>
    </row>
    <row r="2" spans="1:10" x14ac:dyDescent="0.2">
      <c r="A2" s="2" t="str">
        <f>"Toimumisaeg: "&amp;(Kalend!A37)&amp;" kell "&amp;(Kalend!B37)</f>
        <v>Toimumisaeg: N, 24.08.2017 kell 18:00</v>
      </c>
    </row>
    <row r="3" spans="1:10" x14ac:dyDescent="0.2">
      <c r="A3" s="2" t="str">
        <f>"Toimumiskoht: "&amp;(Kalend!F37)</f>
        <v>Toimumiskoht: K-Järve spordihoone</v>
      </c>
    </row>
    <row r="4" spans="1:10" x14ac:dyDescent="0.2">
      <c r="A4" s="2" t="str">
        <f>"Korraldaja: "&amp;(Kalend!G37)</f>
        <v>Korraldaja: K-Järve SHK, Ivar Viljaste</v>
      </c>
    </row>
    <row r="6" spans="1:10" x14ac:dyDescent="0.2">
      <c r="A6" s="435"/>
      <c r="B6" s="435"/>
      <c r="C6" s="429">
        <v>1</v>
      </c>
      <c r="D6" s="429">
        <v>2</v>
      </c>
      <c r="E6" s="429">
        <v>3</v>
      </c>
      <c r="F6" s="429">
        <v>4</v>
      </c>
      <c r="G6" s="429">
        <v>5</v>
      </c>
      <c r="H6" s="429" t="s">
        <v>264</v>
      </c>
      <c r="I6" s="429" t="s">
        <v>83</v>
      </c>
    </row>
    <row r="7" spans="1:10" x14ac:dyDescent="0.2">
      <c r="A7" s="435">
        <v>1</v>
      </c>
      <c r="B7" s="470" t="s">
        <v>604</v>
      </c>
      <c r="C7" s="437"/>
      <c r="D7" s="438">
        <v>11</v>
      </c>
      <c r="E7" s="946">
        <v>8</v>
      </c>
      <c r="F7" s="438">
        <v>2</v>
      </c>
      <c r="G7" s="440">
        <v>13</v>
      </c>
      <c r="H7" s="948" t="s">
        <v>371</v>
      </c>
      <c r="I7" s="469" t="s">
        <v>267</v>
      </c>
      <c r="J7" s="947" t="s">
        <v>643</v>
      </c>
    </row>
    <row r="8" spans="1:10" x14ac:dyDescent="0.2">
      <c r="A8" s="435">
        <v>2</v>
      </c>
      <c r="B8" s="540" t="s">
        <v>607</v>
      </c>
      <c r="C8" s="438">
        <v>13</v>
      </c>
      <c r="D8" s="437"/>
      <c r="E8" s="438">
        <v>2</v>
      </c>
      <c r="F8" s="438">
        <v>8</v>
      </c>
      <c r="G8" s="438">
        <v>4</v>
      </c>
      <c r="H8" s="472" t="s">
        <v>278</v>
      </c>
      <c r="I8" s="469" t="s">
        <v>372</v>
      </c>
    </row>
    <row r="9" spans="1:10" x14ac:dyDescent="0.2">
      <c r="A9" s="435">
        <v>3</v>
      </c>
      <c r="B9" s="540" t="s">
        <v>606</v>
      </c>
      <c r="C9" s="440">
        <v>4</v>
      </c>
      <c r="D9" s="438">
        <v>13</v>
      </c>
      <c r="E9" s="437"/>
      <c r="F9" s="429">
        <v>11</v>
      </c>
      <c r="G9" s="440">
        <v>6</v>
      </c>
      <c r="H9" s="948" t="s">
        <v>371</v>
      </c>
      <c r="I9" s="469" t="s">
        <v>120</v>
      </c>
      <c r="J9" s="947" t="s">
        <v>645</v>
      </c>
    </row>
    <row r="10" spans="1:10" x14ac:dyDescent="0.2">
      <c r="A10" s="435">
        <v>4</v>
      </c>
      <c r="B10" s="470" t="s">
        <v>605</v>
      </c>
      <c r="C10" s="438">
        <v>13</v>
      </c>
      <c r="D10" s="429">
        <v>12</v>
      </c>
      <c r="E10" s="438">
        <v>5</v>
      </c>
      <c r="F10" s="437"/>
      <c r="G10" s="438">
        <v>13</v>
      </c>
      <c r="H10" s="472" t="s">
        <v>268</v>
      </c>
      <c r="I10" s="469" t="s">
        <v>269</v>
      </c>
    </row>
    <row r="11" spans="1:10" x14ac:dyDescent="0.2">
      <c r="A11" s="435">
        <v>5</v>
      </c>
      <c r="B11" s="470" t="s">
        <v>563</v>
      </c>
      <c r="C11" s="440">
        <v>11</v>
      </c>
      <c r="D11" s="438">
        <v>13</v>
      </c>
      <c r="E11" s="440">
        <v>13</v>
      </c>
      <c r="F11" s="438">
        <v>4</v>
      </c>
      <c r="G11" s="437"/>
      <c r="H11" s="948" t="s">
        <v>371</v>
      </c>
      <c r="I11" s="469" t="s">
        <v>266</v>
      </c>
      <c r="J11" s="947" t="s">
        <v>644</v>
      </c>
    </row>
    <row r="14" spans="1:10" x14ac:dyDescent="0.2">
      <c r="A14" s="223">
        <v>1</v>
      </c>
      <c r="B14" s="224" t="s">
        <v>605</v>
      </c>
    </row>
    <row r="15" spans="1:10" x14ac:dyDescent="0.2">
      <c r="A15" s="223">
        <v>2</v>
      </c>
      <c r="B15" s="535" t="s">
        <v>604</v>
      </c>
    </row>
    <row r="16" spans="1:10" x14ac:dyDescent="0.2">
      <c r="A16" s="223">
        <v>3</v>
      </c>
      <c r="B16" s="536" t="s">
        <v>563</v>
      </c>
    </row>
    <row r="17" spans="1:2" x14ac:dyDescent="0.2">
      <c r="A17" s="223">
        <v>4</v>
      </c>
      <c r="B17" s="540" t="s">
        <v>606</v>
      </c>
    </row>
    <row r="18" spans="1:2" x14ac:dyDescent="0.2">
      <c r="A18" s="223">
        <v>5</v>
      </c>
      <c r="B18" s="540" t="s">
        <v>607</v>
      </c>
    </row>
  </sheetData>
  <conditionalFormatting sqref="C6:G11">
    <cfRule type="cellIs" dxfId="629" priority="1" operator="equal">
      <formula>13</formula>
    </cfRule>
  </conditionalFormatting>
  <pageMargins left="0.78740157480314965" right="0.39370078740157483" top="0.78740157480314965" bottom="0.39370078740157483" header="0.59055118110236227" footer="0"/>
  <pageSetup paperSize="9" scale="91" fitToHeight="0" orientation="portrait" r:id="rId1"/>
  <headerFooter>
    <oddHeader>&amp;R&amp;"Arial,Regular"&amp;9Page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81"/>
  <sheetViews>
    <sheetView showGridLines="0" showRowColHeaders="0" zoomScaleNormal="100" workbookViewId="0">
      <pane ySplit="2" topLeftCell="A3" activePane="bottomLeft" state="frozen"/>
      <selection activeCell="I1" sqref="I1"/>
      <selection pane="bottomLeft" activeCell="J1" sqref="J1"/>
    </sheetView>
  </sheetViews>
  <sheetFormatPr defaultRowHeight="12.75" x14ac:dyDescent="0.2"/>
  <cols>
    <col min="1" max="1" width="3.28515625" style="2" customWidth="1"/>
    <col min="2" max="2" width="48.42578125" style="2" bestFit="1" customWidth="1"/>
    <col min="3" max="3" width="7.28515625" style="2" customWidth="1"/>
    <col min="4" max="4" width="7.42578125" style="2" bestFit="1" customWidth="1"/>
    <col min="5" max="6" width="9.140625" style="2"/>
    <col min="7" max="7" width="5.140625" style="2" customWidth="1"/>
    <col min="8" max="8" width="4.7109375" style="2" customWidth="1"/>
    <col min="9" max="9" width="4.42578125" style="2" customWidth="1"/>
    <col min="10" max="13" width="9.140625" style="2"/>
    <col min="14" max="14" width="5.28515625" style="2" customWidth="1"/>
    <col min="15" max="16384" width="9.140625" style="2"/>
  </cols>
  <sheetData>
    <row r="1" spans="1:9" x14ac:dyDescent="0.2">
      <c r="A1" s="1" t="str">
        <f>UPPER((Kalend!E40)&amp;" - "&amp;(Kalend!C40)&amp;" - "&amp;(Kalend!D40))</f>
        <v>11 - IDA-VIRUMAA MV - TRIO</v>
      </c>
      <c r="E1" s="113" t="str">
        <f>HYPERLINK("#Kalend!I1","Kalender")</f>
        <v>Kalender</v>
      </c>
      <c r="G1" s="113" t="str">
        <f>HYPERLINK("#Reit!K1","Reiting")</f>
        <v>Reiting</v>
      </c>
      <c r="I1" s="408"/>
    </row>
    <row r="2" spans="1:9" x14ac:dyDescent="0.2">
      <c r="A2" s="2" t="str">
        <f>"Toimumisaeg: "&amp;(Kalend!A40)&amp;" kell "&amp;(Kalend!B40)</f>
        <v>Toimumisaeg: P, 10.09.2017 kell 11:00</v>
      </c>
    </row>
    <row r="3" spans="1:9" x14ac:dyDescent="0.2">
      <c r="A3" s="2" t="str">
        <f>"Toimumiskoht: "&amp;(Kalend!F40)</f>
        <v>Toimumiskoht: Voka staadion</v>
      </c>
    </row>
    <row r="4" spans="1:9" x14ac:dyDescent="0.2">
      <c r="A4" s="2" t="str">
        <f>"Korraldaja: "&amp;(Kalend!G40)</f>
        <v>Korraldaja: K-Järve SHK, Ivar Viljaste</v>
      </c>
    </row>
    <row r="6" spans="1:9" x14ac:dyDescent="0.2">
      <c r="A6" s="427" t="s">
        <v>255</v>
      </c>
      <c r="B6" s="477"/>
      <c r="C6" s="478" t="s">
        <v>256</v>
      </c>
      <c r="D6" s="479" t="s">
        <v>257</v>
      </c>
      <c r="E6" s="479" t="s">
        <v>258</v>
      </c>
      <c r="F6" s="478" t="s">
        <v>254</v>
      </c>
      <c r="G6" s="478" t="s">
        <v>145</v>
      </c>
    </row>
    <row r="7" spans="1:9" x14ac:dyDescent="0.2">
      <c r="A7" s="430">
        <v>1</v>
      </c>
      <c r="B7" s="482" t="s">
        <v>618</v>
      </c>
      <c r="C7" s="434">
        <v>13</v>
      </c>
      <c r="D7" s="434">
        <v>10</v>
      </c>
      <c r="E7" s="434"/>
      <c r="F7" s="434">
        <v>13</v>
      </c>
      <c r="G7" s="434" t="str">
        <f>IF(AND(COUNTIF(C7:F7,13)=0,COUNT(C7:F7)=2),"IV",IF(AND(COUNTIF(C7:F7,13)=1,COUNT(C7:F7)=3),"III",IF(AND(COUNTIF(C7:F7,13)=2,COUNT(C7:F7)=3),"II",IF(AND(COUNTIF(C7:F7,13)=2,COUNT(C7:F7)=2),"I"))))</f>
        <v>II</v>
      </c>
    </row>
    <row r="8" spans="1:9" x14ac:dyDescent="0.2">
      <c r="A8" s="430">
        <v>2</v>
      </c>
      <c r="B8" s="480" t="s">
        <v>619</v>
      </c>
      <c r="C8" s="434">
        <v>13</v>
      </c>
      <c r="D8" s="434">
        <v>13</v>
      </c>
      <c r="E8" s="434"/>
      <c r="F8" s="434"/>
      <c r="G8" s="434" t="str">
        <f>IF(AND(COUNTIF(C8:F8,13)=0,COUNT(C8:F8)=2),"IV",IF(AND(COUNTIF(C8:F8,13)=1,COUNT(C8:F8)=3),"III",IF(AND(COUNTIF(C8:F8,13)=2,COUNT(C8:F8)=3),"II",IF(AND(COUNTIF(C8:F8,13)=2,COUNT(C8:F8)=2),"I"))))</f>
        <v>I</v>
      </c>
    </row>
    <row r="9" spans="1:9" x14ac:dyDescent="0.2">
      <c r="A9" s="430">
        <v>3</v>
      </c>
      <c r="B9" s="480" t="s">
        <v>620</v>
      </c>
      <c r="C9" s="434">
        <v>7</v>
      </c>
      <c r="D9" s="434"/>
      <c r="E9" s="434">
        <v>13</v>
      </c>
      <c r="F9" s="434">
        <v>7</v>
      </c>
      <c r="G9" s="434" t="str">
        <f>IF(AND(COUNTIF(C9:F9,13)=0,COUNT(C9:F9)=2),"IV",IF(AND(COUNTIF(C9:F9,13)=1,COUNT(C9:F9)=3),"III",IF(AND(COUNTIF(C9:F9,13)=2,COUNT(C9:F9)=3),"II",IF(AND(COUNTIF(C9:F9,13)=2,COUNT(C9:F9)=2),"I"))))</f>
        <v>III</v>
      </c>
    </row>
    <row r="10" spans="1:9" x14ac:dyDescent="0.2">
      <c r="A10" s="430">
        <v>4</v>
      </c>
      <c r="B10" s="481"/>
      <c r="C10" s="434">
        <f>IF(ISBLANK(B10),0)</f>
        <v>0</v>
      </c>
      <c r="D10" s="434"/>
      <c r="E10" s="434">
        <f>IF(ISBLANK(B10),0)</f>
        <v>0</v>
      </c>
      <c r="F10" s="434"/>
      <c r="G10" s="434"/>
    </row>
    <row r="12" spans="1:9" x14ac:dyDescent="0.2">
      <c r="A12" s="427" t="s">
        <v>318</v>
      </c>
      <c r="B12" s="477"/>
      <c r="C12" s="478" t="s">
        <v>256</v>
      </c>
      <c r="D12" s="479" t="s">
        <v>257</v>
      </c>
      <c r="E12" s="479" t="s">
        <v>258</v>
      </c>
      <c r="F12" s="478" t="s">
        <v>254</v>
      </c>
      <c r="G12" s="478" t="s">
        <v>145</v>
      </c>
    </row>
    <row r="13" spans="1:9" x14ac:dyDescent="0.2">
      <c r="A13" s="430">
        <v>1</v>
      </c>
      <c r="B13" s="482" t="s">
        <v>621</v>
      </c>
      <c r="C13" s="434">
        <v>13</v>
      </c>
      <c r="D13" s="434">
        <v>13</v>
      </c>
      <c r="E13" s="434"/>
      <c r="F13" s="434"/>
      <c r="G13" s="434" t="str">
        <f>IF(AND(COUNTIF(C13:F13,13)=0,COUNT(C13:F13)=2),"IV",IF(AND(COUNTIF(C13:F13,13)=1,COUNT(C13:F13)=3),"III",IF(AND(COUNTIF(C13:F13,13)=2,COUNT(C13:F13)=3),"II",IF(AND(COUNTIF(C13:F13,13)=2,COUNT(C13:F13)=2),"I"))))</f>
        <v>I</v>
      </c>
    </row>
    <row r="14" spans="1:9" x14ac:dyDescent="0.2">
      <c r="A14" s="430">
        <v>2</v>
      </c>
      <c r="B14" s="480" t="s">
        <v>622</v>
      </c>
      <c r="C14" s="434">
        <v>13</v>
      </c>
      <c r="D14" s="434">
        <v>12</v>
      </c>
      <c r="E14" s="434"/>
      <c r="F14" s="434">
        <v>13</v>
      </c>
      <c r="G14" s="434" t="str">
        <f>IF(AND(COUNTIF(C14:F14,13)=0,COUNT(C14:F14)=2),"IV",IF(AND(COUNTIF(C14:F14,13)=1,COUNT(C14:F14)=3),"III",IF(AND(COUNTIF(C14:F14,13)=2,COUNT(C14:F14)=3),"II",IF(AND(COUNTIF(C14:F14,13)=2,COUNT(C14:F14)=2),"I"))))</f>
        <v>II</v>
      </c>
    </row>
    <row r="15" spans="1:9" x14ac:dyDescent="0.2">
      <c r="A15" s="430">
        <v>3</v>
      </c>
      <c r="B15" s="480" t="s">
        <v>623</v>
      </c>
      <c r="C15" s="434">
        <v>3</v>
      </c>
      <c r="D15" s="434"/>
      <c r="E15" s="434">
        <v>13</v>
      </c>
      <c r="F15" s="434">
        <v>4</v>
      </c>
      <c r="G15" s="434" t="str">
        <f>IF(AND(COUNTIF(C15:F15,13)=0,COUNT(C15:F15)=2),"IV",IF(AND(COUNTIF(C15:F15,13)=1,COUNT(C15:F15)=3),"III",IF(AND(COUNTIF(C15:F15,13)=2,COUNT(C15:F15)=3),"II",IF(AND(COUNTIF(C15:F15,13)=2,COUNT(C15:F15)=2),"I"))))</f>
        <v>III</v>
      </c>
    </row>
    <row r="16" spans="1:9" x14ac:dyDescent="0.2">
      <c r="A16" s="430">
        <v>4</v>
      </c>
      <c r="B16" s="481"/>
      <c r="C16" s="434">
        <f>IF(ISBLANK(B16),0)</f>
        <v>0</v>
      </c>
      <c r="D16" s="434"/>
      <c r="E16" s="434">
        <f>IF(ISBLANK(B16),0)</f>
        <v>0</v>
      </c>
      <c r="F16" s="434"/>
      <c r="G16" s="434"/>
    </row>
    <row r="18" spans="1:10" x14ac:dyDescent="0.2">
      <c r="A18" s="427" t="s">
        <v>319</v>
      </c>
      <c r="B18" s="477"/>
      <c r="C18" s="478" t="s">
        <v>256</v>
      </c>
      <c r="D18" s="479" t="s">
        <v>257</v>
      </c>
      <c r="E18" s="479" t="s">
        <v>258</v>
      </c>
      <c r="F18" s="478" t="s">
        <v>254</v>
      </c>
      <c r="G18" s="478" t="s">
        <v>145</v>
      </c>
    </row>
    <row r="19" spans="1:10" x14ac:dyDescent="0.2">
      <c r="A19" s="430">
        <v>1</v>
      </c>
      <c r="B19" s="482" t="s">
        <v>624</v>
      </c>
      <c r="C19" s="434">
        <v>13</v>
      </c>
      <c r="D19" s="434">
        <v>13</v>
      </c>
      <c r="E19" s="434"/>
      <c r="F19" s="434"/>
      <c r="G19" s="434" t="str">
        <f>IF(AND(COUNTIF(C19:F19,13)=0,COUNT(C19:F19)=2),"IV",IF(AND(COUNTIF(C19:F19,13)=1,COUNT(C19:F19)=3),"III",IF(AND(COUNTIF(C19:F19,13)=2,COUNT(C19:F19)=3),"II",IF(AND(COUNTIF(C19:F19,13)=2,COUNT(C19:F19)=2),"I"))))</f>
        <v>I</v>
      </c>
    </row>
    <row r="20" spans="1:10" x14ac:dyDescent="0.2">
      <c r="A20" s="430">
        <v>2</v>
      </c>
      <c r="B20" s="480" t="s">
        <v>625</v>
      </c>
      <c r="C20" s="434">
        <v>13</v>
      </c>
      <c r="D20" s="434">
        <v>3</v>
      </c>
      <c r="E20" s="434"/>
      <c r="F20" s="434">
        <v>13</v>
      </c>
      <c r="G20" s="434" t="str">
        <f>IF(AND(COUNTIF(C20:F20,13)=0,COUNT(C20:F20)=2),"IV",IF(AND(COUNTIF(C20:F20,13)=1,COUNT(C20:F20)=3),"III",IF(AND(COUNTIF(C20:F20,13)=2,COUNT(C20:F20)=3),"II",IF(AND(COUNTIF(C20:F20,13)=2,COUNT(C20:F20)=2),"I"))))</f>
        <v>II</v>
      </c>
    </row>
    <row r="21" spans="1:10" x14ac:dyDescent="0.2">
      <c r="A21" s="430">
        <v>3</v>
      </c>
      <c r="B21" s="480" t="s">
        <v>627</v>
      </c>
      <c r="C21" s="434">
        <v>9</v>
      </c>
      <c r="D21" s="434"/>
      <c r="E21" s="434">
        <v>13</v>
      </c>
      <c r="F21" s="434">
        <v>1</v>
      </c>
      <c r="G21" s="434" t="str">
        <f>IF(AND(COUNTIF(C21:F21,13)=0,COUNT(C21:F21)=2),"IV",IF(AND(COUNTIF(C21:F21,13)=1,COUNT(C21:F21)=3),"III",IF(AND(COUNTIF(C21:F21,13)=2,COUNT(C21:F21)=3),"II",IF(AND(COUNTIF(C21:F21,13)=2,COUNT(C21:F21)=2),"I"))))</f>
        <v>III</v>
      </c>
    </row>
    <row r="22" spans="1:10" x14ac:dyDescent="0.2">
      <c r="A22" s="430">
        <v>4</v>
      </c>
      <c r="B22" s="481"/>
      <c r="C22" s="434">
        <f>IF(ISBLANK(B22),0)</f>
        <v>0</v>
      </c>
      <c r="D22" s="434"/>
      <c r="E22" s="434">
        <f>IF(ISBLANK(B22),0)</f>
        <v>0</v>
      </c>
      <c r="F22" s="434"/>
      <c r="G22" s="434"/>
    </row>
    <row r="23" spans="1:10" x14ac:dyDescent="0.2">
      <c r="A23" s="443"/>
      <c r="B23" s="485"/>
      <c r="C23" s="486"/>
      <c r="D23" s="486"/>
      <c r="E23" s="486"/>
      <c r="F23" s="486"/>
      <c r="G23" s="486"/>
    </row>
    <row r="24" spans="1:10" x14ac:dyDescent="0.2">
      <c r="A24" s="487" t="s">
        <v>566</v>
      </c>
      <c r="B24" s="488"/>
      <c r="C24" s="488"/>
      <c r="D24" s="488"/>
      <c r="E24" s="488"/>
      <c r="F24" s="488"/>
      <c r="G24" s="488"/>
      <c r="H24" s="488"/>
      <c r="I24" s="152"/>
      <c r="J24" s="152"/>
    </row>
    <row r="25" spans="1:10" x14ac:dyDescent="0.2">
      <c r="A25" s="487"/>
      <c r="B25" s="488"/>
      <c r="C25" s="488"/>
      <c r="D25" s="488"/>
      <c r="E25" s="488"/>
      <c r="F25" s="488"/>
      <c r="G25" s="488"/>
      <c r="H25" s="488"/>
      <c r="I25" s="152"/>
      <c r="J25" s="152"/>
    </row>
    <row r="26" spans="1:10" x14ac:dyDescent="0.2">
      <c r="A26" s="489" t="s">
        <v>290</v>
      </c>
      <c r="B26" s="528" t="s">
        <v>619</v>
      </c>
      <c r="C26" s="490">
        <v>13</v>
      </c>
      <c r="D26" s="488"/>
      <c r="E26" s="488"/>
      <c r="F26" s="488"/>
      <c r="G26" s="488"/>
      <c r="H26" s="488"/>
      <c r="I26" s="488"/>
      <c r="J26" s="488"/>
    </row>
    <row r="27" spans="1:10" x14ac:dyDescent="0.2">
      <c r="A27" s="491"/>
      <c r="B27" s="492"/>
      <c r="C27" s="493" t="s">
        <v>619</v>
      </c>
      <c r="D27" s="488"/>
      <c r="E27" s="490">
        <v>2</v>
      </c>
      <c r="F27" s="488"/>
      <c r="G27" s="488"/>
      <c r="H27" s="488"/>
      <c r="I27" s="488"/>
      <c r="J27" s="488"/>
    </row>
    <row r="28" spans="1:10" x14ac:dyDescent="0.2">
      <c r="A28" s="489"/>
      <c r="B28" s="529" t="s">
        <v>306</v>
      </c>
      <c r="C28" s="496">
        <v>0</v>
      </c>
      <c r="D28" s="497"/>
      <c r="E28" s="488"/>
      <c r="F28" s="488"/>
      <c r="G28" s="488"/>
      <c r="H28" s="488"/>
      <c r="I28" s="488"/>
      <c r="J28" s="488"/>
    </row>
    <row r="29" spans="1:10" x14ac:dyDescent="0.2">
      <c r="A29" s="491"/>
      <c r="B29" s="488"/>
      <c r="C29" s="488"/>
      <c r="D29" s="499"/>
      <c r="E29" s="488" t="s">
        <v>621</v>
      </c>
      <c r="F29" s="488"/>
      <c r="G29" s="490">
        <v>8</v>
      </c>
      <c r="H29" s="490"/>
      <c r="I29" s="488"/>
      <c r="J29" s="488"/>
    </row>
    <row r="30" spans="1:10" x14ac:dyDescent="0.2">
      <c r="A30" s="489" t="s">
        <v>286</v>
      </c>
      <c r="B30" s="500" t="s">
        <v>621</v>
      </c>
      <c r="C30" s="501">
        <v>13</v>
      </c>
      <c r="D30" s="499"/>
      <c r="E30" s="492"/>
      <c r="F30" s="497"/>
      <c r="G30" s="488"/>
      <c r="H30" s="488"/>
      <c r="I30" s="488"/>
      <c r="J30" s="488"/>
    </row>
    <row r="31" spans="1:10" x14ac:dyDescent="0.2">
      <c r="A31" s="491"/>
      <c r="B31" s="492"/>
      <c r="C31" s="502" t="s">
        <v>621</v>
      </c>
      <c r="D31" s="503"/>
      <c r="E31" s="501">
        <v>13</v>
      </c>
      <c r="F31" s="499"/>
      <c r="G31" s="488"/>
      <c r="H31" s="488"/>
      <c r="I31" s="488"/>
      <c r="J31" s="488"/>
    </row>
    <row r="32" spans="1:10" x14ac:dyDescent="0.2">
      <c r="A32" s="489" t="s">
        <v>291</v>
      </c>
      <c r="B32" s="495" t="s">
        <v>625</v>
      </c>
      <c r="C32" s="504">
        <v>0</v>
      </c>
      <c r="D32" s="488"/>
      <c r="E32" s="498"/>
      <c r="F32" s="499"/>
      <c r="G32" s="488"/>
      <c r="H32" s="488"/>
      <c r="I32" s="488"/>
      <c r="J32" s="488"/>
    </row>
    <row r="33" spans="1:10" ht="13.5" thickBot="1" x14ac:dyDescent="0.25">
      <c r="A33" s="491"/>
      <c r="B33" s="488"/>
      <c r="C33" s="488"/>
      <c r="D33" s="488"/>
      <c r="E33" s="498"/>
      <c r="F33" s="499"/>
      <c r="G33" s="488"/>
      <c r="H33" s="488"/>
      <c r="I33" s="528" t="s">
        <v>624</v>
      </c>
      <c r="J33" s="488"/>
    </row>
    <row r="34" spans="1:10" x14ac:dyDescent="0.2">
      <c r="A34" s="489" t="s">
        <v>285</v>
      </c>
      <c r="B34" s="488" t="s">
        <v>618</v>
      </c>
      <c r="C34" s="490">
        <v>13</v>
      </c>
      <c r="D34" s="488"/>
      <c r="E34" s="498"/>
      <c r="F34" s="499"/>
      <c r="G34" s="505"/>
      <c r="H34" s="507"/>
      <c r="I34" s="506" t="s">
        <v>287</v>
      </c>
      <c r="J34" s="507"/>
    </row>
    <row r="35" spans="1:10" x14ac:dyDescent="0.2">
      <c r="A35" s="491"/>
      <c r="B35" s="492"/>
      <c r="C35" s="493" t="s">
        <v>618</v>
      </c>
      <c r="D35" s="488"/>
      <c r="E35" s="501">
        <v>10</v>
      </c>
      <c r="F35" s="499"/>
      <c r="G35" s="488"/>
      <c r="H35" s="488"/>
      <c r="I35" s="488"/>
      <c r="J35" s="488"/>
    </row>
    <row r="36" spans="1:10" ht="13.5" thickBot="1" x14ac:dyDescent="0.25">
      <c r="A36" s="489" t="s">
        <v>283</v>
      </c>
      <c r="B36" s="494" t="s">
        <v>622</v>
      </c>
      <c r="C36" s="496">
        <v>2</v>
      </c>
      <c r="D36" s="497"/>
      <c r="E36" s="498"/>
      <c r="F36" s="499"/>
      <c r="G36" s="488"/>
      <c r="H36" s="488"/>
      <c r="I36" s="885" t="s">
        <v>621</v>
      </c>
      <c r="J36" s="508"/>
    </row>
    <row r="37" spans="1:10" x14ac:dyDescent="0.2">
      <c r="A37" s="491"/>
      <c r="B37" s="488"/>
      <c r="C37" s="488"/>
      <c r="D37" s="499"/>
      <c r="E37" s="494" t="s">
        <v>624</v>
      </c>
      <c r="F37" s="503"/>
      <c r="G37" s="490">
        <v>13</v>
      </c>
      <c r="H37" s="490"/>
      <c r="I37" s="506" t="s">
        <v>289</v>
      </c>
      <c r="J37" s="488"/>
    </row>
    <row r="38" spans="1:10" x14ac:dyDescent="0.2">
      <c r="A38" s="489"/>
      <c r="B38" s="528" t="s">
        <v>306</v>
      </c>
      <c r="C38" s="501">
        <v>0</v>
      </c>
      <c r="D38" s="499"/>
      <c r="E38" s="488"/>
      <c r="F38" s="488"/>
      <c r="G38" s="488"/>
      <c r="H38" s="488"/>
      <c r="I38" s="488"/>
      <c r="J38" s="488"/>
    </row>
    <row r="39" spans="1:10" x14ac:dyDescent="0.2">
      <c r="A39" s="491"/>
      <c r="B39" s="492"/>
      <c r="C39" s="502" t="s">
        <v>624</v>
      </c>
      <c r="D39" s="503"/>
      <c r="E39" s="490">
        <v>13</v>
      </c>
      <c r="F39" s="488"/>
      <c r="G39" s="488"/>
      <c r="H39" s="488"/>
      <c r="I39" s="488"/>
      <c r="J39" s="488"/>
    </row>
    <row r="40" spans="1:10" x14ac:dyDescent="0.2">
      <c r="A40" s="489" t="s">
        <v>282</v>
      </c>
      <c r="B40" s="530" t="s">
        <v>624</v>
      </c>
      <c r="C40" s="504">
        <v>13</v>
      </c>
      <c r="D40" s="488"/>
      <c r="E40" s="488"/>
      <c r="F40" s="488"/>
      <c r="G40" s="488"/>
      <c r="H40" s="488"/>
      <c r="I40" s="488"/>
      <c r="J40" s="488"/>
    </row>
    <row r="41" spans="1:10" x14ac:dyDescent="0.2">
      <c r="A41" s="488"/>
      <c r="B41" s="488"/>
      <c r="C41" s="488"/>
      <c r="D41" s="488"/>
      <c r="E41" s="488" t="s">
        <v>619</v>
      </c>
      <c r="F41" s="488"/>
      <c r="G41" s="501">
        <v>13</v>
      </c>
      <c r="H41" s="501"/>
      <c r="I41" s="498"/>
      <c r="J41" s="498"/>
    </row>
    <row r="42" spans="1:10" ht="13.5" thickBot="1" x14ac:dyDescent="0.25">
      <c r="A42" s="488"/>
      <c r="B42" s="488"/>
      <c r="C42" s="488"/>
      <c r="D42" s="488"/>
      <c r="E42" s="492"/>
      <c r="F42" s="497"/>
      <c r="G42" s="508"/>
      <c r="H42" s="508"/>
      <c r="I42" s="885" t="s">
        <v>619</v>
      </c>
      <c r="J42" s="508"/>
    </row>
    <row r="43" spans="1:10" x14ac:dyDescent="0.2">
      <c r="A43" s="488"/>
      <c r="B43" s="488"/>
      <c r="C43" s="488"/>
      <c r="D43" s="488"/>
      <c r="E43" s="494" t="s">
        <v>618</v>
      </c>
      <c r="F43" s="503"/>
      <c r="G43" s="490">
        <v>2</v>
      </c>
      <c r="H43" s="490"/>
      <c r="I43" s="509" t="s">
        <v>292</v>
      </c>
      <c r="J43" s="498"/>
    </row>
    <row r="44" spans="1:10" x14ac:dyDescent="0.2">
      <c r="A44" s="488"/>
      <c r="B44" s="488"/>
      <c r="C44" s="488"/>
      <c r="D44" s="488"/>
      <c r="E44" s="488"/>
      <c r="F44" s="488"/>
      <c r="G44" s="488"/>
      <c r="H44" s="488"/>
      <c r="I44" s="498"/>
      <c r="J44" s="498"/>
    </row>
    <row r="45" spans="1:10" ht="13.5" thickBot="1" x14ac:dyDescent="0.25">
      <c r="A45" s="488"/>
      <c r="B45" s="488"/>
      <c r="C45" s="488"/>
      <c r="D45" s="488"/>
      <c r="E45" s="488"/>
      <c r="F45" s="498"/>
      <c r="G45" s="488"/>
      <c r="H45" s="488"/>
      <c r="I45" s="508" t="s">
        <v>618</v>
      </c>
      <c r="J45" s="508"/>
    </row>
    <row r="46" spans="1:10" x14ac:dyDescent="0.2">
      <c r="A46" s="488"/>
      <c r="B46" s="488"/>
      <c r="C46" s="528" t="s">
        <v>306</v>
      </c>
      <c r="D46" s="488"/>
      <c r="E46" s="490">
        <v>0</v>
      </c>
      <c r="F46" s="488"/>
      <c r="G46" s="488"/>
      <c r="H46" s="488"/>
      <c r="I46" s="510" t="s">
        <v>293</v>
      </c>
      <c r="J46" s="488"/>
    </row>
    <row r="47" spans="1:10" x14ac:dyDescent="0.2">
      <c r="A47" s="488"/>
      <c r="B47" s="488"/>
      <c r="C47" s="492"/>
      <c r="D47" s="497"/>
      <c r="E47" s="493" t="s">
        <v>625</v>
      </c>
      <c r="F47" s="494"/>
      <c r="G47" s="929" t="s">
        <v>13</v>
      </c>
      <c r="H47" s="490"/>
      <c r="I47" s="488"/>
      <c r="J47" s="488"/>
    </row>
    <row r="48" spans="1:10" x14ac:dyDescent="0.2">
      <c r="A48" s="488"/>
      <c r="B48" s="488"/>
      <c r="C48" s="530" t="s">
        <v>625</v>
      </c>
      <c r="D48" s="503"/>
      <c r="E48" s="496">
        <v>13</v>
      </c>
      <c r="F48" s="499"/>
      <c r="G48" s="488"/>
      <c r="H48" s="488"/>
      <c r="I48" s="488"/>
      <c r="J48" s="488"/>
    </row>
    <row r="49" spans="1:10" ht="13.5" thickBot="1" x14ac:dyDescent="0.25">
      <c r="A49" s="488"/>
      <c r="B49" s="488"/>
      <c r="C49" s="488"/>
      <c r="D49" s="488"/>
      <c r="E49" s="498"/>
      <c r="F49" s="499"/>
      <c r="G49" s="488"/>
      <c r="H49" s="488"/>
      <c r="I49" s="488" t="s">
        <v>622</v>
      </c>
      <c r="J49" s="488"/>
    </row>
    <row r="50" spans="1:10" x14ac:dyDescent="0.2">
      <c r="A50" s="488"/>
      <c r="B50" s="488"/>
      <c r="C50" s="528" t="s">
        <v>622</v>
      </c>
      <c r="D50" s="488"/>
      <c r="E50" s="501">
        <v>13</v>
      </c>
      <c r="F50" s="499"/>
      <c r="G50" s="505"/>
      <c r="H50" s="507"/>
      <c r="I50" s="506" t="s">
        <v>294</v>
      </c>
      <c r="J50" s="507"/>
    </row>
    <row r="51" spans="1:10" x14ac:dyDescent="0.2">
      <c r="A51" s="488"/>
      <c r="B51" s="488"/>
      <c r="C51" s="492"/>
      <c r="D51" s="497"/>
      <c r="E51" s="502" t="s">
        <v>622</v>
      </c>
      <c r="F51" s="503"/>
      <c r="G51" s="918" t="s">
        <v>13</v>
      </c>
      <c r="H51" s="501"/>
      <c r="I51" s="488"/>
      <c r="J51" s="488"/>
    </row>
    <row r="52" spans="1:10" ht="13.5" thickBot="1" x14ac:dyDescent="0.25">
      <c r="A52" s="488"/>
      <c r="B52" s="488"/>
      <c r="C52" s="530" t="s">
        <v>306</v>
      </c>
      <c r="D52" s="503"/>
      <c r="E52" s="504">
        <v>0</v>
      </c>
      <c r="F52" s="488"/>
      <c r="G52" s="498"/>
      <c r="H52" s="498"/>
      <c r="I52" s="498" t="s">
        <v>625</v>
      </c>
      <c r="J52" s="508"/>
    </row>
    <row r="53" spans="1:10" x14ac:dyDescent="0.2">
      <c r="A53" s="488"/>
      <c r="B53" s="488"/>
      <c r="C53" s="488"/>
      <c r="D53" s="488"/>
      <c r="E53" s="488"/>
      <c r="F53" s="488"/>
      <c r="G53" s="498"/>
      <c r="H53" s="498"/>
      <c r="I53" s="506" t="s">
        <v>295</v>
      </c>
      <c r="J53" s="498"/>
    </row>
    <row r="54" spans="1:10" x14ac:dyDescent="0.2">
      <c r="A54" s="488"/>
      <c r="B54" s="488"/>
      <c r="C54" s="488"/>
      <c r="D54" s="488"/>
      <c r="E54" s="488"/>
      <c r="F54" s="488"/>
      <c r="G54" s="501"/>
      <c r="H54" s="501"/>
      <c r="I54" s="498"/>
      <c r="J54" s="498"/>
    </row>
    <row r="55" spans="1:10" ht="13.5" thickBot="1" x14ac:dyDescent="0.25">
      <c r="A55" s="488"/>
      <c r="B55" s="488"/>
      <c r="C55" s="488"/>
      <c r="D55" s="488"/>
      <c r="E55" s="492"/>
      <c r="F55" s="497"/>
      <c r="G55" s="508"/>
      <c r="H55" s="508"/>
      <c r="I55" s="508"/>
      <c r="J55" s="508"/>
    </row>
    <row r="56" spans="1:10" x14ac:dyDescent="0.2">
      <c r="A56" s="488"/>
      <c r="B56" s="488"/>
      <c r="C56" s="488"/>
      <c r="D56" s="488"/>
      <c r="E56" s="494"/>
      <c r="F56" s="503"/>
      <c r="G56" s="490"/>
      <c r="H56" s="490"/>
      <c r="I56" s="509"/>
      <c r="J56" s="498"/>
    </row>
    <row r="57" spans="1:10" x14ac:dyDescent="0.2">
      <c r="A57" s="488"/>
      <c r="B57" s="488"/>
      <c r="C57" s="488"/>
      <c r="D57" s="488"/>
      <c r="E57" s="488"/>
      <c r="F57" s="488"/>
      <c r="G57" s="488"/>
      <c r="H57" s="488"/>
      <c r="I57" s="498"/>
      <c r="J57" s="498"/>
    </row>
    <row r="58" spans="1:10" ht="13.5" thickBot="1" x14ac:dyDescent="0.25">
      <c r="A58" s="488"/>
      <c r="B58" s="488"/>
      <c r="C58" s="488"/>
      <c r="D58" s="488"/>
      <c r="E58" s="488"/>
      <c r="F58" s="498"/>
      <c r="G58" s="488"/>
      <c r="H58" s="488"/>
      <c r="I58" s="508"/>
      <c r="J58" s="508"/>
    </row>
    <row r="59" spans="1:10" x14ac:dyDescent="0.2">
      <c r="A59" s="488"/>
      <c r="B59" s="488"/>
      <c r="C59" s="488"/>
      <c r="D59" s="488"/>
      <c r="E59" s="488"/>
      <c r="F59" s="498"/>
      <c r="G59" s="488"/>
      <c r="H59" s="488"/>
      <c r="I59" s="498"/>
      <c r="J59" s="498"/>
    </row>
    <row r="60" spans="1:10" x14ac:dyDescent="0.2">
      <c r="A60" s="488"/>
      <c r="B60" s="488"/>
      <c r="C60" s="488"/>
      <c r="D60" s="488"/>
      <c r="E60" s="488"/>
      <c r="F60" s="498"/>
      <c r="G60" s="488"/>
      <c r="H60" s="488"/>
      <c r="I60" s="498"/>
      <c r="J60" s="498"/>
    </row>
    <row r="61" spans="1:10" x14ac:dyDescent="0.2">
      <c r="A61" s="487" t="s">
        <v>567</v>
      </c>
      <c r="B61" s="485"/>
      <c r="C61" s="486"/>
      <c r="D61" s="486"/>
      <c r="E61" s="486"/>
      <c r="F61" s="486"/>
      <c r="G61" s="486"/>
      <c r="H61" s="486"/>
    </row>
    <row r="62" spans="1:10" x14ac:dyDescent="0.2">
      <c r="A62" s="484"/>
      <c r="B62" s="485"/>
      <c r="C62" s="486"/>
      <c r="D62" s="486"/>
      <c r="E62" s="486"/>
      <c r="F62" s="486"/>
      <c r="G62" s="486"/>
      <c r="H62" s="486"/>
    </row>
    <row r="63" spans="1:10" x14ac:dyDescent="0.2">
      <c r="A63" s="435"/>
      <c r="B63" s="435"/>
      <c r="C63" s="429">
        <v>1</v>
      </c>
      <c r="D63" s="429">
        <v>2</v>
      </c>
      <c r="E63" s="429">
        <v>3</v>
      </c>
      <c r="F63" s="429" t="s">
        <v>264</v>
      </c>
      <c r="G63" s="429" t="s">
        <v>83</v>
      </c>
      <c r="H63" s="880"/>
    </row>
    <row r="64" spans="1:10" ht="13.5" thickBot="1" x14ac:dyDescent="0.25">
      <c r="A64" s="435">
        <v>1</v>
      </c>
      <c r="B64" s="480" t="s">
        <v>620</v>
      </c>
      <c r="C64" s="437"/>
      <c r="D64" s="438">
        <v>11</v>
      </c>
      <c r="E64" s="438">
        <v>13</v>
      </c>
      <c r="F64" s="472" t="s">
        <v>121</v>
      </c>
      <c r="G64" s="469" t="s">
        <v>269</v>
      </c>
      <c r="H64" s="930" t="s">
        <v>628</v>
      </c>
      <c r="I64" s="2" t="s">
        <v>620</v>
      </c>
    </row>
    <row r="65" spans="1:10" x14ac:dyDescent="0.2">
      <c r="A65" s="435">
        <v>2</v>
      </c>
      <c r="B65" s="480" t="s">
        <v>623</v>
      </c>
      <c r="C65" s="438">
        <v>13</v>
      </c>
      <c r="D65" s="437"/>
      <c r="E65" s="438">
        <v>10</v>
      </c>
      <c r="F65" s="472" t="s">
        <v>121</v>
      </c>
      <c r="G65" s="469" t="s">
        <v>267</v>
      </c>
      <c r="H65" s="930" t="s">
        <v>629</v>
      </c>
      <c r="I65" s="883" t="s">
        <v>296</v>
      </c>
      <c r="J65" s="882"/>
    </row>
    <row r="66" spans="1:10" x14ac:dyDescent="0.2">
      <c r="A66" s="435">
        <v>3</v>
      </c>
      <c r="B66" s="470" t="s">
        <v>627</v>
      </c>
      <c r="C66" s="438">
        <v>8</v>
      </c>
      <c r="D66" s="439">
        <v>13</v>
      </c>
      <c r="E66" s="437"/>
      <c r="F66" s="472" t="s">
        <v>121</v>
      </c>
      <c r="G66" s="439" t="s">
        <v>266</v>
      </c>
      <c r="H66" s="931" t="s">
        <v>274</v>
      </c>
      <c r="I66" s="31"/>
      <c r="J66" s="31"/>
    </row>
    <row r="67" spans="1:10" ht="13.5" thickBot="1" x14ac:dyDescent="0.25">
      <c r="A67" s="526"/>
      <c r="B67" s="592"/>
      <c r="C67" s="445"/>
      <c r="D67" s="878"/>
      <c r="E67" s="486"/>
      <c r="F67" s="780"/>
      <c r="G67" s="878"/>
      <c r="H67" s="878"/>
      <c r="I67" s="31" t="s">
        <v>623</v>
      </c>
      <c r="J67" s="31"/>
    </row>
    <row r="68" spans="1:10" x14ac:dyDescent="0.2">
      <c r="A68" s="526"/>
      <c r="B68" s="932" t="s">
        <v>114</v>
      </c>
      <c r="C68" s="445" t="s">
        <v>278</v>
      </c>
      <c r="D68" s="878"/>
      <c r="E68" s="486"/>
      <c r="F68" s="780"/>
      <c r="G68" s="878"/>
      <c r="H68" s="878"/>
      <c r="I68" s="883" t="s">
        <v>297</v>
      </c>
      <c r="J68" s="882"/>
    </row>
    <row r="69" spans="1:10" x14ac:dyDescent="0.2">
      <c r="A69" s="526"/>
      <c r="B69" s="932" t="s">
        <v>115</v>
      </c>
      <c r="C69" s="933" t="s">
        <v>265</v>
      </c>
      <c r="D69" s="878"/>
      <c r="E69" s="486"/>
      <c r="F69" s="780"/>
      <c r="G69" s="878"/>
      <c r="H69" s="878"/>
      <c r="I69" s="31"/>
      <c r="J69" s="31"/>
    </row>
    <row r="70" spans="1:10" ht="13.5" thickBot="1" x14ac:dyDescent="0.25">
      <c r="A70" s="526"/>
      <c r="B70" s="932" t="s">
        <v>116</v>
      </c>
      <c r="C70" s="933" t="s">
        <v>277</v>
      </c>
      <c r="D70" s="878"/>
      <c r="E70" s="486"/>
      <c r="F70" s="780"/>
      <c r="G70" s="878"/>
      <c r="H70" s="878"/>
      <c r="I70" s="884" t="s">
        <v>627</v>
      </c>
      <c r="J70" s="884"/>
    </row>
    <row r="71" spans="1:10" x14ac:dyDescent="0.2">
      <c r="A71" s="526"/>
      <c r="B71" s="592"/>
      <c r="C71" s="445"/>
      <c r="D71" s="878"/>
      <c r="E71" s="486"/>
      <c r="F71" s="780"/>
      <c r="G71" s="878"/>
      <c r="H71" s="878"/>
      <c r="I71" s="1" t="s">
        <v>303</v>
      </c>
    </row>
    <row r="73" spans="1:10" x14ac:dyDescent="0.2">
      <c r="A73" s="223">
        <v>1</v>
      </c>
      <c r="B73" s="224" t="s">
        <v>624</v>
      </c>
    </row>
    <row r="74" spans="1:10" x14ac:dyDescent="0.2">
      <c r="A74" s="223">
        <v>2</v>
      </c>
      <c r="B74" s="227" t="s">
        <v>621</v>
      </c>
    </row>
    <row r="75" spans="1:10" x14ac:dyDescent="0.2">
      <c r="A75" s="223">
        <v>3</v>
      </c>
      <c r="B75" s="229" t="s">
        <v>619</v>
      </c>
    </row>
    <row r="76" spans="1:10" x14ac:dyDescent="0.2">
      <c r="A76" s="223">
        <v>4</v>
      </c>
      <c r="B76" s="231" t="s">
        <v>618</v>
      </c>
    </row>
    <row r="77" spans="1:10" x14ac:dyDescent="0.2">
      <c r="A77" s="223">
        <v>5</v>
      </c>
      <c r="B77" s="231" t="s">
        <v>622</v>
      </c>
    </row>
    <row r="78" spans="1:10" x14ac:dyDescent="0.2">
      <c r="A78" s="223">
        <v>6</v>
      </c>
      <c r="B78" s="231" t="s">
        <v>625</v>
      </c>
    </row>
    <row r="79" spans="1:10" x14ac:dyDescent="0.2">
      <c r="A79" s="223">
        <v>7</v>
      </c>
      <c r="B79" s="540" t="s">
        <v>620</v>
      </c>
    </row>
    <row r="80" spans="1:10" x14ac:dyDescent="0.2">
      <c r="A80" s="223">
        <v>8</v>
      </c>
      <c r="B80" s="231" t="s">
        <v>623</v>
      </c>
    </row>
    <row r="81" spans="1:2" x14ac:dyDescent="0.2">
      <c r="A81" s="223">
        <v>9</v>
      </c>
      <c r="B81" s="231" t="s">
        <v>627</v>
      </c>
    </row>
  </sheetData>
  <conditionalFormatting sqref="C7:F9 D10 F10">
    <cfRule type="cellIs" dxfId="628" priority="39" operator="equal">
      <formula>13</formula>
    </cfRule>
  </conditionalFormatting>
  <conditionalFormatting sqref="G7:G10">
    <cfRule type="duplicateValues" dxfId="627" priority="37"/>
    <cfRule type="cellIs" dxfId="626" priority="38" operator="equal">
      <formula>13</formula>
    </cfRule>
  </conditionalFormatting>
  <conditionalFormatting sqref="C7:F9 D10 F10">
    <cfRule type="cellIs" dxfId="625" priority="36" operator="greaterThan">
      <formula>13</formula>
    </cfRule>
  </conditionalFormatting>
  <conditionalFormatting sqref="B7:B10">
    <cfRule type="duplicateValues" dxfId="624" priority="35"/>
  </conditionalFormatting>
  <conditionalFormatting sqref="C10">
    <cfRule type="cellIs" dxfId="623" priority="34" operator="equal">
      <formula>13</formula>
    </cfRule>
  </conditionalFormatting>
  <conditionalFormatting sqref="C10">
    <cfRule type="cellIs" dxfId="622" priority="33" operator="greaterThan">
      <formula>13</formula>
    </cfRule>
  </conditionalFormatting>
  <conditionalFormatting sqref="E10">
    <cfRule type="cellIs" dxfId="621" priority="32" operator="equal">
      <formula>13</formula>
    </cfRule>
  </conditionalFormatting>
  <conditionalFormatting sqref="E10">
    <cfRule type="cellIs" dxfId="620" priority="31" operator="greaterThan">
      <formula>13</formula>
    </cfRule>
  </conditionalFormatting>
  <conditionalFormatting sqref="E22:E23">
    <cfRule type="cellIs" dxfId="619" priority="13" operator="greaterThan">
      <formula>13</formula>
    </cfRule>
  </conditionalFormatting>
  <conditionalFormatting sqref="C13:F15 D16 F16">
    <cfRule type="cellIs" dxfId="618" priority="30" operator="equal">
      <formula>13</formula>
    </cfRule>
  </conditionalFormatting>
  <conditionalFormatting sqref="G13:G16">
    <cfRule type="duplicateValues" dxfId="617" priority="28"/>
    <cfRule type="cellIs" dxfId="616" priority="29" operator="equal">
      <formula>13</formula>
    </cfRule>
  </conditionalFormatting>
  <conditionalFormatting sqref="C13:F15 D16 F16">
    <cfRule type="cellIs" dxfId="615" priority="27" operator="greaterThan">
      <formula>13</formula>
    </cfRule>
  </conditionalFormatting>
  <conditionalFormatting sqref="B13:B16">
    <cfRule type="duplicateValues" dxfId="614" priority="26"/>
  </conditionalFormatting>
  <conditionalFormatting sqref="C16">
    <cfRule type="cellIs" dxfId="613" priority="25" operator="equal">
      <formula>13</formula>
    </cfRule>
  </conditionalFormatting>
  <conditionalFormatting sqref="C16">
    <cfRule type="cellIs" dxfId="612" priority="24" operator="greaterThan">
      <formula>13</formula>
    </cfRule>
  </conditionalFormatting>
  <conditionalFormatting sqref="E16">
    <cfRule type="cellIs" dxfId="611" priority="23" operator="equal">
      <formula>13</formula>
    </cfRule>
  </conditionalFormatting>
  <conditionalFormatting sqref="E16">
    <cfRule type="cellIs" dxfId="610" priority="22" operator="greaterThan">
      <formula>13</formula>
    </cfRule>
  </conditionalFormatting>
  <conditionalFormatting sqref="C19:F21 D22:D23 F22:F23">
    <cfRule type="cellIs" dxfId="609" priority="21" operator="equal">
      <formula>13</formula>
    </cfRule>
  </conditionalFormatting>
  <conditionalFormatting sqref="C19:F21 D22:D23 F22:F23">
    <cfRule type="cellIs" dxfId="608" priority="18" operator="greaterThan">
      <formula>13</formula>
    </cfRule>
  </conditionalFormatting>
  <conditionalFormatting sqref="C22:C23">
    <cfRule type="cellIs" dxfId="607" priority="16" operator="equal">
      <formula>13</formula>
    </cfRule>
  </conditionalFormatting>
  <conditionalFormatting sqref="C22:C23">
    <cfRule type="cellIs" dxfId="606" priority="15" operator="greaterThan">
      <formula>13</formula>
    </cfRule>
  </conditionalFormatting>
  <conditionalFormatting sqref="E22:E23">
    <cfRule type="cellIs" dxfId="605" priority="14" operator="equal">
      <formula>13</formula>
    </cfRule>
  </conditionalFormatting>
  <conditionalFormatting sqref="F61:F62 D61:D62">
    <cfRule type="cellIs" dxfId="604" priority="9" operator="equal">
      <formula>13</formula>
    </cfRule>
  </conditionalFormatting>
  <conditionalFormatting sqref="F61:F62 D61:D62">
    <cfRule type="cellIs" dxfId="603" priority="8" operator="greaterThan">
      <formula>13</formula>
    </cfRule>
  </conditionalFormatting>
  <conditionalFormatting sqref="C61:C62">
    <cfRule type="cellIs" dxfId="602" priority="7" operator="equal">
      <formula>13</formula>
    </cfRule>
  </conditionalFormatting>
  <conditionalFormatting sqref="C61:C62">
    <cfRule type="cellIs" dxfId="601" priority="6" operator="greaterThan">
      <formula>13</formula>
    </cfRule>
  </conditionalFormatting>
  <conditionalFormatting sqref="E61:E62">
    <cfRule type="cellIs" dxfId="600" priority="5" operator="equal">
      <formula>13</formula>
    </cfRule>
  </conditionalFormatting>
  <conditionalFormatting sqref="E61:E62">
    <cfRule type="cellIs" dxfId="599" priority="4" operator="greaterThan">
      <formula>13</formula>
    </cfRule>
  </conditionalFormatting>
  <conditionalFormatting sqref="C24:J26 C27:I27 C28:H60">
    <cfRule type="cellIs" dxfId="598" priority="3" stopIfTrue="1" operator="equal">
      <formula>13</formula>
    </cfRule>
  </conditionalFormatting>
  <conditionalFormatting sqref="C64:F71">
    <cfRule type="cellIs" dxfId="597" priority="2" operator="equal">
      <formula>13</formula>
    </cfRule>
  </conditionalFormatting>
  <conditionalFormatting sqref="G61:H62">
    <cfRule type="duplicateValues" dxfId="596" priority="10"/>
    <cfRule type="cellIs" dxfId="595" priority="11" operator="equal">
      <formula>13</formula>
    </cfRule>
  </conditionalFormatting>
  <conditionalFormatting sqref="B61:B62">
    <cfRule type="duplicateValues" dxfId="594" priority="12"/>
  </conditionalFormatting>
  <conditionalFormatting sqref="B64">
    <cfRule type="duplicateValues" dxfId="593" priority="1"/>
  </conditionalFormatting>
  <conditionalFormatting sqref="G19:G23">
    <cfRule type="duplicateValues" dxfId="592" priority="301"/>
    <cfRule type="cellIs" dxfId="591" priority="302" operator="equal">
      <formula>13</formula>
    </cfRule>
  </conditionalFormatting>
  <conditionalFormatting sqref="B19:B23">
    <cfRule type="duplicateValues" dxfId="590" priority="303"/>
  </conditionalFormatting>
  <pageMargins left="0.39370078740157483" right="0.39370078740157483" top="0.78740157480314965" bottom="0.39370078740157483" header="0.59055118110236227" footer="0"/>
  <pageSetup paperSize="9" fitToHeight="0" orientation="landscape" r:id="rId1"/>
  <headerFooter>
    <oddHeader>&amp;R&amp;"Arial,Regular"&amp;9Page &amp;P of &amp;N</oddHeader>
  </headerFooter>
  <rowBreaks count="2" manualBreakCount="2">
    <brk id="22" max="16383" man="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55"/>
  <sheetViews>
    <sheetView showGridLines="0" showRowColHeaders="0" zoomScaleNormal="100" workbookViewId="0">
      <pane ySplit="2" topLeftCell="A3" activePane="bottomLeft" state="frozen"/>
      <selection activeCell="I1" sqref="I1"/>
      <selection pane="bottomLeft" activeCell="I1" sqref="I1"/>
    </sheetView>
  </sheetViews>
  <sheetFormatPr defaultRowHeight="12.75" x14ac:dyDescent="0.2"/>
  <cols>
    <col min="1" max="1" width="3.28515625" style="2" customWidth="1"/>
    <col min="2" max="2" width="30.7109375" style="2" bestFit="1" customWidth="1"/>
    <col min="3" max="3" width="7.28515625" style="2" customWidth="1"/>
    <col min="4" max="4" width="7.42578125" style="2" bestFit="1" customWidth="1"/>
    <col min="5" max="5" width="9.140625" style="2"/>
    <col min="6" max="6" width="6.7109375" style="2" bestFit="1" customWidth="1"/>
    <col min="7" max="7" width="5.140625" style="2" customWidth="1"/>
    <col min="8" max="8" width="7.85546875" style="2" customWidth="1"/>
    <col min="9" max="16384" width="9.140625" style="2"/>
  </cols>
  <sheetData>
    <row r="1" spans="1:7" x14ac:dyDescent="0.2">
      <c r="A1" s="1" t="str">
        <f>UPPER((Kalend!E41)&amp;" - "&amp;(Kalend!C41)&amp;" - "&amp;(Kalend!D41))</f>
        <v>12 - K-JÄRVE 18. MV - DUO</v>
      </c>
      <c r="E1" s="113" t="str">
        <f>HYPERLINK("#Kalend!I1","Kalender")</f>
        <v>Kalender</v>
      </c>
      <c r="G1" s="113" t="str">
        <f>HYPERLINK("#Reit!K1","Reiting")</f>
        <v>Reiting</v>
      </c>
    </row>
    <row r="2" spans="1:7" x14ac:dyDescent="0.2">
      <c r="A2" s="2" t="str">
        <f>"Toimumisaeg: "&amp;(Kalend!A41)&amp;" kell "&amp;(Kalend!B41)</f>
        <v>Toimumisaeg: P, 17.09.2017 kell 11:00</v>
      </c>
    </row>
    <row r="3" spans="1:7" x14ac:dyDescent="0.2">
      <c r="A3" s="2" t="str">
        <f>"Toimumiskoht: "&amp;(Kalend!F41)</f>
        <v>Toimumiskoht: K-Järve spordihoone</v>
      </c>
    </row>
    <row r="4" spans="1:7" x14ac:dyDescent="0.2">
      <c r="A4" s="2" t="str">
        <f>"Korraldaja: "&amp;(Kalend!G41)</f>
        <v>Korraldaja: K-Järve SHK, Ivar Viljaste</v>
      </c>
    </row>
    <row r="6" spans="1:7" x14ac:dyDescent="0.2">
      <c r="A6" s="476" t="s">
        <v>255</v>
      </c>
      <c r="B6" s="477"/>
      <c r="C6" s="478" t="s">
        <v>256</v>
      </c>
      <c r="D6" s="479" t="s">
        <v>257</v>
      </c>
      <c r="E6" s="479" t="s">
        <v>258</v>
      </c>
      <c r="F6" s="478" t="s">
        <v>254</v>
      </c>
      <c r="G6" s="478" t="s">
        <v>145</v>
      </c>
    </row>
    <row r="7" spans="1:7" x14ac:dyDescent="0.2">
      <c r="A7" s="479">
        <v>1</v>
      </c>
      <c r="B7" s="482" t="s">
        <v>363</v>
      </c>
      <c r="C7" s="434">
        <v>13</v>
      </c>
      <c r="D7" s="434">
        <v>13</v>
      </c>
      <c r="E7" s="434"/>
      <c r="F7" s="434"/>
      <c r="G7" s="434" t="str">
        <f>IF(AND(COUNTIF(C7:F7,13)=0,COUNT(C7:F7)=2),"IV",IF(AND(COUNTIF(C7:F7,13)=1,COUNT(C7:F7)=3),"III",IF(AND(COUNTIF(C7:F7,13)=2,COUNT(C7:F7)=3),"II",IF(AND(COUNTIF(C7:F7,13)=2,COUNT(C7:F7)=2),"I"))))</f>
        <v>I</v>
      </c>
    </row>
    <row r="8" spans="1:7" x14ac:dyDescent="0.2">
      <c r="A8" s="479">
        <v>2</v>
      </c>
      <c r="B8" s="480" t="s">
        <v>373</v>
      </c>
      <c r="C8" s="434">
        <v>11</v>
      </c>
      <c r="D8" s="434"/>
      <c r="E8" s="434">
        <v>7</v>
      </c>
      <c r="F8" s="434"/>
      <c r="G8" s="434" t="str">
        <f>IF(AND(COUNTIF(C8:F8,13)=0,COUNT(C8:F8)=2),"IV",IF(AND(COUNTIF(C8:F8,13)=1,COUNT(C8:F8)=3),"III",IF(AND(COUNTIF(C8:F8,13)=2,COUNT(C8:F8)=3),"II",IF(AND(COUNTIF(C8:F8,13)=2,COUNT(C8:F8)=2),"I"))))</f>
        <v>IV</v>
      </c>
    </row>
    <row r="9" spans="1:7" x14ac:dyDescent="0.2">
      <c r="A9" s="479">
        <v>3</v>
      </c>
      <c r="B9" s="480" t="s">
        <v>634</v>
      </c>
      <c r="C9" s="434">
        <v>13</v>
      </c>
      <c r="D9" s="434">
        <v>5</v>
      </c>
      <c r="E9" s="434"/>
      <c r="F9" s="434">
        <v>13</v>
      </c>
      <c r="G9" s="434" t="str">
        <f>IF(AND(COUNTIF(C9:F9,13)=0,COUNT(C9:F9)=2),"IV",IF(AND(COUNTIF(C9:F9,13)=1,COUNT(C9:F9)=3),"III",IF(AND(COUNTIF(C9:F9,13)=2,COUNT(C9:F9)=3),"II",IF(AND(COUNTIF(C9:F9,13)=2,COUNT(C9:F9)=2),"I"))))</f>
        <v>II</v>
      </c>
    </row>
    <row r="10" spans="1:7" x14ac:dyDescent="0.2">
      <c r="A10" s="479">
        <v>4</v>
      </c>
      <c r="B10" s="481" t="s">
        <v>635</v>
      </c>
      <c r="C10" s="434">
        <v>4</v>
      </c>
      <c r="D10" s="434"/>
      <c r="E10" s="434">
        <v>13</v>
      </c>
      <c r="F10" s="434">
        <v>5</v>
      </c>
      <c r="G10" s="434" t="str">
        <f>IF(AND(COUNTIF(C10:F10,13)=0,COUNT(C10:F10)=2),"IV",IF(AND(COUNTIF(C10:F10,13)=1,COUNT(C10:F10)=3),"III",IF(AND(COUNTIF(C10:F10,13)=2,COUNT(C10:F10)=3),"II",IF(AND(COUNTIF(C10:F10,13)=2,COUNT(C10:F10)=2),"I"))))</f>
        <v>III</v>
      </c>
    </row>
    <row r="12" spans="1:7" x14ac:dyDescent="0.2">
      <c r="A12" s="476" t="s">
        <v>318</v>
      </c>
      <c r="B12" s="477"/>
      <c r="C12" s="478" t="s">
        <v>256</v>
      </c>
      <c r="D12" s="479" t="s">
        <v>257</v>
      </c>
      <c r="E12" s="479" t="s">
        <v>258</v>
      </c>
      <c r="F12" s="478" t="s">
        <v>254</v>
      </c>
      <c r="G12" s="478" t="s">
        <v>145</v>
      </c>
    </row>
    <row r="13" spans="1:7" x14ac:dyDescent="0.2">
      <c r="A13" s="479">
        <v>1</v>
      </c>
      <c r="B13" s="482" t="s">
        <v>636</v>
      </c>
      <c r="C13" s="434">
        <v>13</v>
      </c>
      <c r="D13" s="434">
        <v>13</v>
      </c>
      <c r="E13" s="434"/>
      <c r="F13" s="434"/>
      <c r="G13" s="434" t="str">
        <f>IF(AND(COUNTIF(C13:F13,13)=0,COUNT(C13:F13)=2),"IV",IF(AND(COUNTIF(C13:F13,13)=1,COUNT(C13:F13)=3),"III",IF(AND(COUNTIF(C13:F13,13)=2,COUNT(C13:F13)=3),"II",IF(AND(COUNTIF(C13:F13,13)=2,COUNT(C13:F13)=2),"I"))))</f>
        <v>I</v>
      </c>
    </row>
    <row r="14" spans="1:7" x14ac:dyDescent="0.2">
      <c r="A14" s="479">
        <v>2</v>
      </c>
      <c r="B14" s="480" t="s">
        <v>366</v>
      </c>
      <c r="C14" s="434">
        <v>2</v>
      </c>
      <c r="D14" s="434"/>
      <c r="E14" s="434">
        <v>13</v>
      </c>
      <c r="F14" s="434">
        <v>10</v>
      </c>
      <c r="G14" s="434" t="str">
        <f>IF(AND(COUNTIF(C14:F14,13)=0,COUNT(C14:F14)=2),"IV",IF(AND(COUNTIF(C14:F14,13)=1,COUNT(C14:F14)=3),"III",IF(AND(COUNTIF(C14:F14,13)=2,COUNT(C14:F14)=3),"II",IF(AND(COUNTIF(C14:F14,13)=2,COUNT(C14:F14)=2),"I"))))</f>
        <v>III</v>
      </c>
    </row>
    <row r="15" spans="1:7" x14ac:dyDescent="0.2">
      <c r="A15" s="479">
        <v>3</v>
      </c>
      <c r="B15" s="480" t="s">
        <v>339</v>
      </c>
      <c r="C15" s="434">
        <v>13</v>
      </c>
      <c r="D15" s="434">
        <v>7</v>
      </c>
      <c r="E15" s="434"/>
      <c r="F15" s="434">
        <v>13</v>
      </c>
      <c r="G15" s="434" t="str">
        <f>IF(AND(COUNTIF(C15:F15,13)=0,COUNT(C15:F15)=2),"IV",IF(AND(COUNTIF(C15:F15,13)=1,COUNT(C15:F15)=3),"III",IF(AND(COUNTIF(C15:F15,13)=2,COUNT(C15:F15)=3),"II",IF(AND(COUNTIF(C15:F15,13)=2,COUNT(C15:F15)=2),"I"))))</f>
        <v>II</v>
      </c>
    </row>
    <row r="16" spans="1:7" x14ac:dyDescent="0.2">
      <c r="A16" s="479">
        <v>4</v>
      </c>
      <c r="B16" s="481"/>
      <c r="C16" s="434">
        <v>0</v>
      </c>
      <c r="D16" s="434"/>
      <c r="E16" s="434">
        <f>IF(ISBLANK(B16),0)</f>
        <v>0</v>
      </c>
      <c r="F16" s="434"/>
      <c r="G16" s="434"/>
    </row>
    <row r="17" spans="1:8" x14ac:dyDescent="0.2">
      <c r="A17" s="484"/>
      <c r="B17" s="485"/>
      <c r="C17" s="486"/>
      <c r="D17" s="486"/>
      <c r="E17" s="486"/>
      <c r="F17" s="486"/>
      <c r="G17" s="486"/>
    </row>
    <row r="18" spans="1:8" x14ac:dyDescent="0.2">
      <c r="A18" s="938" t="s">
        <v>410</v>
      </c>
      <c r="B18" s="485"/>
      <c r="C18" s="486"/>
      <c r="D18" s="486"/>
      <c r="E18" s="486"/>
      <c r="F18" s="486"/>
      <c r="G18" s="486"/>
    </row>
    <row r="19" spans="1:8" x14ac:dyDescent="0.2">
      <c r="A19" s="484"/>
      <c r="B19" s="485"/>
      <c r="C19" s="486"/>
      <c r="D19" s="486"/>
      <c r="E19" s="486"/>
      <c r="F19" s="486"/>
      <c r="G19" s="486"/>
    </row>
    <row r="20" spans="1:8" x14ac:dyDescent="0.2">
      <c r="A20" s="548" t="s">
        <v>290</v>
      </c>
      <c r="B20" s="532" t="s">
        <v>363</v>
      </c>
      <c r="C20" s="514">
        <v>13</v>
      </c>
      <c r="D20" s="436"/>
      <c r="E20" s="436"/>
      <c r="F20" s="436"/>
      <c r="G20" s="436"/>
      <c r="H20" s="436"/>
    </row>
    <row r="21" spans="1:8" x14ac:dyDescent="0.2">
      <c r="A21" s="549"/>
      <c r="B21" s="515"/>
      <c r="C21" s="550" t="s">
        <v>363</v>
      </c>
      <c r="D21" s="518"/>
      <c r="E21" s="436"/>
      <c r="F21" s="514">
        <v>2</v>
      </c>
      <c r="G21" s="436"/>
      <c r="H21" s="436"/>
    </row>
    <row r="22" spans="1:8" x14ac:dyDescent="0.2">
      <c r="A22" s="549" t="s">
        <v>283</v>
      </c>
      <c r="B22" s="518" t="s">
        <v>339</v>
      </c>
      <c r="C22" s="551">
        <v>10</v>
      </c>
      <c r="D22" s="436"/>
      <c r="E22" s="516"/>
      <c r="F22" s="436"/>
      <c r="G22" s="436"/>
      <c r="H22" s="436"/>
    </row>
    <row r="23" spans="1:8" ht="13.5" thickBot="1" x14ac:dyDescent="0.25">
      <c r="A23" s="549"/>
      <c r="B23" s="436"/>
      <c r="C23" s="436"/>
      <c r="D23" s="513"/>
      <c r="E23" s="521"/>
      <c r="F23" s="436"/>
      <c r="G23" s="532" t="s">
        <v>636</v>
      </c>
      <c r="H23" s="436"/>
    </row>
    <row r="24" spans="1:8" x14ac:dyDescent="0.2">
      <c r="A24" s="549" t="s">
        <v>286</v>
      </c>
      <c r="B24" s="436" t="s">
        <v>636</v>
      </c>
      <c r="C24" s="525">
        <v>13</v>
      </c>
      <c r="D24" s="436"/>
      <c r="E24" s="521"/>
      <c r="F24" s="552"/>
      <c r="G24" s="523" t="s">
        <v>287</v>
      </c>
      <c r="H24" s="522"/>
    </row>
    <row r="25" spans="1:8" x14ac:dyDescent="0.2">
      <c r="A25" s="549"/>
      <c r="B25" s="515"/>
      <c r="C25" s="517" t="s">
        <v>636</v>
      </c>
      <c r="D25" s="436"/>
      <c r="E25" s="519"/>
      <c r="F25" s="525">
        <v>13</v>
      </c>
      <c r="G25" s="436"/>
      <c r="H25" s="436"/>
    </row>
    <row r="26" spans="1:8" ht="13.5" thickBot="1" x14ac:dyDescent="0.25">
      <c r="A26" s="549" t="s">
        <v>285</v>
      </c>
      <c r="B26" s="518" t="s">
        <v>634</v>
      </c>
      <c r="C26" s="520">
        <v>6</v>
      </c>
      <c r="D26" s="515"/>
      <c r="E26" s="436"/>
      <c r="F26" s="513"/>
      <c r="G26" s="592" t="s">
        <v>363</v>
      </c>
      <c r="H26" s="524"/>
    </row>
    <row r="27" spans="1:8" x14ac:dyDescent="0.2">
      <c r="A27" s="527"/>
      <c r="B27" s="436"/>
      <c r="C27" s="436"/>
      <c r="D27" s="436"/>
      <c r="E27" s="436"/>
      <c r="F27" s="513"/>
      <c r="G27" s="523" t="s">
        <v>289</v>
      </c>
      <c r="H27" s="513"/>
    </row>
    <row r="28" spans="1:8" x14ac:dyDescent="0.2">
      <c r="A28" s="527"/>
      <c r="B28" s="436"/>
      <c r="C28" s="436" t="s">
        <v>339</v>
      </c>
      <c r="D28" s="436"/>
      <c r="E28" s="436"/>
      <c r="F28" s="525">
        <v>2</v>
      </c>
      <c r="G28" s="513"/>
      <c r="H28" s="513"/>
    </row>
    <row r="29" spans="1:8" ht="13.5" thickBot="1" x14ac:dyDescent="0.25">
      <c r="A29" s="527"/>
      <c r="B29" s="436"/>
      <c r="C29" s="515"/>
      <c r="D29" s="515"/>
      <c r="E29" s="516"/>
      <c r="F29" s="524"/>
      <c r="G29" s="534" t="s">
        <v>634</v>
      </c>
      <c r="H29" s="524"/>
    </row>
    <row r="30" spans="1:8" x14ac:dyDescent="0.2">
      <c r="A30" s="527"/>
      <c r="B30" s="436"/>
      <c r="C30" s="518" t="s">
        <v>634</v>
      </c>
      <c r="D30" s="518"/>
      <c r="E30" s="519"/>
      <c r="F30" s="514">
        <v>13</v>
      </c>
      <c r="G30" s="526" t="s">
        <v>292</v>
      </c>
      <c r="H30" s="513"/>
    </row>
    <row r="31" spans="1:8" x14ac:dyDescent="0.2">
      <c r="A31" s="527"/>
      <c r="B31" s="436"/>
      <c r="C31" s="436"/>
      <c r="D31" s="436"/>
      <c r="E31" s="436"/>
      <c r="F31" s="436"/>
      <c r="G31" s="513"/>
      <c r="H31" s="513"/>
    </row>
    <row r="32" spans="1:8" ht="13.5" thickBot="1" x14ac:dyDescent="0.25">
      <c r="A32" s="527"/>
      <c r="B32" s="436"/>
      <c r="C32" s="436"/>
      <c r="D32" s="513"/>
      <c r="E32" s="513"/>
      <c r="F32" s="436"/>
      <c r="G32" s="534" t="s">
        <v>339</v>
      </c>
      <c r="H32" s="524"/>
    </row>
    <row r="33" spans="1:8" x14ac:dyDescent="0.2">
      <c r="A33" s="527"/>
      <c r="B33" s="436"/>
      <c r="C33" s="436"/>
      <c r="D33" s="513"/>
      <c r="E33" s="513"/>
      <c r="F33" s="436"/>
      <c r="G33" s="527" t="s">
        <v>293</v>
      </c>
      <c r="H33" s="436"/>
    </row>
    <row r="34" spans="1:8" x14ac:dyDescent="0.2">
      <c r="A34" s="527"/>
      <c r="B34" s="436"/>
      <c r="C34" s="436"/>
      <c r="D34" s="513"/>
      <c r="E34" s="513"/>
      <c r="F34" s="436"/>
      <c r="G34" s="527"/>
      <c r="H34" s="436"/>
    </row>
    <row r="35" spans="1:8" x14ac:dyDescent="0.2">
      <c r="A35" s="641" t="s">
        <v>633</v>
      </c>
      <c r="B35" s="436"/>
      <c r="C35" s="436"/>
      <c r="D35" s="513"/>
      <c r="E35" s="513"/>
      <c r="F35" s="436"/>
      <c r="G35" s="527"/>
      <c r="H35" s="436"/>
    </row>
    <row r="36" spans="1:8" x14ac:dyDescent="0.2">
      <c r="A36" s="526"/>
      <c r="B36" s="513"/>
      <c r="C36" s="445"/>
      <c r="D36" s="442"/>
      <c r="E36" s="442"/>
      <c r="F36" s="486"/>
      <c r="G36" s="442"/>
      <c r="H36" s="445"/>
    </row>
    <row r="37" spans="1:8" x14ac:dyDescent="0.2">
      <c r="A37" s="553" t="s">
        <v>305</v>
      </c>
      <c r="B37" s="554" t="s">
        <v>635</v>
      </c>
      <c r="C37" s="555">
        <v>13</v>
      </c>
      <c r="D37" s="554"/>
      <c r="E37" s="554"/>
      <c r="F37" s="554"/>
      <c r="G37" s="554"/>
      <c r="H37" s="554"/>
    </row>
    <row r="38" spans="1:8" x14ac:dyDescent="0.2">
      <c r="A38" s="556"/>
      <c r="B38" s="557"/>
      <c r="C38" s="558" t="s">
        <v>635</v>
      </c>
      <c r="D38" s="559"/>
      <c r="E38" s="559"/>
      <c r="F38" s="555">
        <v>6</v>
      </c>
      <c r="G38" s="554"/>
      <c r="H38" s="554"/>
    </row>
    <row r="39" spans="1:8" x14ac:dyDescent="0.2">
      <c r="A39" s="556"/>
      <c r="B39" s="559" t="s">
        <v>306</v>
      </c>
      <c r="C39" s="560">
        <v>0</v>
      </c>
      <c r="D39" s="554"/>
      <c r="E39" s="561"/>
      <c r="F39" s="554"/>
      <c r="G39" s="554"/>
      <c r="H39" s="554"/>
    </row>
    <row r="40" spans="1:8" ht="13.5" thickBot="1" x14ac:dyDescent="0.25">
      <c r="A40" s="556"/>
      <c r="B40" s="554"/>
      <c r="C40" s="562"/>
      <c r="D40" s="554"/>
      <c r="E40" s="561"/>
      <c r="F40" s="554"/>
      <c r="G40" s="554" t="s">
        <v>366</v>
      </c>
      <c r="H40" s="554"/>
    </row>
    <row r="41" spans="1:8" x14ac:dyDescent="0.2">
      <c r="A41" s="556" t="s">
        <v>302</v>
      </c>
      <c r="B41" s="554" t="s">
        <v>366</v>
      </c>
      <c r="C41" s="563">
        <v>13</v>
      </c>
      <c r="D41" s="554"/>
      <c r="E41" s="561"/>
      <c r="F41" s="564"/>
      <c r="G41" s="565" t="s">
        <v>294</v>
      </c>
      <c r="H41" s="566"/>
    </row>
    <row r="42" spans="1:8" x14ac:dyDescent="0.2">
      <c r="A42" s="556"/>
      <c r="B42" s="557"/>
      <c r="C42" s="567" t="s">
        <v>366</v>
      </c>
      <c r="D42" s="554"/>
      <c r="E42" s="568"/>
      <c r="F42" s="563">
        <v>13</v>
      </c>
      <c r="G42" s="554"/>
      <c r="H42" s="554"/>
    </row>
    <row r="43" spans="1:8" ht="13.5" thickBot="1" x14ac:dyDescent="0.25">
      <c r="A43" s="556" t="s">
        <v>315</v>
      </c>
      <c r="B43" s="559" t="s">
        <v>373</v>
      </c>
      <c r="C43" s="569">
        <v>12</v>
      </c>
      <c r="D43" s="557"/>
      <c r="E43" s="554"/>
      <c r="F43" s="562"/>
      <c r="G43" s="562" t="s">
        <v>635</v>
      </c>
      <c r="H43" s="570"/>
    </row>
    <row r="44" spans="1:8" x14ac:dyDescent="0.2">
      <c r="A44" s="554"/>
      <c r="B44" s="554"/>
      <c r="C44" s="554"/>
      <c r="D44" s="554"/>
      <c r="E44" s="554"/>
      <c r="F44" s="562"/>
      <c r="G44" s="565" t="s">
        <v>295</v>
      </c>
      <c r="H44" s="562"/>
    </row>
    <row r="45" spans="1:8" x14ac:dyDescent="0.2">
      <c r="A45" s="554"/>
      <c r="B45" s="554"/>
      <c r="C45" s="554" t="s">
        <v>373</v>
      </c>
      <c r="D45" s="554"/>
      <c r="E45" s="554"/>
      <c r="F45" s="563">
        <v>13</v>
      </c>
      <c r="G45" s="562"/>
      <c r="H45" s="562"/>
    </row>
    <row r="46" spans="1:8" ht="13.5" thickBot="1" x14ac:dyDescent="0.25">
      <c r="A46" s="554"/>
      <c r="B46" s="554"/>
      <c r="C46" s="557"/>
      <c r="D46" s="557"/>
      <c r="E46" s="571"/>
      <c r="F46" s="570"/>
      <c r="G46" s="570" t="s">
        <v>373</v>
      </c>
      <c r="H46" s="570"/>
    </row>
    <row r="47" spans="1:8" x14ac:dyDescent="0.2">
      <c r="A47" s="554"/>
      <c r="B47" s="554"/>
      <c r="C47" s="559" t="s">
        <v>306</v>
      </c>
      <c r="D47" s="559"/>
      <c r="E47" s="568"/>
      <c r="F47" s="555">
        <v>0</v>
      </c>
      <c r="G47" s="572" t="s">
        <v>296</v>
      </c>
      <c r="H47" s="562"/>
    </row>
    <row r="49" spans="1:2" x14ac:dyDescent="0.2">
      <c r="A49" s="223">
        <v>1</v>
      </c>
      <c r="B49" s="224" t="s">
        <v>636</v>
      </c>
    </row>
    <row r="50" spans="1:2" x14ac:dyDescent="0.2">
      <c r="A50" s="223">
        <v>2</v>
      </c>
      <c r="B50" s="227" t="s">
        <v>363</v>
      </c>
    </row>
    <row r="51" spans="1:2" x14ac:dyDescent="0.2">
      <c r="A51" s="223">
        <v>3</v>
      </c>
      <c r="B51" s="229" t="s">
        <v>634</v>
      </c>
    </row>
    <row r="52" spans="1:2" x14ac:dyDescent="0.2">
      <c r="A52" s="223">
        <v>4</v>
      </c>
      <c r="B52" s="231" t="s">
        <v>339</v>
      </c>
    </row>
    <row r="53" spans="1:2" x14ac:dyDescent="0.2">
      <c r="A53" s="223">
        <v>5</v>
      </c>
      <c r="B53" s="231" t="s">
        <v>366</v>
      </c>
    </row>
    <row r="54" spans="1:2" x14ac:dyDescent="0.2">
      <c r="A54" s="223">
        <v>6</v>
      </c>
      <c r="B54" s="231" t="s">
        <v>635</v>
      </c>
    </row>
    <row r="55" spans="1:2" x14ac:dyDescent="0.2">
      <c r="A55" s="223">
        <v>7</v>
      </c>
      <c r="B55" s="231" t="s">
        <v>373</v>
      </c>
    </row>
  </sheetData>
  <conditionalFormatting sqref="C7:F9 D10 F10">
    <cfRule type="cellIs" dxfId="589" priority="19" operator="equal">
      <formula>13</formula>
    </cfRule>
  </conditionalFormatting>
  <conditionalFormatting sqref="G7:G10">
    <cfRule type="duplicateValues" dxfId="588" priority="17"/>
    <cfRule type="cellIs" dxfId="587" priority="18" operator="equal">
      <formula>13</formula>
    </cfRule>
  </conditionalFormatting>
  <conditionalFormatting sqref="C7:F9 D10 F10">
    <cfRule type="cellIs" dxfId="586" priority="16" operator="greaterThan">
      <formula>13</formula>
    </cfRule>
  </conditionalFormatting>
  <conditionalFormatting sqref="B7:B10">
    <cfRule type="duplicateValues" dxfId="585" priority="15"/>
  </conditionalFormatting>
  <conditionalFormatting sqref="C10">
    <cfRule type="cellIs" dxfId="584" priority="14" operator="equal">
      <formula>13</formula>
    </cfRule>
  </conditionalFormatting>
  <conditionalFormatting sqref="C10">
    <cfRule type="cellIs" dxfId="583" priority="13" operator="greaterThan">
      <formula>13</formula>
    </cfRule>
  </conditionalFormatting>
  <conditionalFormatting sqref="E10">
    <cfRule type="cellIs" dxfId="582" priority="12" operator="equal">
      <formula>13</formula>
    </cfRule>
  </conditionalFormatting>
  <conditionalFormatting sqref="E10">
    <cfRule type="cellIs" dxfId="581" priority="11" operator="greaterThan">
      <formula>13</formula>
    </cfRule>
  </conditionalFormatting>
  <conditionalFormatting sqref="C13:F15 D16:D19 F16:F19">
    <cfRule type="cellIs" dxfId="580" priority="10" operator="equal">
      <formula>13</formula>
    </cfRule>
  </conditionalFormatting>
  <conditionalFormatting sqref="C13:F15 D16:D19 F16:F19">
    <cfRule type="cellIs" dxfId="579" priority="7" operator="greaterThan">
      <formula>13</formula>
    </cfRule>
  </conditionalFormatting>
  <conditionalFormatting sqref="C16:C19">
    <cfRule type="cellIs" dxfId="578" priority="5" operator="equal">
      <formula>13</formula>
    </cfRule>
  </conditionalFormatting>
  <conditionalFormatting sqref="C16:C19">
    <cfRule type="cellIs" dxfId="577" priority="4" operator="greaterThan">
      <formula>13</formula>
    </cfRule>
  </conditionalFormatting>
  <conditionalFormatting sqref="E16:E19">
    <cfRule type="cellIs" dxfId="576" priority="3" operator="equal">
      <formula>13</formula>
    </cfRule>
  </conditionalFormatting>
  <conditionalFormatting sqref="E16:E19">
    <cfRule type="cellIs" dxfId="575" priority="2" operator="greaterThan">
      <formula>13</formula>
    </cfRule>
  </conditionalFormatting>
  <conditionalFormatting sqref="C20:G47">
    <cfRule type="cellIs" dxfId="574" priority="1" operator="equal">
      <formula>13</formula>
    </cfRule>
  </conditionalFormatting>
  <conditionalFormatting sqref="G13:G19">
    <cfRule type="duplicateValues" dxfId="573" priority="310"/>
    <cfRule type="cellIs" dxfId="572" priority="311" operator="equal">
      <formula>13</formula>
    </cfRule>
  </conditionalFormatting>
  <conditionalFormatting sqref="B13:B19">
    <cfRule type="duplicateValues" dxfId="571" priority="312"/>
  </conditionalFormatting>
  <pageMargins left="0.39370078740157483" right="0.39370078740157483" top="0.78740157480314965" bottom="0.39370078740157483" header="0.59055118110236227" footer="0"/>
  <pageSetup paperSize="9" fitToHeight="0" orientation="portrait" r:id="rId1"/>
  <headerFooter>
    <oddHeader>&amp;R&amp;"Arial,Regular"&amp;9Page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89"/>
  <sheetViews>
    <sheetView showGridLines="0" showRowColHeaders="0" zoomScaleNormal="100" workbookViewId="0">
      <pane ySplit="2" topLeftCell="A3" activePane="bottomLeft" state="frozen"/>
      <selection activeCell="I1" sqref="I1"/>
      <selection pane="bottomLeft" activeCell="I1" sqref="I1"/>
    </sheetView>
  </sheetViews>
  <sheetFormatPr defaultRowHeight="12.75" x14ac:dyDescent="0.2"/>
  <cols>
    <col min="1" max="1" width="3.28515625" style="2" customWidth="1"/>
    <col min="2" max="2" width="18.7109375" style="2" bestFit="1" customWidth="1"/>
    <col min="3" max="3" width="7.28515625" style="2" customWidth="1"/>
    <col min="4" max="4" width="7.42578125" style="2" bestFit="1" customWidth="1"/>
    <col min="5" max="6" width="9.140625" style="2"/>
    <col min="7" max="7" width="5.140625" style="2" customWidth="1"/>
    <col min="8" max="8" width="9.140625" style="2"/>
    <col min="9" max="9" width="4.42578125" style="2" customWidth="1"/>
    <col min="10" max="13" width="9.140625" style="2"/>
    <col min="14" max="14" width="5.28515625" style="2" customWidth="1"/>
    <col min="15" max="16384" width="9.140625" style="2"/>
  </cols>
  <sheetData>
    <row r="1" spans="1:7" x14ac:dyDescent="0.2">
      <c r="A1" s="1" t="str">
        <f>UPPER((Kalend!E43)&amp;" - "&amp;(Kalend!C43)&amp;" - "&amp;(Kalend!D43))</f>
        <v>13 - JÕHVI 17. MV - ÜKSIK</v>
      </c>
      <c r="E1" s="113" t="str">
        <f>HYPERLINK("#Kalend!I1","Kalender")</f>
        <v>Kalender</v>
      </c>
      <c r="G1" s="113" t="str">
        <f>HYPERLINK("#Reit!K1","Reiting")</f>
        <v>Reiting</v>
      </c>
    </row>
    <row r="2" spans="1:7" x14ac:dyDescent="0.2">
      <c r="A2" s="2" t="str">
        <f>"Toimumisaeg: "&amp;(Kalend!A43)&amp;" kell "&amp;(Kalend!B43)</f>
        <v>Toimumisaeg: P, 24.09.2017 kell 11:00</v>
      </c>
    </row>
    <row r="3" spans="1:7" x14ac:dyDescent="0.2">
      <c r="A3" s="2" t="str">
        <f>"Toimumiskoht: "&amp;(Kalend!F43)</f>
        <v>Toimumiskoht: Jõhvi, Neptun</v>
      </c>
    </row>
    <row r="4" spans="1:7" x14ac:dyDescent="0.2">
      <c r="A4" s="2" t="str">
        <f>"Korraldaja: "&amp;(Kalend!G43)</f>
        <v>Korraldaja: LTK Üks-Teist, Tõnu Kapper</v>
      </c>
    </row>
    <row r="6" spans="1:7" x14ac:dyDescent="0.2">
      <c r="A6" s="427" t="s">
        <v>255</v>
      </c>
      <c r="B6" s="477"/>
      <c r="C6" s="478" t="s">
        <v>256</v>
      </c>
      <c r="D6" s="479" t="s">
        <v>257</v>
      </c>
      <c r="E6" s="479" t="s">
        <v>258</v>
      </c>
      <c r="F6" s="478" t="s">
        <v>254</v>
      </c>
      <c r="G6" s="478" t="s">
        <v>145</v>
      </c>
    </row>
    <row r="7" spans="1:7" x14ac:dyDescent="0.2">
      <c r="A7" s="430">
        <v>1</v>
      </c>
      <c r="B7" s="482" t="s">
        <v>166</v>
      </c>
      <c r="C7" s="434">
        <v>13</v>
      </c>
      <c r="D7" s="434">
        <v>3</v>
      </c>
      <c r="E7" s="434"/>
      <c r="F7" s="434">
        <v>13</v>
      </c>
      <c r="G7" s="434" t="str">
        <f>IF(AND(COUNTIF(C7:F7,13)=0,COUNT(C7:F7)=2),"IV",IF(AND(COUNTIF(C7:F7,13)=1,COUNT(C7:F7)=3),"III",IF(AND(COUNTIF(C7:F7,13)=2,COUNT(C7:F7)=3),"II",IF(AND(COUNTIF(C7:F7,13)=2,COUNT(C7:F7)=2),"I"))))</f>
        <v>II</v>
      </c>
    </row>
    <row r="8" spans="1:7" x14ac:dyDescent="0.2">
      <c r="A8" s="430">
        <v>2</v>
      </c>
      <c r="B8" s="480" t="s">
        <v>177</v>
      </c>
      <c r="C8" s="434">
        <v>13</v>
      </c>
      <c r="D8" s="434">
        <v>13</v>
      </c>
      <c r="E8" s="434"/>
      <c r="F8" s="434"/>
      <c r="G8" s="434" t="str">
        <f>IF(AND(COUNTIF(C8:F8,13)=0,COUNT(C8:F8)=2),"IV",IF(AND(COUNTIF(C8:F8,13)=1,COUNT(C8:F8)=3),"III",IF(AND(COUNTIF(C8:F8,13)=2,COUNT(C8:F8)=3),"II",IF(AND(COUNTIF(C8:F8,13)=2,COUNT(C8:F8)=2),"I"))))</f>
        <v>I</v>
      </c>
    </row>
    <row r="9" spans="1:7" x14ac:dyDescent="0.2">
      <c r="A9" s="430">
        <v>3</v>
      </c>
      <c r="B9" s="480" t="s">
        <v>183</v>
      </c>
      <c r="C9" s="434">
        <v>6</v>
      </c>
      <c r="D9" s="434"/>
      <c r="E9" s="434">
        <v>13</v>
      </c>
      <c r="F9" s="434">
        <v>11</v>
      </c>
      <c r="G9" s="434" t="str">
        <f>IF(AND(COUNTIF(C9:F9,13)=0,COUNT(C9:F9)=2),"IV",IF(AND(COUNTIF(C9:F9,13)=1,COUNT(C9:F9)=3),"III",IF(AND(COUNTIF(C9:F9,13)=2,COUNT(C9:F9)=3),"II",IF(AND(COUNTIF(C9:F9,13)=2,COUNT(C9:F9)=2),"I"))))</f>
        <v>III</v>
      </c>
    </row>
    <row r="10" spans="1:7" x14ac:dyDescent="0.2">
      <c r="A10" s="430">
        <v>4</v>
      </c>
      <c r="B10" s="481"/>
      <c r="C10" s="434">
        <f>IF(ISBLANK(B10),0)</f>
        <v>0</v>
      </c>
      <c r="D10" s="434"/>
      <c r="E10" s="434">
        <f>IF(ISBLANK(B10),0)</f>
        <v>0</v>
      </c>
      <c r="F10" s="434"/>
      <c r="G10" s="434"/>
    </row>
    <row r="11" spans="1:7" x14ac:dyDescent="0.2">
      <c r="A11" s="443"/>
      <c r="B11" s="485"/>
      <c r="C11" s="486"/>
      <c r="D11" s="486"/>
      <c r="E11" s="486"/>
      <c r="F11" s="486"/>
      <c r="G11" s="486"/>
    </row>
    <row r="12" spans="1:7" x14ac:dyDescent="0.2">
      <c r="A12" s="427" t="s">
        <v>318</v>
      </c>
      <c r="B12" s="477"/>
      <c r="C12" s="478" t="s">
        <v>256</v>
      </c>
      <c r="D12" s="479" t="s">
        <v>257</v>
      </c>
      <c r="E12" s="479" t="s">
        <v>258</v>
      </c>
      <c r="F12" s="478" t="s">
        <v>254</v>
      </c>
      <c r="G12" s="478" t="s">
        <v>145</v>
      </c>
    </row>
    <row r="13" spans="1:7" x14ac:dyDescent="0.2">
      <c r="A13" s="430">
        <v>1</v>
      </c>
      <c r="B13" s="482" t="s">
        <v>155</v>
      </c>
      <c r="C13" s="434">
        <v>13</v>
      </c>
      <c r="D13" s="434">
        <v>13</v>
      </c>
      <c r="E13" s="434"/>
      <c r="F13" s="434"/>
      <c r="G13" s="434" t="str">
        <f>IF(AND(COUNTIF(C13:F13,13)=0,COUNT(C13:F13)=2),"IV",IF(AND(COUNTIF(C13:F13,13)=1,COUNT(C13:F13)=3),"III",IF(AND(COUNTIF(C13:F13,13)=2,COUNT(C13:F13)=3),"II",IF(AND(COUNTIF(C13:F13,13)=2,COUNT(C13:F13)=2),"I"))))</f>
        <v>I</v>
      </c>
    </row>
    <row r="14" spans="1:7" x14ac:dyDescent="0.2">
      <c r="A14" s="430">
        <v>2</v>
      </c>
      <c r="B14" s="480" t="s">
        <v>160</v>
      </c>
      <c r="C14" s="434">
        <v>13</v>
      </c>
      <c r="D14" s="434">
        <v>5</v>
      </c>
      <c r="E14" s="434"/>
      <c r="F14" s="434">
        <v>13</v>
      </c>
      <c r="G14" s="434" t="str">
        <f>IF(AND(COUNTIF(C14:F14,13)=0,COUNT(C14:F14)=2),"IV",IF(AND(COUNTIF(C14:F14,13)=1,COUNT(C14:F14)=3),"III",IF(AND(COUNTIF(C14:F14,13)=2,COUNT(C14:F14)=3),"II",IF(AND(COUNTIF(C14:F14,13)=2,COUNT(C14:F14)=2),"I"))))</f>
        <v>II</v>
      </c>
    </row>
    <row r="15" spans="1:7" x14ac:dyDescent="0.2">
      <c r="A15" s="430">
        <v>3</v>
      </c>
      <c r="B15" s="480" t="s">
        <v>167</v>
      </c>
      <c r="C15" s="434">
        <v>6</v>
      </c>
      <c r="D15" s="434"/>
      <c r="E15" s="434">
        <v>13</v>
      </c>
      <c r="F15" s="434">
        <v>7</v>
      </c>
      <c r="G15" s="434" t="str">
        <f>IF(AND(COUNTIF(C15:F15,13)=0,COUNT(C15:F15)=2),"IV",IF(AND(COUNTIF(C15:F15,13)=1,COUNT(C15:F15)=3),"III",IF(AND(COUNTIF(C15:F15,13)=2,COUNT(C15:F15)=3),"II",IF(AND(COUNTIF(C15:F15,13)=2,COUNT(C15:F15)=2),"I"))))</f>
        <v>III</v>
      </c>
    </row>
    <row r="16" spans="1:7" x14ac:dyDescent="0.2">
      <c r="A16" s="430">
        <v>4</v>
      </c>
      <c r="B16" s="481"/>
      <c r="C16" s="434">
        <f>IF(ISBLANK(B16),0)</f>
        <v>0</v>
      </c>
      <c r="D16" s="434"/>
      <c r="E16" s="434">
        <f>IF(ISBLANK(B16),0)</f>
        <v>0</v>
      </c>
      <c r="F16" s="434"/>
      <c r="G16" s="434"/>
    </row>
    <row r="17" spans="1:7" x14ac:dyDescent="0.2">
      <c r="A17" s="443"/>
      <c r="B17" s="485"/>
      <c r="C17" s="486"/>
      <c r="D17" s="486"/>
      <c r="E17" s="486"/>
      <c r="F17" s="486"/>
      <c r="G17" s="486"/>
    </row>
    <row r="18" spans="1:7" x14ac:dyDescent="0.2">
      <c r="A18" s="427" t="s">
        <v>319</v>
      </c>
      <c r="B18" s="477"/>
      <c r="C18" s="478" t="s">
        <v>256</v>
      </c>
      <c r="D18" s="479" t="s">
        <v>257</v>
      </c>
      <c r="E18" s="479" t="s">
        <v>258</v>
      </c>
      <c r="F18" s="478" t="s">
        <v>254</v>
      </c>
      <c r="G18" s="478" t="s">
        <v>145</v>
      </c>
    </row>
    <row r="19" spans="1:7" x14ac:dyDescent="0.2">
      <c r="A19" s="430">
        <v>1</v>
      </c>
      <c r="B19" s="482" t="s">
        <v>156</v>
      </c>
      <c r="C19" s="434">
        <v>13</v>
      </c>
      <c r="D19" s="434">
        <v>13</v>
      </c>
      <c r="E19" s="434"/>
      <c r="F19" s="434"/>
      <c r="G19" s="434" t="str">
        <f>IF(AND(COUNTIF(C19:F19,13)=0,COUNT(C19:F19)=2),"IV",IF(AND(COUNTIF(C19:F19,13)=1,COUNT(C19:F19)=3),"III",IF(AND(COUNTIF(C19:F19,13)=2,COUNT(C19:F19)=3),"II",IF(AND(COUNTIF(C19:F19,13)=2,COUNT(C19:F19)=2),"I"))))</f>
        <v>I</v>
      </c>
    </row>
    <row r="20" spans="1:7" x14ac:dyDescent="0.2">
      <c r="A20" s="430">
        <v>2</v>
      </c>
      <c r="B20" s="480" t="s">
        <v>159</v>
      </c>
      <c r="C20" s="434">
        <v>12</v>
      </c>
      <c r="D20" s="434"/>
      <c r="E20" s="434">
        <v>13</v>
      </c>
      <c r="F20" s="434">
        <v>13</v>
      </c>
      <c r="G20" s="434" t="str">
        <f>IF(AND(COUNTIF(C20:F20,13)=0,COUNT(C20:F20)=2),"IV",IF(AND(COUNTIF(C20:F20,13)=1,COUNT(C20:F20)=3),"III",IF(AND(COUNTIF(C20:F20,13)=2,COUNT(C20:F20)=3),"II",IF(AND(COUNTIF(C20:F20,13)=2,COUNT(C20:F20)=2),"I"))))</f>
        <v>II</v>
      </c>
    </row>
    <row r="21" spans="1:7" x14ac:dyDescent="0.2">
      <c r="A21" s="430">
        <v>3</v>
      </c>
      <c r="B21" s="480" t="s">
        <v>164</v>
      </c>
      <c r="C21" s="434">
        <v>13</v>
      </c>
      <c r="D21" s="434">
        <v>11</v>
      </c>
      <c r="E21" s="434"/>
      <c r="F21" s="434">
        <v>7</v>
      </c>
      <c r="G21" s="434" t="str">
        <f>IF(AND(COUNTIF(C21:F21,13)=0,COUNT(C21:F21)=2),"IV",IF(AND(COUNTIF(C21:F21,13)=1,COUNT(C21:F21)=3),"III",IF(AND(COUNTIF(C21:F21,13)=2,COUNT(C21:F21)=3),"II",IF(AND(COUNTIF(C21:F21,13)=2,COUNT(C21:F21)=2),"I"))))</f>
        <v>III</v>
      </c>
    </row>
    <row r="22" spans="1:7" x14ac:dyDescent="0.2">
      <c r="A22" s="430">
        <v>4</v>
      </c>
      <c r="B22" s="481" t="s">
        <v>626</v>
      </c>
      <c r="C22" s="434">
        <v>4</v>
      </c>
      <c r="D22" s="434"/>
      <c r="E22" s="434">
        <v>11</v>
      </c>
      <c r="F22" s="434"/>
      <c r="G22" s="434" t="str">
        <f>IF(AND(COUNTIF(C22:F22,13)=0,COUNT(C22:F22)=2),"IV",IF(AND(COUNTIF(C22:F22,13)=1,COUNT(C22:F22)=3),"III",IF(AND(COUNTIF(C22:F22,13)=2,COUNT(C22:F22)=3),"II",IF(AND(COUNTIF(C22:F22,13)=2,COUNT(C22:F22)=2),"I"))))</f>
        <v>IV</v>
      </c>
    </row>
    <row r="23" spans="1:7" x14ac:dyDescent="0.2">
      <c r="A23" s="443"/>
      <c r="B23" s="485"/>
      <c r="C23" s="486"/>
      <c r="D23" s="486"/>
      <c r="E23" s="486"/>
      <c r="F23" s="486"/>
      <c r="G23" s="486"/>
    </row>
    <row r="24" spans="1:7" x14ac:dyDescent="0.2">
      <c r="A24" s="427" t="s">
        <v>417</v>
      </c>
      <c r="B24" s="477"/>
      <c r="C24" s="478" t="s">
        <v>256</v>
      </c>
      <c r="D24" s="479" t="s">
        <v>257</v>
      </c>
      <c r="E24" s="479" t="s">
        <v>258</v>
      </c>
      <c r="F24" s="478" t="s">
        <v>254</v>
      </c>
      <c r="G24" s="478" t="s">
        <v>145</v>
      </c>
    </row>
    <row r="25" spans="1:7" x14ac:dyDescent="0.2">
      <c r="A25" s="430">
        <v>1</v>
      </c>
      <c r="B25" s="482" t="s">
        <v>161</v>
      </c>
      <c r="C25" s="434">
        <v>13</v>
      </c>
      <c r="D25" s="434">
        <v>12</v>
      </c>
      <c r="E25" s="434"/>
      <c r="F25" s="434">
        <v>13</v>
      </c>
      <c r="G25" s="434" t="str">
        <f>IF(AND(COUNTIF(C25:F25,13)=0,COUNT(C25:F25)=2),"IV",IF(AND(COUNTIF(C25:F25,13)=1,COUNT(C25:F25)=3),"III",IF(AND(COUNTIF(C25:F25,13)=2,COUNT(C25:F25)=3),"II",IF(AND(COUNTIF(C25:F25,13)=2,COUNT(C25:F25)=2),"I"))))</f>
        <v>II</v>
      </c>
    </row>
    <row r="26" spans="1:7" x14ac:dyDescent="0.2">
      <c r="A26" s="430">
        <v>2</v>
      </c>
      <c r="B26" s="480" t="s">
        <v>175</v>
      </c>
      <c r="C26" s="434">
        <v>13</v>
      </c>
      <c r="D26" s="434">
        <v>13</v>
      </c>
      <c r="E26" s="434"/>
      <c r="F26" s="434"/>
      <c r="G26" s="434" t="str">
        <f>IF(AND(COUNTIF(C26:F26,13)=0,COUNT(C26:F26)=2),"IV",IF(AND(COUNTIF(C26:F26,13)=1,COUNT(C26:F26)=3),"III",IF(AND(COUNTIF(C26:F26,13)=2,COUNT(C26:F26)=3),"II",IF(AND(COUNTIF(C26:F26,13)=2,COUNT(C26:F26)=2),"I"))))</f>
        <v>I</v>
      </c>
    </row>
    <row r="27" spans="1:7" x14ac:dyDescent="0.2">
      <c r="A27" s="430">
        <v>3</v>
      </c>
      <c r="B27" s="480" t="s">
        <v>174</v>
      </c>
      <c r="C27" s="434">
        <v>7</v>
      </c>
      <c r="D27" s="434"/>
      <c r="E27" s="434">
        <v>13</v>
      </c>
      <c r="F27" s="434">
        <v>6</v>
      </c>
      <c r="G27" s="434" t="str">
        <f>IF(AND(COUNTIF(C27:F27,13)=0,COUNT(C27:F27)=2),"IV",IF(AND(COUNTIF(C27:F27,13)=1,COUNT(C27:F27)=3),"III",IF(AND(COUNTIF(C27:F27,13)=2,COUNT(C27:F27)=3),"II",IF(AND(COUNTIF(C27:F27,13)=2,COUNT(C27:F27)=2),"I"))))</f>
        <v>III</v>
      </c>
    </row>
    <row r="28" spans="1:7" x14ac:dyDescent="0.2">
      <c r="A28" s="430">
        <v>4</v>
      </c>
      <c r="B28" s="481"/>
      <c r="C28" s="434">
        <f>IF(ISBLANK(B28),0)</f>
        <v>0</v>
      </c>
      <c r="D28" s="434"/>
      <c r="E28" s="434">
        <f>IF(ISBLANK(B28),0)</f>
        <v>0</v>
      </c>
      <c r="F28" s="434"/>
      <c r="G28" s="434"/>
    </row>
    <row r="29" spans="1:7" x14ac:dyDescent="0.2">
      <c r="A29" s="443"/>
      <c r="B29" s="485"/>
      <c r="C29" s="486"/>
      <c r="D29" s="486"/>
      <c r="E29" s="486"/>
      <c r="F29" s="486"/>
      <c r="G29" s="486"/>
    </row>
    <row r="30" spans="1:7" x14ac:dyDescent="0.2">
      <c r="A30" s="427" t="s">
        <v>418</v>
      </c>
      <c r="B30" s="477"/>
      <c r="C30" s="478" t="s">
        <v>256</v>
      </c>
      <c r="D30" s="479" t="s">
        <v>257</v>
      </c>
      <c r="E30" s="479" t="s">
        <v>258</v>
      </c>
      <c r="F30" s="478" t="s">
        <v>254</v>
      </c>
      <c r="G30" s="478" t="s">
        <v>145</v>
      </c>
    </row>
    <row r="31" spans="1:7" x14ac:dyDescent="0.2">
      <c r="A31" s="430">
        <v>1</v>
      </c>
      <c r="B31" s="482" t="s">
        <v>162</v>
      </c>
      <c r="C31" s="434">
        <v>13</v>
      </c>
      <c r="D31" s="434">
        <v>13</v>
      </c>
      <c r="E31" s="434"/>
      <c r="F31" s="434"/>
      <c r="G31" s="434" t="str">
        <f>IF(AND(COUNTIF(C31:F31,13)=0,COUNT(C31:F31)=2),"IV",IF(AND(COUNTIF(C31:F31,13)=1,COUNT(C31:F31)=3),"III",IF(AND(COUNTIF(C31:F31,13)=2,COUNT(C31:F31)=3),"II",IF(AND(COUNTIF(C31:F31,13)=2,COUNT(C31:F31)=2),"I"))))</f>
        <v>I</v>
      </c>
    </row>
    <row r="32" spans="1:7" x14ac:dyDescent="0.2">
      <c r="A32" s="430">
        <v>2</v>
      </c>
      <c r="B32" s="480" t="s">
        <v>157</v>
      </c>
      <c r="C32" s="434">
        <v>13</v>
      </c>
      <c r="D32" s="434">
        <v>9</v>
      </c>
      <c r="E32" s="434"/>
      <c r="F32" s="434">
        <v>13</v>
      </c>
      <c r="G32" s="434" t="str">
        <f>IF(AND(COUNTIF(C32:F32,13)=0,COUNT(C32:F32)=2),"IV",IF(AND(COUNTIF(C32:F32,13)=1,COUNT(C32:F32)=3),"III",IF(AND(COUNTIF(C32:F32,13)=2,COUNT(C32:F32)=3),"II",IF(AND(COUNTIF(C32:F32,13)=2,COUNT(C32:F32)=2),"I"))))</f>
        <v>II</v>
      </c>
    </row>
    <row r="33" spans="1:10" x14ac:dyDescent="0.2">
      <c r="A33" s="430">
        <v>3</v>
      </c>
      <c r="B33" s="480" t="s">
        <v>170</v>
      </c>
      <c r="C33" s="434">
        <v>11</v>
      </c>
      <c r="D33" s="434"/>
      <c r="E33" s="434">
        <v>13</v>
      </c>
      <c r="F33" s="434">
        <v>6</v>
      </c>
      <c r="G33" s="434" t="str">
        <f>IF(AND(COUNTIF(C33:F33,13)=0,COUNT(C33:F33)=2),"IV",IF(AND(COUNTIF(C33:F33,13)=1,COUNT(C33:F33)=3),"III",IF(AND(COUNTIF(C33:F33,13)=2,COUNT(C33:F33)=3),"II",IF(AND(COUNTIF(C33:F33,13)=2,COUNT(C33:F33)=2),"I"))))</f>
        <v>III</v>
      </c>
    </row>
    <row r="34" spans="1:10" x14ac:dyDescent="0.2">
      <c r="A34" s="430">
        <v>4</v>
      </c>
      <c r="B34" s="481" t="s">
        <v>313</v>
      </c>
      <c r="C34" s="434">
        <v>8</v>
      </c>
      <c r="D34" s="434"/>
      <c r="E34" s="434">
        <v>8</v>
      </c>
      <c r="F34" s="434"/>
      <c r="G34" s="434" t="str">
        <f>IF(AND(COUNTIF(C34:F34,13)=0,COUNT(C34:F34)=2),"IV",IF(AND(COUNTIF(C34:F34,13)=1,COUNT(C34:F34)=3),"III",IF(AND(COUNTIF(C34:F34,13)=2,COUNT(C34:F34)=3),"II",IF(AND(COUNTIF(C34:F34,13)=2,COUNT(C34:F34)=2),"I"))))</f>
        <v>IV</v>
      </c>
    </row>
    <row r="35" spans="1:10" x14ac:dyDescent="0.2">
      <c r="A35" s="443"/>
      <c r="B35" s="485"/>
      <c r="C35" s="486"/>
      <c r="D35" s="486"/>
      <c r="E35" s="486"/>
      <c r="F35" s="486"/>
      <c r="G35" s="486"/>
    </row>
    <row r="36" spans="1:10" x14ac:dyDescent="0.2">
      <c r="A36" s="639" t="s">
        <v>410</v>
      </c>
      <c r="B36" s="513"/>
      <c r="C36" s="445"/>
      <c r="D36" s="445"/>
      <c r="E36" s="445"/>
      <c r="F36" s="486"/>
      <c r="G36" s="442"/>
      <c r="H36" s="436"/>
      <c r="I36" s="436"/>
      <c r="J36" s="436"/>
    </row>
    <row r="37" spans="1:10" x14ac:dyDescent="0.2">
      <c r="A37" s="436"/>
      <c r="B37" s="436"/>
      <c r="C37" s="436"/>
      <c r="D37" s="436"/>
      <c r="E37" s="436"/>
      <c r="F37" s="436"/>
      <c r="G37" s="436"/>
      <c r="H37" s="436"/>
      <c r="I37" s="436"/>
      <c r="J37" s="436"/>
    </row>
    <row r="38" spans="1:10" x14ac:dyDescent="0.2">
      <c r="A38" s="548" t="s">
        <v>282</v>
      </c>
      <c r="B38" s="436" t="s">
        <v>156</v>
      </c>
      <c r="C38" s="514">
        <v>13</v>
      </c>
      <c r="D38" s="436"/>
      <c r="E38" s="436"/>
      <c r="F38" s="436"/>
      <c r="G38" s="436"/>
      <c r="H38" s="436"/>
      <c r="I38" s="436"/>
      <c r="J38" s="436"/>
    </row>
    <row r="39" spans="1:10" x14ac:dyDescent="0.2">
      <c r="A39" s="549"/>
      <c r="B39" s="515"/>
      <c r="C39" s="550" t="s">
        <v>156</v>
      </c>
      <c r="D39" s="436"/>
      <c r="E39" s="514">
        <v>13</v>
      </c>
      <c r="F39" s="436"/>
      <c r="G39" s="436"/>
      <c r="H39" s="436"/>
      <c r="I39" s="436"/>
      <c r="J39" s="436"/>
    </row>
    <row r="40" spans="1:10" x14ac:dyDescent="0.2">
      <c r="A40" s="549"/>
      <c r="B40" s="533" t="s">
        <v>306</v>
      </c>
      <c r="C40" s="551">
        <v>0</v>
      </c>
      <c r="D40" s="516"/>
      <c r="E40" s="436"/>
      <c r="F40" s="436"/>
      <c r="G40" s="436"/>
      <c r="H40" s="436"/>
      <c r="I40" s="436"/>
      <c r="J40" s="436"/>
    </row>
    <row r="41" spans="1:10" x14ac:dyDescent="0.2">
      <c r="A41" s="549"/>
      <c r="B41" s="436"/>
      <c r="C41" s="436"/>
      <c r="D41" s="521"/>
      <c r="E41" s="531" t="s">
        <v>156</v>
      </c>
      <c r="F41" s="436"/>
      <c r="G41" s="514">
        <v>8</v>
      </c>
      <c r="H41" s="436"/>
      <c r="I41" s="436"/>
      <c r="J41" s="436"/>
    </row>
    <row r="42" spans="1:10" x14ac:dyDescent="0.2">
      <c r="A42" s="549"/>
      <c r="B42" s="532" t="s">
        <v>306</v>
      </c>
      <c r="C42" s="525">
        <v>0</v>
      </c>
      <c r="D42" s="521"/>
      <c r="E42" s="640"/>
      <c r="F42" s="516"/>
      <c r="G42" s="436"/>
      <c r="H42" s="436"/>
      <c r="I42" s="436"/>
      <c r="J42" s="436"/>
    </row>
    <row r="43" spans="1:10" x14ac:dyDescent="0.2">
      <c r="A43" s="549"/>
      <c r="B43" s="515"/>
      <c r="C43" s="517" t="s">
        <v>161</v>
      </c>
      <c r="D43" s="519"/>
      <c r="E43" s="525">
        <v>12</v>
      </c>
      <c r="F43" s="521"/>
      <c r="G43" s="436"/>
      <c r="H43" s="436"/>
      <c r="I43" s="436"/>
      <c r="J43" s="436"/>
    </row>
    <row r="44" spans="1:10" x14ac:dyDescent="0.2">
      <c r="A44" s="549" t="s">
        <v>288</v>
      </c>
      <c r="B44" s="518" t="s">
        <v>161</v>
      </c>
      <c r="C44" s="520">
        <v>13</v>
      </c>
      <c r="D44" s="436"/>
      <c r="E44" s="513"/>
      <c r="F44" s="521"/>
      <c r="G44" s="436"/>
      <c r="H44" s="436"/>
      <c r="I44" s="436"/>
      <c r="J44" s="436"/>
    </row>
    <row r="45" spans="1:10" x14ac:dyDescent="0.2">
      <c r="A45" s="527"/>
      <c r="B45" s="436"/>
      <c r="C45" s="436"/>
      <c r="D45" s="436"/>
      <c r="E45" s="513"/>
      <c r="F45" s="521"/>
      <c r="G45" s="517" t="s">
        <v>166</v>
      </c>
      <c r="H45" s="436"/>
      <c r="I45" s="514">
        <v>13</v>
      </c>
      <c r="J45" s="436"/>
    </row>
    <row r="46" spans="1:10" x14ac:dyDescent="0.2">
      <c r="A46" s="548" t="s">
        <v>286</v>
      </c>
      <c r="B46" s="436" t="s">
        <v>155</v>
      </c>
      <c r="C46" s="514">
        <v>13</v>
      </c>
      <c r="D46" s="436"/>
      <c r="E46" s="513"/>
      <c r="F46" s="521"/>
      <c r="G46" s="515"/>
      <c r="H46" s="516"/>
      <c r="I46" s="436"/>
      <c r="J46" s="436"/>
    </row>
    <row r="47" spans="1:10" x14ac:dyDescent="0.2">
      <c r="A47" s="549"/>
      <c r="B47" s="515"/>
      <c r="C47" s="550"/>
      <c r="D47" s="436"/>
      <c r="E47" s="525">
        <v>6</v>
      </c>
      <c r="F47" s="521"/>
      <c r="G47" s="513"/>
      <c r="H47" s="521"/>
      <c r="I47" s="436"/>
      <c r="J47" s="436"/>
    </row>
    <row r="48" spans="1:10" x14ac:dyDescent="0.2">
      <c r="A48" s="549"/>
      <c r="B48" s="533" t="s">
        <v>306</v>
      </c>
      <c r="C48" s="551">
        <v>0</v>
      </c>
      <c r="D48" s="516"/>
      <c r="E48" s="513"/>
      <c r="F48" s="521"/>
      <c r="G48" s="513"/>
      <c r="H48" s="521"/>
      <c r="I48" s="436"/>
      <c r="J48" s="436"/>
    </row>
    <row r="49" spans="1:10" x14ac:dyDescent="0.2">
      <c r="A49" s="549"/>
      <c r="B49" s="436"/>
      <c r="C49" s="436"/>
      <c r="D49" s="521"/>
      <c r="E49" s="518" t="s">
        <v>166</v>
      </c>
      <c r="F49" s="519"/>
      <c r="G49" s="525">
        <v>13</v>
      </c>
      <c r="H49" s="521"/>
      <c r="I49" s="436"/>
      <c r="J49" s="436"/>
    </row>
    <row r="50" spans="1:10" x14ac:dyDescent="0.2">
      <c r="A50" s="549" t="s">
        <v>285</v>
      </c>
      <c r="B50" s="532" t="s">
        <v>166</v>
      </c>
      <c r="C50" s="525">
        <v>13</v>
      </c>
      <c r="D50" s="521"/>
      <c r="E50" s="517"/>
      <c r="F50" s="513"/>
      <c r="G50" s="513"/>
      <c r="H50" s="521"/>
      <c r="I50" s="436"/>
      <c r="J50" s="436"/>
    </row>
    <row r="51" spans="1:10" x14ac:dyDescent="0.2">
      <c r="A51" s="549"/>
      <c r="B51" s="515"/>
      <c r="C51" s="531" t="s">
        <v>166</v>
      </c>
      <c r="D51" s="519"/>
      <c r="E51" s="525">
        <v>13</v>
      </c>
      <c r="F51" s="436"/>
      <c r="G51" s="513"/>
      <c r="H51" s="521"/>
      <c r="I51" s="436"/>
      <c r="J51" s="436"/>
    </row>
    <row r="52" spans="1:10" x14ac:dyDescent="0.2">
      <c r="A52" s="549" t="s">
        <v>414</v>
      </c>
      <c r="B52" s="533" t="s">
        <v>157</v>
      </c>
      <c r="C52" s="520">
        <v>9</v>
      </c>
      <c r="D52" s="436"/>
      <c r="E52" s="513"/>
      <c r="F52" s="513"/>
      <c r="G52" s="513"/>
      <c r="H52" s="521"/>
      <c r="I52" s="436"/>
      <c r="J52" s="436"/>
    </row>
    <row r="53" spans="1:10" ht="13.5" thickBot="1" x14ac:dyDescent="0.25">
      <c r="A53" s="436"/>
      <c r="B53" s="436"/>
      <c r="C53" s="436"/>
      <c r="D53" s="436"/>
      <c r="E53" s="436"/>
      <c r="F53" s="436"/>
      <c r="G53" s="513"/>
      <c r="H53" s="521"/>
      <c r="I53" s="436"/>
      <c r="J53" s="524" t="s">
        <v>166</v>
      </c>
    </row>
    <row r="54" spans="1:10" x14ac:dyDescent="0.2">
      <c r="A54" s="548" t="s">
        <v>284</v>
      </c>
      <c r="B54" s="436" t="s">
        <v>175</v>
      </c>
      <c r="C54" s="514">
        <v>13</v>
      </c>
      <c r="D54" s="436"/>
      <c r="E54" s="436"/>
      <c r="F54" s="436"/>
      <c r="G54" s="513"/>
      <c r="H54" s="521"/>
      <c r="I54" s="552"/>
      <c r="J54" s="523" t="s">
        <v>287</v>
      </c>
    </row>
    <row r="55" spans="1:10" x14ac:dyDescent="0.2">
      <c r="A55" s="549"/>
      <c r="B55" s="958"/>
      <c r="C55" s="550" t="s">
        <v>175</v>
      </c>
      <c r="D55" s="436"/>
      <c r="E55" s="514">
        <v>6</v>
      </c>
      <c r="F55" s="436"/>
      <c r="G55" s="513"/>
      <c r="H55" s="521"/>
      <c r="I55" s="436"/>
      <c r="J55" s="436"/>
    </row>
    <row r="56" spans="1:10" x14ac:dyDescent="0.2">
      <c r="A56" s="549"/>
      <c r="B56" s="533" t="s">
        <v>306</v>
      </c>
      <c r="C56" s="551">
        <v>0</v>
      </c>
      <c r="D56" s="516"/>
      <c r="E56" s="436"/>
      <c r="F56" s="436"/>
      <c r="G56" s="513"/>
      <c r="H56" s="521"/>
      <c r="I56" s="436"/>
      <c r="J56" s="436"/>
    </row>
    <row r="57" spans="1:10" x14ac:dyDescent="0.2">
      <c r="A57" s="549"/>
      <c r="B57" s="436"/>
      <c r="C57" s="436"/>
      <c r="D57" s="521"/>
      <c r="E57" s="436" t="s">
        <v>177</v>
      </c>
      <c r="F57" s="436"/>
      <c r="G57" s="525">
        <v>13</v>
      </c>
      <c r="H57" s="521"/>
      <c r="I57" s="436"/>
      <c r="J57" s="436"/>
    </row>
    <row r="58" spans="1:10" x14ac:dyDescent="0.2">
      <c r="A58" s="549" t="s">
        <v>290</v>
      </c>
      <c r="B58" s="436" t="s">
        <v>177</v>
      </c>
      <c r="C58" s="525">
        <v>13</v>
      </c>
      <c r="D58" s="521"/>
      <c r="E58" s="640"/>
      <c r="F58" s="516"/>
      <c r="G58" s="513"/>
      <c r="H58" s="521"/>
      <c r="I58" s="436"/>
      <c r="J58" s="436"/>
    </row>
    <row r="59" spans="1:10" x14ac:dyDescent="0.2">
      <c r="A59" s="549"/>
      <c r="B59" s="515"/>
      <c r="C59" s="517" t="s">
        <v>177</v>
      </c>
      <c r="D59" s="519"/>
      <c r="E59" s="525">
        <v>13</v>
      </c>
      <c r="F59" s="521"/>
      <c r="G59" s="513"/>
      <c r="H59" s="521"/>
      <c r="I59" s="436"/>
      <c r="J59" s="436"/>
    </row>
    <row r="60" spans="1:10" x14ac:dyDescent="0.2">
      <c r="A60" s="549"/>
      <c r="B60" s="533" t="s">
        <v>306</v>
      </c>
      <c r="C60" s="520">
        <v>0</v>
      </c>
      <c r="D60" s="436"/>
      <c r="E60" s="513"/>
      <c r="F60" s="521"/>
      <c r="G60" s="513"/>
      <c r="H60" s="521"/>
      <c r="I60" s="436"/>
      <c r="J60" s="436"/>
    </row>
    <row r="61" spans="1:10" x14ac:dyDescent="0.2">
      <c r="A61" s="436"/>
      <c r="B61" s="436"/>
      <c r="C61" s="436"/>
      <c r="D61" s="436"/>
      <c r="E61" s="513"/>
      <c r="F61" s="521"/>
      <c r="G61" s="518" t="s">
        <v>177</v>
      </c>
      <c r="H61" s="519"/>
      <c r="I61" s="514">
        <v>11</v>
      </c>
      <c r="J61" s="436"/>
    </row>
    <row r="62" spans="1:10" ht="13.5" thickBot="1" x14ac:dyDescent="0.25">
      <c r="A62" s="548" t="s">
        <v>291</v>
      </c>
      <c r="B62" s="436" t="s">
        <v>159</v>
      </c>
      <c r="C62" s="514">
        <v>7</v>
      </c>
      <c r="D62" s="436"/>
      <c r="E62" s="513"/>
      <c r="F62" s="521"/>
      <c r="G62" s="436"/>
      <c r="H62" s="436"/>
      <c r="I62" s="436"/>
      <c r="J62" s="513" t="s">
        <v>177</v>
      </c>
    </row>
    <row r="63" spans="1:10" x14ac:dyDescent="0.2">
      <c r="A63" s="549"/>
      <c r="B63" s="515"/>
      <c r="C63" s="550" t="s">
        <v>160</v>
      </c>
      <c r="D63" s="436"/>
      <c r="E63" s="525">
        <v>13</v>
      </c>
      <c r="F63" s="521"/>
      <c r="G63" s="436"/>
      <c r="H63" s="436"/>
      <c r="I63" s="436"/>
      <c r="J63" s="523" t="s">
        <v>289</v>
      </c>
    </row>
    <row r="64" spans="1:10" x14ac:dyDescent="0.2">
      <c r="A64" s="549" t="s">
        <v>283</v>
      </c>
      <c r="B64" s="533" t="s">
        <v>160</v>
      </c>
      <c r="C64" s="551">
        <v>13</v>
      </c>
      <c r="D64" s="516"/>
      <c r="E64" s="513"/>
      <c r="F64" s="521"/>
      <c r="G64" s="436"/>
      <c r="H64" s="436"/>
      <c r="I64" s="436"/>
      <c r="J64" s="436"/>
    </row>
    <row r="65" spans="1:10" x14ac:dyDescent="0.2">
      <c r="A65" s="549"/>
      <c r="B65" s="436"/>
      <c r="C65" s="436"/>
      <c r="D65" s="521"/>
      <c r="E65" s="533" t="s">
        <v>160</v>
      </c>
      <c r="F65" s="519"/>
      <c r="G65" s="514">
        <v>6</v>
      </c>
      <c r="H65" s="436"/>
      <c r="I65" s="436"/>
      <c r="J65" s="436"/>
    </row>
    <row r="66" spans="1:10" x14ac:dyDescent="0.2">
      <c r="A66" s="549"/>
      <c r="B66" s="532" t="s">
        <v>306</v>
      </c>
      <c r="C66" s="525">
        <v>0</v>
      </c>
      <c r="D66" s="521"/>
      <c r="E66" s="517"/>
      <c r="F66" s="513"/>
      <c r="G66" s="436"/>
      <c r="H66" s="436"/>
      <c r="I66" s="436"/>
      <c r="J66" s="436"/>
    </row>
    <row r="67" spans="1:10" x14ac:dyDescent="0.2">
      <c r="A67" s="549"/>
      <c r="B67" s="515"/>
      <c r="C67" s="517" t="s">
        <v>162</v>
      </c>
      <c r="D67" s="519"/>
      <c r="E67" s="525">
        <v>11</v>
      </c>
      <c r="F67" s="436"/>
      <c r="G67" s="532" t="s">
        <v>156</v>
      </c>
      <c r="H67" s="436"/>
      <c r="I67" s="525">
        <v>12</v>
      </c>
      <c r="J67" s="436"/>
    </row>
    <row r="68" spans="1:10" ht="13.5" thickBot="1" x14ac:dyDescent="0.25">
      <c r="A68" s="549" t="s">
        <v>411</v>
      </c>
      <c r="B68" s="518" t="s">
        <v>162</v>
      </c>
      <c r="C68" s="660">
        <v>13</v>
      </c>
      <c r="D68" s="436"/>
      <c r="E68" s="513"/>
      <c r="F68" s="513"/>
      <c r="G68" s="515"/>
      <c r="H68" s="516"/>
      <c r="I68" s="524"/>
      <c r="J68" s="534" t="s">
        <v>160</v>
      </c>
    </row>
    <row r="69" spans="1:10" x14ac:dyDescent="0.2">
      <c r="A69" s="436"/>
      <c r="B69" s="436"/>
      <c r="C69" s="436"/>
      <c r="D69" s="436"/>
      <c r="E69" s="436"/>
      <c r="F69" s="513"/>
      <c r="G69" s="518" t="s">
        <v>160</v>
      </c>
      <c r="H69" s="519"/>
      <c r="I69" s="514">
        <v>13</v>
      </c>
      <c r="J69" s="526" t="s">
        <v>292</v>
      </c>
    </row>
    <row r="70" spans="1:10" x14ac:dyDescent="0.2">
      <c r="A70" s="436"/>
      <c r="B70" s="436"/>
      <c r="C70" s="436"/>
      <c r="D70" s="436"/>
      <c r="E70" s="436"/>
      <c r="F70" s="513"/>
      <c r="G70" s="436"/>
      <c r="H70" s="436"/>
      <c r="I70" s="436"/>
      <c r="J70" s="513"/>
    </row>
    <row r="71" spans="1:10" ht="13.5" thickBot="1" x14ac:dyDescent="0.25">
      <c r="A71" s="436"/>
      <c r="B71" s="436"/>
      <c r="C71" s="436"/>
      <c r="D71" s="436"/>
      <c r="E71" s="436"/>
      <c r="F71" s="513"/>
      <c r="G71" s="513"/>
      <c r="H71" s="513"/>
      <c r="I71" s="436"/>
      <c r="J71" s="524" t="s">
        <v>156</v>
      </c>
    </row>
    <row r="72" spans="1:10" x14ac:dyDescent="0.2">
      <c r="A72" s="436"/>
      <c r="B72" s="436"/>
      <c r="C72" s="436"/>
      <c r="D72" s="436"/>
      <c r="E72" s="436"/>
      <c r="F72" s="436"/>
      <c r="G72" s="513"/>
      <c r="H72" s="513"/>
      <c r="I72" s="436"/>
      <c r="J72" s="527" t="s">
        <v>293</v>
      </c>
    </row>
    <row r="73" spans="1:10" x14ac:dyDescent="0.2">
      <c r="A73" s="436"/>
      <c r="B73" s="436"/>
      <c r="C73" s="436"/>
      <c r="D73" s="436"/>
      <c r="E73" s="436"/>
      <c r="F73" s="436"/>
      <c r="G73" s="436"/>
      <c r="H73" s="436"/>
      <c r="I73" s="513"/>
      <c r="J73" s="513"/>
    </row>
    <row r="74" spans="1:10" x14ac:dyDescent="0.2">
      <c r="A74" s="641" t="s">
        <v>415</v>
      </c>
      <c r="B74" s="436"/>
      <c r="C74" s="436"/>
      <c r="D74" s="436"/>
      <c r="E74" s="436"/>
      <c r="F74" s="436"/>
      <c r="G74" s="436"/>
      <c r="H74" s="436"/>
      <c r="I74" s="513"/>
      <c r="J74" s="513"/>
    </row>
    <row r="75" spans="1:10" x14ac:dyDescent="0.2">
      <c r="A75" s="641"/>
      <c r="B75" s="436"/>
      <c r="C75" s="436"/>
      <c r="D75" s="436"/>
      <c r="E75" s="436"/>
      <c r="F75" s="436"/>
      <c r="G75" s="436"/>
      <c r="H75" s="436"/>
      <c r="I75" s="513"/>
      <c r="J75" s="513"/>
    </row>
    <row r="76" spans="1:10" x14ac:dyDescent="0.2">
      <c r="A76" s="436"/>
      <c r="B76" s="436"/>
      <c r="C76" s="436"/>
      <c r="D76" s="436"/>
      <c r="E76" s="642" t="s">
        <v>161</v>
      </c>
      <c r="F76" s="514"/>
      <c r="G76" s="514">
        <v>6</v>
      </c>
      <c r="H76" s="514"/>
      <c r="I76" s="514"/>
      <c r="J76" s="436"/>
    </row>
    <row r="77" spans="1:10" x14ac:dyDescent="0.2">
      <c r="A77" s="436"/>
      <c r="B77" s="436"/>
      <c r="C77" s="436"/>
      <c r="D77" s="436"/>
      <c r="E77" s="643"/>
      <c r="F77" s="644"/>
      <c r="G77" s="658" t="s">
        <v>155</v>
      </c>
      <c r="H77" s="514"/>
      <c r="I77" s="514">
        <v>13</v>
      </c>
      <c r="J77" s="436"/>
    </row>
    <row r="78" spans="1:10" x14ac:dyDescent="0.2">
      <c r="A78" s="436"/>
      <c r="B78" s="436"/>
      <c r="C78" s="436"/>
      <c r="D78" s="436"/>
      <c r="E78" s="645" t="s">
        <v>155</v>
      </c>
      <c r="F78" s="646"/>
      <c r="G78" s="514">
        <v>13</v>
      </c>
      <c r="H78" s="644"/>
      <c r="I78" s="514"/>
      <c r="J78" s="436"/>
    </row>
    <row r="79" spans="1:10" ht="13.5" thickBot="1" x14ac:dyDescent="0.25">
      <c r="A79" s="436"/>
      <c r="B79" s="436"/>
      <c r="C79" s="436"/>
      <c r="D79" s="436"/>
      <c r="E79" s="514"/>
      <c r="F79" s="514"/>
      <c r="G79" s="525"/>
      <c r="H79" s="647"/>
      <c r="I79" s="514"/>
      <c r="J79" s="524" t="s">
        <v>155</v>
      </c>
    </row>
    <row r="80" spans="1:10" x14ac:dyDescent="0.2">
      <c r="A80" s="436"/>
      <c r="B80" s="436"/>
      <c r="C80" s="436"/>
      <c r="D80" s="436"/>
      <c r="E80" s="514" t="s">
        <v>175</v>
      </c>
      <c r="F80" s="514"/>
      <c r="G80" s="514">
        <v>13</v>
      </c>
      <c r="H80" s="647"/>
      <c r="I80" s="648"/>
      <c r="J80" s="523" t="s">
        <v>294</v>
      </c>
    </row>
    <row r="81" spans="1:10" x14ac:dyDescent="0.2">
      <c r="A81" s="436"/>
      <c r="B81" s="436"/>
      <c r="C81" s="436"/>
      <c r="D81" s="436"/>
      <c r="E81" s="643"/>
      <c r="F81" s="644"/>
      <c r="G81" s="514" t="s">
        <v>175</v>
      </c>
      <c r="H81" s="646"/>
      <c r="I81" s="525">
        <v>6</v>
      </c>
      <c r="J81" s="436"/>
    </row>
    <row r="82" spans="1:10" ht="13.5" thickBot="1" x14ac:dyDescent="0.25">
      <c r="A82" s="436"/>
      <c r="B82" s="436"/>
      <c r="C82" s="436"/>
      <c r="D82" s="436"/>
      <c r="E82" s="645" t="s">
        <v>162</v>
      </c>
      <c r="F82" s="646"/>
      <c r="G82" s="643">
        <v>6</v>
      </c>
      <c r="H82" s="514"/>
      <c r="I82" s="525"/>
      <c r="J82" s="513" t="s">
        <v>175</v>
      </c>
    </row>
    <row r="83" spans="1:10" x14ac:dyDescent="0.2">
      <c r="A83" s="436"/>
      <c r="B83" s="436"/>
      <c r="C83" s="436"/>
      <c r="D83" s="436"/>
      <c r="E83" s="514"/>
      <c r="F83" s="514"/>
      <c r="G83" s="514"/>
      <c r="H83" s="514"/>
      <c r="I83" s="525"/>
      <c r="J83" s="523" t="s">
        <v>295</v>
      </c>
    </row>
    <row r="84" spans="1:10" x14ac:dyDescent="0.2">
      <c r="A84" s="436"/>
      <c r="B84" s="436"/>
      <c r="C84" s="436"/>
      <c r="D84" s="436"/>
      <c r="E84" s="514"/>
      <c r="F84" s="525"/>
      <c r="G84" s="514" t="s">
        <v>161</v>
      </c>
      <c r="H84" s="514"/>
      <c r="I84" s="525">
        <v>13</v>
      </c>
      <c r="J84" s="513"/>
    </row>
    <row r="85" spans="1:10" ht="13.5" thickBot="1" x14ac:dyDescent="0.25">
      <c r="A85" s="436"/>
      <c r="B85" s="436"/>
      <c r="C85" s="436"/>
      <c r="D85" s="436"/>
      <c r="E85" s="514"/>
      <c r="F85" s="525"/>
      <c r="G85" s="643"/>
      <c r="H85" s="644"/>
      <c r="I85" s="649"/>
      <c r="J85" s="534" t="s">
        <v>161</v>
      </c>
    </row>
    <row r="86" spans="1:10" x14ac:dyDescent="0.2">
      <c r="A86" s="436"/>
      <c r="B86" s="436"/>
      <c r="C86" s="436"/>
      <c r="D86" s="436"/>
      <c r="E86" s="514"/>
      <c r="F86" s="525"/>
      <c r="G86" s="645" t="s">
        <v>162</v>
      </c>
      <c r="H86" s="646"/>
      <c r="I86" s="514">
        <v>5</v>
      </c>
      <c r="J86" s="526" t="s">
        <v>296</v>
      </c>
    </row>
    <row r="87" spans="1:10" x14ac:dyDescent="0.2">
      <c r="A87" s="436"/>
      <c r="B87" s="436"/>
      <c r="C87" s="436"/>
      <c r="D87" s="436"/>
      <c r="E87" s="436"/>
      <c r="F87" s="513"/>
      <c r="G87" s="436"/>
      <c r="H87" s="436"/>
      <c r="I87" s="436"/>
      <c r="J87" s="513"/>
    </row>
    <row r="88" spans="1:10" ht="13.5" thickBot="1" x14ac:dyDescent="0.25">
      <c r="A88" s="436"/>
      <c r="B88" s="436"/>
      <c r="C88" s="436"/>
      <c r="D88" s="436"/>
      <c r="E88" s="527"/>
      <c r="F88" s="436"/>
      <c r="G88" s="513"/>
      <c r="H88" s="513"/>
      <c r="I88" s="436"/>
      <c r="J88" s="524" t="s">
        <v>162</v>
      </c>
    </row>
    <row r="89" spans="1:10" x14ac:dyDescent="0.2">
      <c r="A89" s="436"/>
      <c r="B89" s="436"/>
      <c r="C89" s="436"/>
      <c r="D89" s="436"/>
      <c r="E89" s="527"/>
      <c r="F89" s="436"/>
      <c r="G89" s="513"/>
      <c r="H89" s="513"/>
      <c r="I89" s="436"/>
      <c r="J89" s="526" t="s">
        <v>297</v>
      </c>
    </row>
    <row r="90" spans="1:10" x14ac:dyDescent="0.2">
      <c r="A90" s="436"/>
      <c r="B90" s="436"/>
      <c r="C90" s="436"/>
      <c r="D90" s="436"/>
      <c r="E90" s="436"/>
      <c r="F90" s="436"/>
      <c r="G90" s="513"/>
      <c r="H90" s="513"/>
      <c r="I90" s="436"/>
      <c r="J90" s="527"/>
    </row>
    <row r="91" spans="1:10" x14ac:dyDescent="0.2">
      <c r="A91" s="641" t="s">
        <v>646</v>
      </c>
      <c r="B91" s="436"/>
      <c r="C91" s="436"/>
      <c r="D91" s="436"/>
      <c r="E91" s="436"/>
      <c r="F91" s="436"/>
      <c r="G91" s="513"/>
      <c r="H91" s="513"/>
      <c r="I91" s="436"/>
      <c r="J91" s="527"/>
    </row>
    <row r="92" spans="1:10" x14ac:dyDescent="0.2">
      <c r="A92" s="641"/>
      <c r="B92" s="436"/>
      <c r="C92" s="436"/>
      <c r="D92" s="436"/>
      <c r="E92" s="436"/>
      <c r="F92" s="436"/>
      <c r="G92" s="513"/>
      <c r="H92" s="513"/>
      <c r="I92" s="436"/>
      <c r="J92" s="527"/>
    </row>
    <row r="93" spans="1:10" x14ac:dyDescent="0.2">
      <c r="A93" s="436"/>
      <c r="B93" s="436"/>
      <c r="C93" s="436"/>
      <c r="D93" s="436"/>
      <c r="E93" s="657" t="s">
        <v>306</v>
      </c>
      <c r="F93" s="514"/>
      <c r="G93" s="514">
        <v>0</v>
      </c>
      <c r="H93" s="514"/>
      <c r="I93" s="514"/>
      <c r="J93" s="436"/>
    </row>
    <row r="94" spans="1:10" x14ac:dyDescent="0.2">
      <c r="A94" s="436"/>
      <c r="B94" s="436"/>
      <c r="C94" s="436"/>
      <c r="D94" s="436"/>
      <c r="E94" s="643"/>
      <c r="F94" s="644"/>
      <c r="G94" s="645" t="s">
        <v>157</v>
      </c>
      <c r="H94" s="514"/>
      <c r="I94" s="514">
        <v>7</v>
      </c>
      <c r="J94" s="436"/>
    </row>
    <row r="95" spans="1:10" x14ac:dyDescent="0.2">
      <c r="A95" s="436"/>
      <c r="B95" s="436"/>
      <c r="C95" s="436"/>
      <c r="D95" s="436"/>
      <c r="E95" s="645" t="s">
        <v>157</v>
      </c>
      <c r="F95" s="646"/>
      <c r="G95" s="514">
        <v>13</v>
      </c>
      <c r="H95" s="644"/>
      <c r="I95" s="514"/>
      <c r="J95" s="436"/>
    </row>
    <row r="96" spans="1:10" ht="13.5" thickBot="1" x14ac:dyDescent="0.25">
      <c r="A96" s="436"/>
      <c r="B96" s="436"/>
      <c r="C96" s="436"/>
      <c r="D96" s="436"/>
      <c r="E96" s="514"/>
      <c r="F96" s="514"/>
      <c r="G96" s="525"/>
      <c r="H96" s="647"/>
      <c r="I96" s="514"/>
      <c r="J96" s="534" t="s">
        <v>159</v>
      </c>
    </row>
    <row r="97" spans="1:10" x14ac:dyDescent="0.2">
      <c r="A97" s="436"/>
      <c r="B97" s="436"/>
      <c r="C97" s="436"/>
      <c r="D97" s="436"/>
      <c r="E97" s="659" t="s">
        <v>306</v>
      </c>
      <c r="F97" s="514"/>
      <c r="G97" s="514">
        <v>0</v>
      </c>
      <c r="H97" s="647"/>
      <c r="I97" s="648"/>
      <c r="J97" s="523" t="s">
        <v>303</v>
      </c>
    </row>
    <row r="98" spans="1:10" x14ac:dyDescent="0.2">
      <c r="A98" s="436"/>
      <c r="B98" s="436"/>
      <c r="C98" s="436"/>
      <c r="D98" s="436"/>
      <c r="E98" s="643"/>
      <c r="F98" s="644"/>
      <c r="G98" s="514" t="s">
        <v>159</v>
      </c>
      <c r="H98" s="646"/>
      <c r="I98" s="525">
        <v>13</v>
      </c>
      <c r="J98" s="436"/>
    </row>
    <row r="99" spans="1:10" ht="13.5" thickBot="1" x14ac:dyDescent="0.25">
      <c r="A99" s="436"/>
      <c r="B99" s="436"/>
      <c r="C99" s="436"/>
      <c r="D99" s="436"/>
      <c r="E99" s="645" t="s">
        <v>159</v>
      </c>
      <c r="F99" s="646"/>
      <c r="G99" s="661">
        <v>13</v>
      </c>
      <c r="H99" s="514"/>
      <c r="I99" s="525"/>
      <c r="J99" s="513" t="s">
        <v>157</v>
      </c>
    </row>
    <row r="100" spans="1:10" x14ac:dyDescent="0.2">
      <c r="A100" s="436"/>
      <c r="B100" s="436"/>
      <c r="C100" s="436"/>
      <c r="D100" s="436"/>
      <c r="E100" s="514"/>
      <c r="F100" s="514"/>
      <c r="G100" s="514"/>
      <c r="H100" s="514"/>
      <c r="I100" s="525"/>
      <c r="J100" s="523" t="s">
        <v>304</v>
      </c>
    </row>
    <row r="101" spans="1:10" x14ac:dyDescent="0.2">
      <c r="A101" s="436"/>
      <c r="B101" s="436"/>
      <c r="C101" s="436"/>
      <c r="D101" s="436"/>
      <c r="E101" s="514"/>
      <c r="F101" s="525"/>
      <c r="G101" s="514"/>
      <c r="H101" s="514"/>
      <c r="I101" s="525"/>
      <c r="J101" s="513"/>
    </row>
    <row r="102" spans="1:10" ht="13.5" thickBot="1" x14ac:dyDescent="0.25">
      <c r="A102" s="436"/>
      <c r="B102" s="436"/>
      <c r="C102" s="436"/>
      <c r="D102" s="436"/>
      <c r="E102" s="514"/>
      <c r="F102" s="525"/>
      <c r="G102" s="643"/>
      <c r="H102" s="644"/>
      <c r="I102" s="649"/>
      <c r="J102" s="524"/>
    </row>
    <row r="103" spans="1:10" x14ac:dyDescent="0.2">
      <c r="A103" s="436"/>
      <c r="B103" s="436"/>
      <c r="C103" s="436"/>
      <c r="D103" s="436"/>
      <c r="E103" s="514"/>
      <c r="F103" s="525"/>
      <c r="G103" s="645"/>
      <c r="H103" s="646"/>
      <c r="I103" s="659"/>
      <c r="J103" s="526"/>
    </row>
    <row r="104" spans="1:10" x14ac:dyDescent="0.2">
      <c r="A104" s="436"/>
      <c r="B104" s="436"/>
      <c r="C104" s="436"/>
      <c r="D104" s="436"/>
      <c r="E104" s="436"/>
      <c r="F104" s="513"/>
      <c r="G104" s="436"/>
      <c r="H104" s="436"/>
      <c r="I104" s="436"/>
      <c r="J104" s="513"/>
    </row>
    <row r="105" spans="1:10" ht="13.5" thickBot="1" x14ac:dyDescent="0.25">
      <c r="A105" s="436"/>
      <c r="B105" s="436"/>
      <c r="C105" s="436"/>
      <c r="D105" s="436"/>
      <c r="E105" s="527"/>
      <c r="F105" s="436"/>
      <c r="G105" s="513"/>
      <c r="H105" s="513"/>
      <c r="I105" s="436"/>
      <c r="J105" s="524"/>
    </row>
    <row r="106" spans="1:10" x14ac:dyDescent="0.2">
      <c r="A106" s="436"/>
      <c r="B106" s="436"/>
      <c r="C106" s="436"/>
      <c r="D106" s="436"/>
      <c r="E106" s="527"/>
      <c r="F106" s="436"/>
      <c r="G106" s="513"/>
      <c r="H106" s="513"/>
      <c r="I106" s="436"/>
      <c r="J106" s="526"/>
    </row>
    <row r="107" spans="1:10" x14ac:dyDescent="0.2">
      <c r="A107" s="436"/>
      <c r="B107" s="436"/>
      <c r="C107" s="436"/>
      <c r="D107" s="436"/>
      <c r="E107" s="436"/>
      <c r="F107" s="527"/>
      <c r="G107" s="436"/>
      <c r="H107" s="436"/>
      <c r="I107" s="513"/>
      <c r="J107" s="513"/>
    </row>
    <row r="108" spans="1:10" x14ac:dyDescent="0.2">
      <c r="A108" s="650" t="s">
        <v>416</v>
      </c>
      <c r="B108" s="436"/>
      <c r="C108" s="436"/>
      <c r="D108" s="436"/>
      <c r="E108" s="436"/>
      <c r="F108" s="436"/>
      <c r="G108" s="436"/>
      <c r="H108" s="436"/>
      <c r="I108" s="436"/>
      <c r="J108" s="436"/>
    </row>
    <row r="109" spans="1:10" x14ac:dyDescent="0.2">
      <c r="A109" s="651"/>
      <c r="B109" s="436"/>
      <c r="C109" s="436"/>
      <c r="D109" s="436"/>
      <c r="E109" s="436"/>
      <c r="F109" s="436"/>
      <c r="G109" s="436"/>
      <c r="H109" s="436"/>
      <c r="I109" s="436"/>
      <c r="J109" s="436"/>
    </row>
    <row r="110" spans="1:10" x14ac:dyDescent="0.2">
      <c r="A110" s="436"/>
      <c r="B110" s="656" t="s">
        <v>589</v>
      </c>
      <c r="C110" s="518" t="s">
        <v>626</v>
      </c>
      <c r="D110" s="436"/>
      <c r="E110" s="514">
        <v>4</v>
      </c>
      <c r="F110" s="436"/>
      <c r="G110" s="436"/>
      <c r="H110" s="436"/>
      <c r="I110" s="436"/>
      <c r="J110" s="436"/>
    </row>
    <row r="111" spans="1:10" x14ac:dyDescent="0.2">
      <c r="A111" s="436"/>
      <c r="B111" s="656"/>
      <c r="C111" s="515"/>
      <c r="D111" s="516"/>
      <c r="E111" s="517" t="s">
        <v>167</v>
      </c>
      <c r="F111" s="436"/>
      <c r="G111" s="514">
        <v>13</v>
      </c>
      <c r="H111" s="436"/>
      <c r="I111" s="436"/>
      <c r="J111" s="436"/>
    </row>
    <row r="112" spans="1:10" x14ac:dyDescent="0.2">
      <c r="A112" s="436"/>
      <c r="B112" s="656" t="s">
        <v>302</v>
      </c>
      <c r="C112" s="533" t="s">
        <v>167</v>
      </c>
      <c r="D112" s="519"/>
      <c r="E112" s="643">
        <v>13</v>
      </c>
      <c r="F112" s="516"/>
      <c r="G112" s="436"/>
      <c r="H112" s="436"/>
      <c r="I112" s="436"/>
      <c r="J112" s="436"/>
    </row>
    <row r="113" spans="1:10" x14ac:dyDescent="0.2">
      <c r="A113" s="436"/>
      <c r="B113" s="656"/>
      <c r="C113" s="436"/>
      <c r="D113" s="436"/>
      <c r="E113" s="513"/>
      <c r="F113" s="521"/>
      <c r="G113" s="517" t="s">
        <v>167</v>
      </c>
      <c r="H113" s="436"/>
      <c r="I113" s="514">
        <v>11</v>
      </c>
      <c r="J113" s="436"/>
    </row>
    <row r="114" spans="1:10" x14ac:dyDescent="0.2">
      <c r="A114" s="436"/>
      <c r="B114" s="656"/>
      <c r="C114" s="533" t="s">
        <v>306</v>
      </c>
      <c r="D114" s="436"/>
      <c r="E114" s="525">
        <v>0</v>
      </c>
      <c r="F114" s="521"/>
      <c r="G114" s="640"/>
      <c r="H114" s="516"/>
      <c r="I114" s="436"/>
      <c r="J114" s="436"/>
    </row>
    <row r="115" spans="1:10" x14ac:dyDescent="0.2">
      <c r="A115" s="436"/>
      <c r="B115" s="656"/>
      <c r="C115" s="436"/>
      <c r="D115" s="516"/>
      <c r="E115" s="533" t="s">
        <v>170</v>
      </c>
      <c r="F115" s="519"/>
      <c r="G115" s="525">
        <v>11</v>
      </c>
      <c r="H115" s="521"/>
      <c r="I115" s="436"/>
      <c r="J115" s="436"/>
    </row>
    <row r="116" spans="1:10" x14ac:dyDescent="0.2">
      <c r="A116" s="436"/>
      <c r="B116" s="656" t="s">
        <v>422</v>
      </c>
      <c r="C116" s="592" t="s">
        <v>170</v>
      </c>
      <c r="D116" s="519"/>
      <c r="E116" s="525">
        <v>13</v>
      </c>
      <c r="F116" s="436"/>
      <c r="G116" s="513"/>
      <c r="H116" s="521"/>
      <c r="I116" s="436"/>
      <c r="J116" s="436"/>
    </row>
    <row r="117" spans="1:10" ht="13.5" thickBot="1" x14ac:dyDescent="0.25">
      <c r="A117" s="436"/>
      <c r="B117" s="656"/>
      <c r="C117" s="643"/>
      <c r="D117" s="436"/>
      <c r="E117" s="513"/>
      <c r="F117" s="513"/>
      <c r="G117" s="513"/>
      <c r="H117" s="521"/>
      <c r="I117" s="436"/>
      <c r="J117" s="524" t="s">
        <v>183</v>
      </c>
    </row>
    <row r="118" spans="1:10" x14ac:dyDescent="0.2">
      <c r="A118" s="436"/>
      <c r="B118" s="656" t="s">
        <v>299</v>
      </c>
      <c r="C118" s="592" t="s">
        <v>164</v>
      </c>
      <c r="D118" s="436"/>
      <c r="E118" s="514">
        <v>0</v>
      </c>
      <c r="F118" s="436"/>
      <c r="G118" s="436"/>
      <c r="H118" s="521"/>
      <c r="I118" s="522"/>
      <c r="J118" s="526" t="s">
        <v>307</v>
      </c>
    </row>
    <row r="119" spans="1:10" x14ac:dyDescent="0.2">
      <c r="A119" s="436"/>
      <c r="B119" s="656"/>
      <c r="C119" s="515"/>
      <c r="D119" s="516"/>
      <c r="E119" s="517" t="s">
        <v>183</v>
      </c>
      <c r="F119" s="436"/>
      <c r="G119" s="514">
        <v>13</v>
      </c>
      <c r="H119" s="521"/>
      <c r="I119" s="436"/>
      <c r="J119" s="513"/>
    </row>
    <row r="120" spans="1:10" ht="13.5" thickBot="1" x14ac:dyDescent="0.25">
      <c r="A120" s="436"/>
      <c r="B120" s="656" t="s">
        <v>305</v>
      </c>
      <c r="C120" s="518" t="s">
        <v>183</v>
      </c>
      <c r="D120" s="519"/>
      <c r="E120" s="643">
        <v>13</v>
      </c>
      <c r="F120" s="516"/>
      <c r="G120" s="436"/>
      <c r="H120" s="521"/>
      <c r="I120" s="436"/>
      <c r="J120" s="524" t="s">
        <v>167</v>
      </c>
    </row>
    <row r="121" spans="1:10" x14ac:dyDescent="0.2">
      <c r="A121" s="436"/>
      <c r="B121" s="656"/>
      <c r="C121" s="436"/>
      <c r="D121" s="436"/>
      <c r="E121" s="513"/>
      <c r="F121" s="521"/>
      <c r="G121" s="517" t="s">
        <v>183</v>
      </c>
      <c r="H121" s="519"/>
      <c r="I121" s="514">
        <v>13</v>
      </c>
      <c r="J121" s="526" t="s">
        <v>308</v>
      </c>
    </row>
    <row r="122" spans="1:10" x14ac:dyDescent="0.2">
      <c r="A122" s="436"/>
      <c r="B122" s="656" t="s">
        <v>647</v>
      </c>
      <c r="C122" s="518" t="s">
        <v>313</v>
      </c>
      <c r="D122" s="436"/>
      <c r="E122" s="525">
        <v>13</v>
      </c>
      <c r="F122" s="521"/>
      <c r="G122" s="640"/>
      <c r="H122" s="515"/>
      <c r="I122" s="436"/>
      <c r="J122" s="436"/>
    </row>
    <row r="123" spans="1:10" x14ac:dyDescent="0.2">
      <c r="A123" s="436"/>
      <c r="B123" s="656"/>
      <c r="C123" s="436"/>
      <c r="D123" s="516"/>
      <c r="E123" s="518" t="s">
        <v>313</v>
      </c>
      <c r="F123" s="519"/>
      <c r="G123" s="525">
        <v>9</v>
      </c>
      <c r="H123" s="513"/>
      <c r="I123" s="436"/>
      <c r="J123" s="436"/>
    </row>
    <row r="124" spans="1:10" x14ac:dyDescent="0.2">
      <c r="A124" s="436"/>
      <c r="B124" s="656" t="s">
        <v>301</v>
      </c>
      <c r="C124" s="592" t="s">
        <v>174</v>
      </c>
      <c r="D124" s="519"/>
      <c r="E124" s="525">
        <v>10</v>
      </c>
      <c r="F124" s="436"/>
      <c r="G124" s="513"/>
      <c r="H124" s="513"/>
      <c r="I124" s="436"/>
      <c r="J124" s="436"/>
    </row>
    <row r="125" spans="1:10" x14ac:dyDescent="0.2">
      <c r="A125" s="436"/>
      <c r="B125" s="513"/>
      <c r="C125" s="643"/>
      <c r="D125" s="436"/>
      <c r="E125" s="513"/>
      <c r="F125" s="513"/>
      <c r="G125" s="436" t="s">
        <v>170</v>
      </c>
      <c r="H125" s="436"/>
      <c r="I125" s="525">
        <v>11</v>
      </c>
      <c r="J125" s="436"/>
    </row>
    <row r="126" spans="1:10" ht="13.5" thickBot="1" x14ac:dyDescent="0.25">
      <c r="A126" s="436"/>
      <c r="B126" s="513"/>
      <c r="C126" s="436"/>
      <c r="D126" s="436"/>
      <c r="E126" s="513"/>
      <c r="F126" s="513"/>
      <c r="G126" s="515"/>
      <c r="H126" s="516"/>
      <c r="I126" s="524"/>
      <c r="J126" s="436" t="s">
        <v>313</v>
      </c>
    </row>
    <row r="127" spans="1:10" x14ac:dyDescent="0.2">
      <c r="C127" s="514"/>
      <c r="D127" s="436"/>
      <c r="E127" s="513"/>
      <c r="F127" s="513"/>
      <c r="G127" s="518" t="s">
        <v>313</v>
      </c>
      <c r="H127" s="519"/>
      <c r="I127" s="514">
        <v>13</v>
      </c>
      <c r="J127" s="523" t="s">
        <v>309</v>
      </c>
    </row>
    <row r="128" spans="1:10" x14ac:dyDescent="0.2">
      <c r="A128" s="223">
        <v>1</v>
      </c>
      <c r="B128" s="224" t="s">
        <v>166</v>
      </c>
      <c r="C128" s="513"/>
      <c r="D128" s="513"/>
      <c r="E128" s="525"/>
      <c r="F128" s="513"/>
      <c r="G128" s="436"/>
      <c r="H128" s="436"/>
      <c r="I128" s="436"/>
      <c r="J128" s="436"/>
    </row>
    <row r="129" spans="1:10" ht="13.5" thickBot="1" x14ac:dyDescent="0.25">
      <c r="A129" s="223">
        <v>2</v>
      </c>
      <c r="B129" s="535" t="s">
        <v>177</v>
      </c>
      <c r="C129" s="525"/>
      <c r="D129" s="513"/>
      <c r="E129" s="513"/>
      <c r="F129" s="513"/>
      <c r="G129" s="513"/>
      <c r="H129" s="513"/>
      <c r="I129" s="436"/>
      <c r="J129" s="592" t="s">
        <v>170</v>
      </c>
    </row>
    <row r="130" spans="1:10" x14ac:dyDescent="0.2">
      <c r="A130" s="223">
        <v>3</v>
      </c>
      <c r="B130" s="536" t="s">
        <v>160</v>
      </c>
      <c r="C130" s="513"/>
      <c r="D130" s="513"/>
      <c r="E130" s="513"/>
      <c r="F130" s="513"/>
      <c r="G130" s="513"/>
      <c r="H130" s="513"/>
      <c r="I130" s="436"/>
      <c r="J130" s="523" t="s">
        <v>310</v>
      </c>
    </row>
    <row r="131" spans="1:10" x14ac:dyDescent="0.2">
      <c r="A131" s="223">
        <v>4</v>
      </c>
      <c r="B131" s="231" t="s">
        <v>156</v>
      </c>
      <c r="E131" s="657" t="s">
        <v>626</v>
      </c>
      <c r="F131" s="514"/>
      <c r="G131" s="514">
        <v>13</v>
      </c>
      <c r="H131" s="514"/>
      <c r="I131" s="514"/>
      <c r="J131" s="436"/>
    </row>
    <row r="132" spans="1:10" x14ac:dyDescent="0.2">
      <c r="A132" s="223">
        <v>5</v>
      </c>
      <c r="B132" s="540" t="s">
        <v>155</v>
      </c>
      <c r="E132" s="643"/>
      <c r="F132" s="644"/>
      <c r="G132" s="645" t="s">
        <v>626</v>
      </c>
      <c r="H132" s="514"/>
      <c r="I132" s="659">
        <v>9</v>
      </c>
      <c r="J132" s="436"/>
    </row>
    <row r="133" spans="1:10" x14ac:dyDescent="0.2">
      <c r="A133" s="223">
        <v>6</v>
      </c>
      <c r="B133" s="540" t="s">
        <v>175</v>
      </c>
      <c r="E133" s="658" t="s">
        <v>306</v>
      </c>
      <c r="F133" s="646"/>
      <c r="G133" s="514">
        <v>0</v>
      </c>
      <c r="H133" s="644"/>
      <c r="I133" s="514"/>
      <c r="J133" s="436"/>
    </row>
    <row r="134" spans="1:10" ht="13.5" thickBot="1" x14ac:dyDescent="0.25">
      <c r="A134" s="223">
        <v>7</v>
      </c>
      <c r="B134" s="540" t="s">
        <v>161</v>
      </c>
      <c r="E134" s="514"/>
      <c r="F134" s="514"/>
      <c r="G134" s="525"/>
      <c r="H134" s="647"/>
      <c r="I134" s="514"/>
      <c r="J134" s="524" t="s">
        <v>174</v>
      </c>
    </row>
    <row r="135" spans="1:10" x14ac:dyDescent="0.2">
      <c r="A135" s="223">
        <v>8</v>
      </c>
      <c r="B135" s="540" t="s">
        <v>162</v>
      </c>
      <c r="E135" s="514" t="s">
        <v>164</v>
      </c>
      <c r="F135" s="514"/>
      <c r="G135" s="514">
        <v>0</v>
      </c>
      <c r="H135" s="647"/>
      <c r="I135" s="648"/>
      <c r="J135" s="526" t="s">
        <v>311</v>
      </c>
    </row>
    <row r="136" spans="1:10" x14ac:dyDescent="0.2">
      <c r="A136" s="223">
        <v>9</v>
      </c>
      <c r="B136" s="540" t="s">
        <v>159</v>
      </c>
      <c r="E136" s="643"/>
      <c r="F136" s="644"/>
      <c r="G136" s="514" t="s">
        <v>174</v>
      </c>
      <c r="H136" s="646"/>
      <c r="I136" s="525">
        <v>13</v>
      </c>
      <c r="J136" s="513"/>
    </row>
    <row r="137" spans="1:10" ht="13.5" thickBot="1" x14ac:dyDescent="0.25">
      <c r="A137" s="223">
        <v>10</v>
      </c>
      <c r="B137" s="540" t="s">
        <v>157</v>
      </c>
      <c r="E137" s="658" t="s">
        <v>174</v>
      </c>
      <c r="F137" s="646"/>
      <c r="G137" s="643">
        <v>13</v>
      </c>
      <c r="H137" s="514"/>
      <c r="I137" s="525"/>
      <c r="J137" s="524" t="s">
        <v>626</v>
      </c>
    </row>
    <row r="138" spans="1:10" x14ac:dyDescent="0.2">
      <c r="A138" s="223">
        <v>11</v>
      </c>
      <c r="B138" s="540" t="s">
        <v>183</v>
      </c>
      <c r="E138" s="514"/>
      <c r="F138" s="514"/>
      <c r="G138" s="514"/>
      <c r="H138" s="514"/>
      <c r="I138" s="525"/>
      <c r="J138" s="527" t="s">
        <v>312</v>
      </c>
    </row>
    <row r="139" spans="1:10" x14ac:dyDescent="0.2">
      <c r="A139" s="223">
        <v>12</v>
      </c>
      <c r="B139" s="540" t="s">
        <v>167</v>
      </c>
      <c r="E139" s="514"/>
      <c r="F139" s="525"/>
      <c r="G139" s="659" t="s">
        <v>306</v>
      </c>
      <c r="H139" s="514"/>
      <c r="I139" s="525">
        <v>0</v>
      </c>
      <c r="J139" s="513"/>
    </row>
    <row r="140" spans="1:10" ht="13.5" thickBot="1" x14ac:dyDescent="0.25">
      <c r="A140" s="223">
        <v>13</v>
      </c>
      <c r="B140" s="540" t="s">
        <v>313</v>
      </c>
      <c r="E140" s="514"/>
      <c r="F140" s="525"/>
      <c r="G140" s="643"/>
      <c r="H140" s="644"/>
      <c r="I140" s="649"/>
      <c r="J140" s="524" t="s">
        <v>164</v>
      </c>
    </row>
    <row r="141" spans="1:10" x14ac:dyDescent="0.2">
      <c r="A141" s="223">
        <v>14</v>
      </c>
      <c r="B141" s="231" t="s">
        <v>170</v>
      </c>
      <c r="E141" s="514"/>
      <c r="F141" s="525"/>
      <c r="G141" s="645" t="s">
        <v>164</v>
      </c>
      <c r="H141" s="646"/>
      <c r="I141" s="514">
        <v>13</v>
      </c>
      <c r="J141" s="526"/>
    </row>
    <row r="142" spans="1:10" x14ac:dyDescent="0.2">
      <c r="A142" s="223">
        <v>15</v>
      </c>
      <c r="B142" s="540" t="s">
        <v>174</v>
      </c>
      <c r="E142" s="436"/>
      <c r="F142" s="513"/>
      <c r="G142" s="436"/>
      <c r="H142" s="436"/>
      <c r="I142" s="436"/>
      <c r="J142" s="513"/>
    </row>
    <row r="143" spans="1:10" ht="13.5" thickBot="1" x14ac:dyDescent="0.25">
      <c r="A143" s="223">
        <v>16</v>
      </c>
      <c r="B143" s="540" t="s">
        <v>626</v>
      </c>
      <c r="E143" s="527"/>
      <c r="F143" s="436"/>
      <c r="G143" s="513"/>
      <c r="H143" s="513"/>
      <c r="I143" s="436"/>
      <c r="J143" s="524"/>
    </row>
    <row r="144" spans="1:10" x14ac:dyDescent="0.2">
      <c r="A144" s="223">
        <v>17</v>
      </c>
      <c r="B144" s="540" t="s">
        <v>164</v>
      </c>
      <c r="E144" s="527"/>
      <c r="F144" s="436"/>
      <c r="G144" s="513"/>
      <c r="H144" s="513"/>
      <c r="I144" s="436"/>
      <c r="J144" s="526"/>
    </row>
    <row r="145" spans="1:7" x14ac:dyDescent="0.2">
      <c r="C145" s="486"/>
      <c r="D145" s="486"/>
      <c r="E145" s="486"/>
      <c r="F145" s="486"/>
      <c r="G145" s="486"/>
    </row>
    <row r="146" spans="1:7" x14ac:dyDescent="0.2">
      <c r="A146" s="443"/>
      <c r="B146" s="485"/>
      <c r="C146" s="486"/>
      <c r="D146" s="486"/>
      <c r="E146" s="486"/>
      <c r="F146" s="486"/>
      <c r="G146" s="486"/>
    </row>
    <row r="147" spans="1:7" x14ac:dyDescent="0.2">
      <c r="A147" s="443"/>
      <c r="B147" s="485"/>
      <c r="C147" s="486"/>
      <c r="D147" s="486"/>
      <c r="E147" s="486"/>
      <c r="F147" s="486"/>
      <c r="G147" s="486"/>
    </row>
    <row r="148" spans="1:7" x14ac:dyDescent="0.2">
      <c r="A148" s="443"/>
      <c r="B148" s="485"/>
      <c r="C148" s="486"/>
      <c r="D148" s="486"/>
      <c r="E148" s="486"/>
      <c r="F148" s="486"/>
      <c r="G148" s="486"/>
    </row>
    <row r="149" spans="1:7" x14ac:dyDescent="0.2">
      <c r="A149" s="443"/>
      <c r="B149" s="485"/>
      <c r="C149" s="486"/>
      <c r="D149" s="486"/>
      <c r="E149" s="486"/>
      <c r="F149" s="486"/>
      <c r="G149" s="486"/>
    </row>
    <row r="150" spans="1:7" x14ac:dyDescent="0.2">
      <c r="A150" s="443"/>
      <c r="B150" s="485"/>
      <c r="C150" s="486"/>
      <c r="D150" s="486"/>
      <c r="E150" s="486"/>
      <c r="F150" s="486"/>
      <c r="G150" s="486"/>
    </row>
    <row r="151" spans="1:7" x14ac:dyDescent="0.2">
      <c r="A151" s="443"/>
      <c r="B151" s="485"/>
      <c r="C151" s="486"/>
      <c r="D151" s="486"/>
      <c r="E151" s="486"/>
      <c r="F151" s="486"/>
      <c r="G151" s="486"/>
    </row>
    <row r="152" spans="1:7" x14ac:dyDescent="0.2">
      <c r="A152" s="443"/>
      <c r="B152" s="485"/>
      <c r="C152" s="486"/>
      <c r="D152" s="486"/>
      <c r="E152" s="486"/>
      <c r="F152" s="486"/>
      <c r="G152" s="486"/>
    </row>
    <row r="153" spans="1:7" x14ac:dyDescent="0.2">
      <c r="A153" s="443"/>
      <c r="B153" s="485"/>
      <c r="C153" s="486"/>
      <c r="D153" s="486"/>
      <c r="E153" s="486"/>
      <c r="F153" s="486"/>
      <c r="G153" s="486"/>
    </row>
    <row r="154" spans="1:7" x14ac:dyDescent="0.2">
      <c r="A154" s="443"/>
      <c r="B154" s="485"/>
      <c r="C154" s="486"/>
      <c r="D154" s="486"/>
      <c r="E154" s="486"/>
      <c r="F154" s="486"/>
      <c r="G154" s="486"/>
    </row>
    <row r="155" spans="1:7" x14ac:dyDescent="0.2">
      <c r="A155" s="443"/>
      <c r="B155" s="485"/>
      <c r="C155" s="486"/>
      <c r="D155" s="486"/>
      <c r="E155" s="486"/>
      <c r="F155" s="486"/>
      <c r="G155" s="486"/>
    </row>
    <row r="156" spans="1:7" x14ac:dyDescent="0.2">
      <c r="A156" s="443"/>
      <c r="B156" s="485"/>
      <c r="C156" s="486"/>
      <c r="D156" s="486"/>
      <c r="E156" s="486"/>
      <c r="F156" s="486"/>
      <c r="G156" s="486"/>
    </row>
    <row r="157" spans="1:7" x14ac:dyDescent="0.2">
      <c r="A157" s="443"/>
      <c r="B157" s="485"/>
      <c r="C157" s="486"/>
      <c r="D157" s="486"/>
      <c r="E157" s="486"/>
      <c r="F157" s="486"/>
      <c r="G157" s="486"/>
    </row>
    <row r="158" spans="1:7" x14ac:dyDescent="0.2">
      <c r="A158" s="443"/>
      <c r="B158" s="485"/>
      <c r="C158" s="486"/>
      <c r="D158" s="486"/>
      <c r="E158" s="486"/>
      <c r="F158" s="486"/>
      <c r="G158" s="486"/>
    </row>
    <row r="159" spans="1:7" x14ac:dyDescent="0.2">
      <c r="A159" s="443"/>
      <c r="B159" s="485"/>
      <c r="C159" s="486"/>
      <c r="D159" s="486"/>
      <c r="E159" s="486"/>
      <c r="F159" s="486"/>
      <c r="G159" s="486"/>
    </row>
    <row r="160" spans="1:7" x14ac:dyDescent="0.2">
      <c r="A160" s="443"/>
      <c r="B160" s="485"/>
      <c r="C160" s="486"/>
      <c r="D160" s="486"/>
      <c r="E160" s="486"/>
      <c r="F160" s="486"/>
      <c r="G160" s="486"/>
    </row>
    <row r="161" spans="1:7" x14ac:dyDescent="0.2">
      <c r="A161" s="443"/>
      <c r="B161" s="485"/>
      <c r="C161" s="486"/>
      <c r="D161" s="486"/>
      <c r="E161" s="486"/>
      <c r="F161" s="486"/>
      <c r="G161" s="486"/>
    </row>
    <row r="162" spans="1:7" x14ac:dyDescent="0.2">
      <c r="A162" s="443"/>
      <c r="B162" s="485"/>
      <c r="C162" s="486"/>
      <c r="D162" s="486"/>
      <c r="E162" s="486"/>
      <c r="F162" s="486"/>
      <c r="G162" s="486"/>
    </row>
    <row r="163" spans="1:7" x14ac:dyDescent="0.2">
      <c r="A163" s="443"/>
      <c r="B163" s="485"/>
      <c r="C163" s="486"/>
      <c r="D163" s="486"/>
      <c r="E163" s="486"/>
      <c r="F163" s="486"/>
      <c r="G163" s="486"/>
    </row>
    <row r="164" spans="1:7" x14ac:dyDescent="0.2">
      <c r="A164" s="443"/>
      <c r="B164" s="485"/>
      <c r="C164" s="486"/>
      <c r="D164" s="486"/>
      <c r="E164" s="486"/>
      <c r="F164" s="486"/>
      <c r="G164" s="486"/>
    </row>
    <row r="165" spans="1:7" x14ac:dyDescent="0.2">
      <c r="A165" s="443"/>
      <c r="B165" s="485"/>
      <c r="C165" s="486"/>
      <c r="D165" s="486"/>
      <c r="E165" s="486"/>
      <c r="F165" s="486"/>
      <c r="G165" s="486"/>
    </row>
    <row r="166" spans="1:7" x14ac:dyDescent="0.2">
      <c r="A166" s="443"/>
      <c r="B166" s="485"/>
      <c r="C166" s="486"/>
      <c r="D166" s="486"/>
      <c r="E166" s="486"/>
      <c r="F166" s="486"/>
      <c r="G166" s="486"/>
    </row>
    <row r="167" spans="1:7" x14ac:dyDescent="0.2">
      <c r="A167" s="443"/>
      <c r="B167" s="485"/>
      <c r="C167" s="486"/>
      <c r="D167" s="486"/>
      <c r="E167" s="486"/>
      <c r="F167" s="486"/>
      <c r="G167" s="486"/>
    </row>
    <row r="168" spans="1:7" x14ac:dyDescent="0.2">
      <c r="A168" s="443"/>
      <c r="B168" s="485"/>
      <c r="C168" s="486"/>
      <c r="D168" s="486"/>
      <c r="E168" s="486"/>
      <c r="F168" s="486"/>
      <c r="G168" s="486"/>
    </row>
    <row r="169" spans="1:7" x14ac:dyDescent="0.2">
      <c r="A169" s="443"/>
      <c r="B169" s="485"/>
      <c r="C169" s="486"/>
      <c r="D169" s="486"/>
      <c r="E169" s="486"/>
      <c r="F169" s="486"/>
      <c r="G169" s="486"/>
    </row>
    <row r="170" spans="1:7" x14ac:dyDescent="0.2">
      <c r="A170" s="443"/>
      <c r="B170" s="485"/>
      <c r="C170" s="486"/>
      <c r="D170" s="486"/>
      <c r="E170" s="486"/>
      <c r="F170" s="486"/>
      <c r="G170" s="486"/>
    </row>
    <row r="171" spans="1:7" x14ac:dyDescent="0.2">
      <c r="A171" s="443"/>
      <c r="B171" s="485"/>
      <c r="C171" s="486"/>
      <c r="D171" s="486"/>
      <c r="E171" s="486"/>
      <c r="F171" s="486"/>
      <c r="G171" s="486"/>
    </row>
    <row r="172" spans="1:7" x14ac:dyDescent="0.2">
      <c r="A172" s="443"/>
      <c r="B172" s="485"/>
      <c r="C172" s="486"/>
      <c r="D172" s="486"/>
      <c r="E172" s="486"/>
      <c r="F172" s="486"/>
      <c r="G172" s="486"/>
    </row>
    <row r="173" spans="1:7" x14ac:dyDescent="0.2">
      <c r="A173" s="443"/>
      <c r="B173" s="485"/>
      <c r="C173" s="486"/>
      <c r="D173" s="486"/>
      <c r="E173" s="486"/>
      <c r="F173" s="486"/>
      <c r="G173" s="486"/>
    </row>
    <row r="174" spans="1:7" x14ac:dyDescent="0.2">
      <c r="A174" s="443"/>
      <c r="B174" s="485"/>
      <c r="C174" s="486"/>
      <c r="D174" s="486"/>
      <c r="E174" s="486"/>
      <c r="F174" s="486"/>
      <c r="G174" s="486"/>
    </row>
    <row r="175" spans="1:7" x14ac:dyDescent="0.2">
      <c r="A175" s="443"/>
      <c r="B175" s="485"/>
      <c r="C175" s="486"/>
      <c r="D175" s="486"/>
      <c r="E175" s="486"/>
      <c r="F175" s="486"/>
      <c r="G175" s="486"/>
    </row>
    <row r="176" spans="1:7" x14ac:dyDescent="0.2">
      <c r="A176" s="443"/>
      <c r="B176" s="485"/>
      <c r="C176" s="486"/>
      <c r="D176" s="486"/>
      <c r="E176" s="486"/>
      <c r="F176" s="486"/>
      <c r="G176" s="486"/>
    </row>
    <row r="177" spans="1:7" x14ac:dyDescent="0.2">
      <c r="A177" s="443"/>
      <c r="B177" s="485"/>
      <c r="C177" s="486"/>
      <c r="D177" s="486"/>
      <c r="E177" s="486"/>
      <c r="F177" s="486"/>
      <c r="G177" s="486"/>
    </row>
    <row r="178" spans="1:7" x14ac:dyDescent="0.2">
      <c r="A178" s="443"/>
      <c r="B178" s="485"/>
      <c r="C178" s="486"/>
      <c r="D178" s="486"/>
      <c r="E178" s="486"/>
      <c r="F178" s="486"/>
      <c r="G178" s="486"/>
    </row>
    <row r="179" spans="1:7" x14ac:dyDescent="0.2">
      <c r="A179" s="443"/>
      <c r="B179" s="485"/>
      <c r="C179" s="486"/>
      <c r="D179" s="486"/>
      <c r="E179" s="486"/>
      <c r="F179" s="486"/>
      <c r="G179" s="486"/>
    </row>
    <row r="180" spans="1:7" x14ac:dyDescent="0.2">
      <c r="A180" s="443"/>
      <c r="B180" s="485"/>
      <c r="C180" s="486"/>
      <c r="D180" s="486"/>
      <c r="E180" s="486"/>
      <c r="F180" s="486"/>
      <c r="G180" s="486"/>
    </row>
    <row r="181" spans="1:7" x14ac:dyDescent="0.2">
      <c r="A181" s="443"/>
      <c r="B181" s="485"/>
      <c r="C181" s="486"/>
      <c r="D181" s="486"/>
      <c r="E181" s="486"/>
      <c r="F181" s="486"/>
      <c r="G181" s="486"/>
    </row>
    <row r="182" spans="1:7" x14ac:dyDescent="0.2">
      <c r="A182" s="443"/>
      <c r="B182" s="485"/>
      <c r="C182" s="486"/>
      <c r="D182" s="486"/>
      <c r="E182" s="486"/>
      <c r="F182" s="486"/>
      <c r="G182" s="486"/>
    </row>
    <row r="183" spans="1:7" x14ac:dyDescent="0.2">
      <c r="A183" s="443"/>
      <c r="B183" s="485"/>
      <c r="C183" s="486"/>
      <c r="D183" s="486"/>
      <c r="E183" s="486"/>
      <c r="F183" s="486"/>
      <c r="G183" s="486"/>
    </row>
    <row r="184" spans="1:7" x14ac:dyDescent="0.2">
      <c r="A184" s="443"/>
      <c r="B184" s="485"/>
      <c r="C184" s="486"/>
      <c r="D184" s="486"/>
      <c r="E184" s="486"/>
      <c r="F184" s="486"/>
      <c r="G184" s="486"/>
    </row>
    <row r="185" spans="1:7" x14ac:dyDescent="0.2">
      <c r="A185" s="443"/>
      <c r="B185" s="485"/>
      <c r="C185" s="486"/>
      <c r="D185" s="486"/>
      <c r="E185" s="486"/>
      <c r="F185" s="486"/>
      <c r="G185" s="486"/>
    </row>
    <row r="186" spans="1:7" x14ac:dyDescent="0.2">
      <c r="A186" s="443"/>
      <c r="B186" s="485"/>
      <c r="C186" s="486"/>
      <c r="D186" s="486"/>
      <c r="E186" s="486"/>
      <c r="F186" s="486"/>
      <c r="G186" s="486"/>
    </row>
    <row r="187" spans="1:7" x14ac:dyDescent="0.2">
      <c r="A187" s="443"/>
      <c r="B187" s="485"/>
      <c r="C187" s="486"/>
      <c r="D187" s="486"/>
      <c r="E187" s="486"/>
      <c r="F187" s="486"/>
      <c r="G187" s="486"/>
    </row>
    <row r="188" spans="1:7" x14ac:dyDescent="0.2">
      <c r="A188" s="443"/>
      <c r="B188" s="485"/>
      <c r="C188" s="486"/>
      <c r="D188" s="486"/>
      <c r="E188" s="486"/>
      <c r="F188" s="486"/>
      <c r="G188" s="486"/>
    </row>
    <row r="189" spans="1:7" x14ac:dyDescent="0.2">
      <c r="A189" s="443"/>
      <c r="B189" s="485"/>
      <c r="C189" s="486"/>
      <c r="D189" s="486"/>
      <c r="E189" s="486"/>
      <c r="F189" s="486"/>
      <c r="G189" s="486"/>
    </row>
  </sheetData>
  <conditionalFormatting sqref="C7:F9 D10:D11 F10:F11 F17 D17 D23 F23 F29 D29 D35 F35 F189 D189">
    <cfRule type="cellIs" dxfId="570" priority="62" operator="equal">
      <formula>13</formula>
    </cfRule>
  </conditionalFormatting>
  <conditionalFormatting sqref="G189 G7:G11 G17 G23 G29 G35">
    <cfRule type="duplicateValues" dxfId="569" priority="60"/>
    <cfRule type="cellIs" dxfId="568" priority="61" operator="equal">
      <formula>13</formula>
    </cfRule>
  </conditionalFormatting>
  <conditionalFormatting sqref="C7:F9 D10:D11 F10:F11 F17 D17 D23 F23 F29 D29 D35 F35 F189 D189">
    <cfRule type="cellIs" dxfId="567" priority="59" operator="greaterThan">
      <formula>13</formula>
    </cfRule>
  </conditionalFormatting>
  <conditionalFormatting sqref="B189 B7:B11 B17 B23 B29 B35">
    <cfRule type="duplicateValues" dxfId="566" priority="58"/>
  </conditionalFormatting>
  <conditionalFormatting sqref="C10:C11 C17 C23 C29 C35 C189">
    <cfRule type="cellIs" dxfId="565" priority="57" operator="equal">
      <formula>13</formula>
    </cfRule>
  </conditionalFormatting>
  <conditionalFormatting sqref="C10:C11 C17 C23 C29 C35 C189">
    <cfRule type="cellIs" dxfId="564" priority="56" operator="greaterThan">
      <formula>13</formula>
    </cfRule>
  </conditionalFormatting>
  <conditionalFormatting sqref="E10:E11 E17 E23 E29 E35 E189">
    <cfRule type="cellIs" dxfId="563" priority="55" operator="equal">
      <formula>13</formula>
    </cfRule>
  </conditionalFormatting>
  <conditionalFormatting sqref="E10:E11 E17 E23 E29 E35 E189">
    <cfRule type="cellIs" dxfId="562" priority="54" operator="greaterThan">
      <formula>13</formula>
    </cfRule>
  </conditionalFormatting>
  <conditionalFormatting sqref="C13:F15 D16 F16">
    <cfRule type="cellIs" dxfId="561" priority="53" operator="equal">
      <formula>13</formula>
    </cfRule>
  </conditionalFormatting>
  <conditionalFormatting sqref="G13:G16">
    <cfRule type="duplicateValues" dxfId="560" priority="51"/>
    <cfRule type="cellIs" dxfId="559" priority="52" operator="equal">
      <formula>13</formula>
    </cfRule>
  </conditionalFormatting>
  <conditionalFormatting sqref="C13:F15 D16 F16">
    <cfRule type="cellIs" dxfId="558" priority="50" operator="greaterThan">
      <formula>13</formula>
    </cfRule>
  </conditionalFormatting>
  <conditionalFormatting sqref="B13:B16">
    <cfRule type="duplicateValues" dxfId="557" priority="49"/>
  </conditionalFormatting>
  <conditionalFormatting sqref="C16">
    <cfRule type="cellIs" dxfId="556" priority="48" operator="equal">
      <formula>13</formula>
    </cfRule>
  </conditionalFormatting>
  <conditionalFormatting sqref="C16">
    <cfRule type="cellIs" dxfId="555" priority="47" operator="greaterThan">
      <formula>13</formula>
    </cfRule>
  </conditionalFormatting>
  <conditionalFormatting sqref="E16">
    <cfRule type="cellIs" dxfId="554" priority="46" operator="equal">
      <formula>13</formula>
    </cfRule>
  </conditionalFormatting>
  <conditionalFormatting sqref="E16">
    <cfRule type="cellIs" dxfId="553" priority="45" operator="greaterThan">
      <formula>13</formula>
    </cfRule>
  </conditionalFormatting>
  <conditionalFormatting sqref="C19:F21 D22 F22">
    <cfRule type="cellIs" dxfId="552" priority="44" operator="equal">
      <formula>13</formula>
    </cfRule>
  </conditionalFormatting>
  <conditionalFormatting sqref="G19:G22">
    <cfRule type="duplicateValues" dxfId="551" priority="42"/>
    <cfRule type="cellIs" dxfId="550" priority="43" operator="equal">
      <formula>13</formula>
    </cfRule>
  </conditionalFormatting>
  <conditionalFormatting sqref="C19:F21 D22 F22">
    <cfRule type="cellIs" dxfId="549" priority="41" operator="greaterThan">
      <formula>13</formula>
    </cfRule>
  </conditionalFormatting>
  <conditionalFormatting sqref="B19:B22">
    <cfRule type="duplicateValues" dxfId="548" priority="40"/>
  </conditionalFormatting>
  <conditionalFormatting sqref="C22">
    <cfRule type="cellIs" dxfId="547" priority="39" operator="equal">
      <formula>13</formula>
    </cfRule>
  </conditionalFormatting>
  <conditionalFormatting sqref="C22">
    <cfRule type="cellIs" dxfId="546" priority="38" operator="greaterThan">
      <formula>13</formula>
    </cfRule>
  </conditionalFormatting>
  <conditionalFormatting sqref="E22">
    <cfRule type="cellIs" dxfId="545" priority="37" operator="equal">
      <formula>13</formula>
    </cfRule>
  </conditionalFormatting>
  <conditionalFormatting sqref="E22">
    <cfRule type="cellIs" dxfId="544" priority="36" operator="greaterThan">
      <formula>13</formula>
    </cfRule>
  </conditionalFormatting>
  <conditionalFormatting sqref="C25:F27 D28 F28">
    <cfRule type="cellIs" dxfId="543" priority="35" operator="equal">
      <formula>13</formula>
    </cfRule>
  </conditionalFormatting>
  <conditionalFormatting sqref="G25:G28">
    <cfRule type="duplicateValues" dxfId="542" priority="33"/>
    <cfRule type="cellIs" dxfId="541" priority="34" operator="equal">
      <formula>13</formula>
    </cfRule>
  </conditionalFormatting>
  <conditionalFormatting sqref="C25:F27 D28 F28">
    <cfRule type="cellIs" dxfId="540" priority="32" operator="greaterThan">
      <formula>13</formula>
    </cfRule>
  </conditionalFormatting>
  <conditionalFormatting sqref="B25:B28">
    <cfRule type="duplicateValues" dxfId="539" priority="31"/>
  </conditionalFormatting>
  <conditionalFormatting sqref="C28">
    <cfRule type="cellIs" dxfId="538" priority="30" operator="equal">
      <formula>13</formula>
    </cfRule>
  </conditionalFormatting>
  <conditionalFormatting sqref="C28">
    <cfRule type="cellIs" dxfId="537" priority="29" operator="greaterThan">
      <formula>13</formula>
    </cfRule>
  </conditionalFormatting>
  <conditionalFormatting sqref="E28">
    <cfRule type="cellIs" dxfId="536" priority="28" operator="equal">
      <formula>13</formula>
    </cfRule>
  </conditionalFormatting>
  <conditionalFormatting sqref="E28">
    <cfRule type="cellIs" dxfId="535" priority="27" operator="greaterThan">
      <formula>13</formula>
    </cfRule>
  </conditionalFormatting>
  <conditionalFormatting sqref="C31:F33 D34 F34">
    <cfRule type="cellIs" dxfId="534" priority="26" operator="equal">
      <formula>13</formula>
    </cfRule>
  </conditionalFormatting>
  <conditionalFormatting sqref="G31:G34">
    <cfRule type="duplicateValues" dxfId="533" priority="24"/>
    <cfRule type="cellIs" dxfId="532" priority="25" operator="equal">
      <formula>13</formula>
    </cfRule>
  </conditionalFormatting>
  <conditionalFormatting sqref="C31:F33 D34 F34">
    <cfRule type="cellIs" dxfId="531" priority="23" operator="greaterThan">
      <formula>13</formula>
    </cfRule>
  </conditionalFormatting>
  <conditionalFormatting sqref="B31:B34">
    <cfRule type="duplicateValues" dxfId="530" priority="22"/>
  </conditionalFormatting>
  <conditionalFormatting sqref="C34">
    <cfRule type="cellIs" dxfId="529" priority="21" operator="equal">
      <formula>13</formula>
    </cfRule>
  </conditionalFormatting>
  <conditionalFormatting sqref="C34">
    <cfRule type="cellIs" dxfId="528" priority="20" operator="greaterThan">
      <formula>13</formula>
    </cfRule>
  </conditionalFormatting>
  <conditionalFormatting sqref="E34">
    <cfRule type="cellIs" dxfId="527" priority="19" operator="equal">
      <formula>13</formula>
    </cfRule>
  </conditionalFormatting>
  <conditionalFormatting sqref="E34">
    <cfRule type="cellIs" dxfId="526" priority="18" operator="greaterThan">
      <formula>13</formula>
    </cfRule>
  </conditionalFormatting>
  <conditionalFormatting sqref="F145:F188 D145:D188">
    <cfRule type="cellIs" dxfId="525" priority="17" operator="equal">
      <formula>13</formula>
    </cfRule>
  </conditionalFormatting>
  <conditionalFormatting sqref="G145:G188">
    <cfRule type="duplicateValues" dxfId="524" priority="15"/>
    <cfRule type="cellIs" dxfId="523" priority="16" operator="equal">
      <formula>13</formula>
    </cfRule>
  </conditionalFormatting>
  <conditionalFormatting sqref="F145:F188 D145:D188">
    <cfRule type="cellIs" dxfId="522" priority="14" operator="greaterThan">
      <formula>13</formula>
    </cfRule>
  </conditionalFormatting>
  <conditionalFormatting sqref="B146:B188">
    <cfRule type="duplicateValues" dxfId="521" priority="13"/>
  </conditionalFormatting>
  <conditionalFormatting sqref="C145:C188">
    <cfRule type="cellIs" dxfId="520" priority="12" operator="equal">
      <formula>13</formula>
    </cfRule>
  </conditionalFormatting>
  <conditionalFormatting sqref="C145:C188">
    <cfRule type="cellIs" dxfId="519" priority="11" operator="greaterThan">
      <formula>13</formula>
    </cfRule>
  </conditionalFormatting>
  <conditionalFormatting sqref="E145:E188">
    <cfRule type="cellIs" dxfId="518" priority="10" operator="equal">
      <formula>13</formula>
    </cfRule>
  </conditionalFormatting>
  <conditionalFormatting sqref="E145:E188">
    <cfRule type="cellIs" dxfId="517" priority="9" operator="greaterThan">
      <formula>13</formula>
    </cfRule>
  </conditionalFormatting>
  <conditionalFormatting sqref="I117:I118 C107:J109 C110:E130 F117:H119 F123:J125 F120:I122 F110:J116 E131:J132 C36:J89 F126:I130">
    <cfRule type="cellIs" dxfId="516" priority="8" stopIfTrue="1" operator="equal">
      <formula>13</formula>
    </cfRule>
  </conditionalFormatting>
  <conditionalFormatting sqref="C90:J95 C97:J106 C96:I96">
    <cfRule type="cellIs" dxfId="515" priority="7" stopIfTrue="1" operator="equal">
      <formula>13</formula>
    </cfRule>
  </conditionalFormatting>
  <conditionalFormatting sqref="E133:J133 E139:J144 E134:I138">
    <cfRule type="cellIs" dxfId="514" priority="6" stopIfTrue="1" operator="equal">
      <formula>13</formula>
    </cfRule>
  </conditionalFormatting>
  <conditionalFormatting sqref="J96">
    <cfRule type="cellIs" dxfId="513" priority="5" stopIfTrue="1" operator="equal">
      <formula>13</formula>
    </cfRule>
  </conditionalFormatting>
  <conditionalFormatting sqref="J134:J138">
    <cfRule type="cellIs" dxfId="512" priority="3" stopIfTrue="1" operator="equal">
      <formula>13</formula>
    </cfRule>
  </conditionalFormatting>
  <conditionalFormatting sqref="J126:J127 J129:J130">
    <cfRule type="cellIs" dxfId="511" priority="2" stopIfTrue="1" operator="equal">
      <formula>13</formula>
    </cfRule>
  </conditionalFormatting>
  <conditionalFormatting sqref="J117:J121">
    <cfRule type="cellIs" dxfId="510" priority="1" stopIfTrue="1" operator="equal">
      <formula>13</formula>
    </cfRule>
  </conditionalFormatting>
  <pageMargins left="0.39370078740157483" right="0.39370078740157483" top="0.78740157480314965" bottom="0.39370078740157483" header="0.59055118110236227" footer="0"/>
  <pageSetup paperSize="9" fitToHeight="0" orientation="landscape" r:id="rId1"/>
  <headerFooter>
    <oddHeader>&amp;R&amp;"Arial,Regular"&amp;9Page &amp;P of &amp;N</oddHeader>
  </headerFooter>
  <rowBreaks count="3" manualBreakCount="3">
    <brk id="34" max="16383" man="1"/>
    <brk id="72" max="16383" man="1"/>
    <brk id="10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showGridLines="0" showRowColHeaders="0" zoomScaleNormal="100" workbookViewId="0">
      <pane ySplit="6" topLeftCell="A7" activePane="bottomLeft" state="frozen"/>
      <selection pane="bottomLeft" activeCell="X1" sqref="X1"/>
    </sheetView>
  </sheetViews>
  <sheetFormatPr defaultRowHeight="12.75" x14ac:dyDescent="0.2"/>
  <cols>
    <col min="1" max="1" width="3.28515625" style="152" customWidth="1"/>
    <col min="2" max="2" width="18.7109375" style="152" bestFit="1" customWidth="1"/>
    <col min="3" max="23" width="3.42578125" style="152" customWidth="1"/>
    <col min="24" max="24" width="6.5703125" style="249" bestFit="1" customWidth="1"/>
    <col min="25" max="25" width="5.140625" style="152" bestFit="1" customWidth="1"/>
    <col min="26" max="26" width="5.28515625" style="152" bestFit="1" customWidth="1"/>
    <col min="27" max="27" width="5.140625" style="152" bestFit="1" customWidth="1"/>
    <col min="28" max="16384" width="9.140625" style="152"/>
  </cols>
  <sheetData>
    <row r="1" spans="1:27" x14ac:dyDescent="0.2">
      <c r="A1" s="151" t="str">
        <f>UPPER((Kalend!E49)&amp;" - "&amp;(Kalend!C49)&amp;" - "&amp;(Kalend!D49))</f>
        <v>L - HOOAJA LÕPETAMINE (PLIKS-PLAKS) - ÜKSIK</v>
      </c>
      <c r="M1" s="113" t="str">
        <f>HYPERLINK("#Kalend!I1","Kalender")</f>
        <v>Kalender</v>
      </c>
      <c r="N1" s="2"/>
      <c r="R1" s="113" t="str">
        <f>HYPERLINK("#Reit!G1","Reiting")</f>
        <v>Reiting</v>
      </c>
      <c r="S1" s="2"/>
      <c r="X1" s="152"/>
      <c r="Z1" s="249" t="s">
        <v>140</v>
      </c>
    </row>
    <row r="2" spans="1:27" x14ac:dyDescent="0.2">
      <c r="A2" s="2" t="str">
        <f>"Toimumisaeg: "&amp;(Kalend!A49)&amp;" kell "&amp;(Kalend!B49)</f>
        <v>Toimumisaeg: P, 15.10.2017 kell 11:00</v>
      </c>
      <c r="X2" s="152"/>
      <c r="Z2" s="249" t="s">
        <v>141</v>
      </c>
    </row>
    <row r="3" spans="1:27" x14ac:dyDescent="0.2">
      <c r="A3" s="2" t="str">
        <f>"Toimumiskoht: "&amp;(Kalend!F49)</f>
        <v>Toimumiskoht: K-Järve spordihoone</v>
      </c>
      <c r="X3" s="152"/>
      <c r="Z3" s="249" t="s">
        <v>142</v>
      </c>
    </row>
    <row r="4" spans="1:27" x14ac:dyDescent="0.2">
      <c r="A4" s="2" t="str">
        <f>"Korraldaja: "&amp;(Kalend!G49)</f>
        <v>Korraldaja: K-Järve SHK, Ivar Viljaste</v>
      </c>
      <c r="X4" s="355"/>
    </row>
    <row r="5" spans="1:27" x14ac:dyDescent="0.2">
      <c r="X5" s="356"/>
    </row>
    <row r="6" spans="1:27" s="249" customFormat="1" x14ac:dyDescent="0.2">
      <c r="A6" s="357" t="s">
        <v>197</v>
      </c>
      <c r="B6" s="306" t="s">
        <v>84</v>
      </c>
      <c r="C6" s="306" t="s">
        <v>197</v>
      </c>
      <c r="D6" s="306">
        <v>1</v>
      </c>
      <c r="E6" s="306">
        <v>2</v>
      </c>
      <c r="F6" s="306">
        <v>3</v>
      </c>
      <c r="G6" s="306">
        <v>4</v>
      </c>
      <c r="H6" s="306">
        <v>5</v>
      </c>
      <c r="I6" s="306">
        <v>6</v>
      </c>
      <c r="J6" s="306">
        <v>7</v>
      </c>
      <c r="K6" s="306">
        <v>8</v>
      </c>
      <c r="L6" s="306">
        <v>9</v>
      </c>
      <c r="M6" s="306">
        <v>10</v>
      </c>
      <c r="N6" s="306">
        <v>11</v>
      </c>
      <c r="O6" s="306">
        <v>12</v>
      </c>
      <c r="P6" s="306">
        <v>13</v>
      </c>
      <c r="Q6" s="306">
        <v>14</v>
      </c>
      <c r="R6" s="306">
        <v>15</v>
      </c>
      <c r="S6" s="306">
        <v>16</v>
      </c>
      <c r="T6" s="306">
        <v>17</v>
      </c>
      <c r="U6" s="306">
        <v>18</v>
      </c>
      <c r="V6" s="306">
        <v>19</v>
      </c>
      <c r="W6" s="306" t="s">
        <v>197</v>
      </c>
      <c r="X6" s="306" t="s">
        <v>144</v>
      </c>
      <c r="Y6" s="306" t="s">
        <v>145</v>
      </c>
      <c r="Z6" s="249" t="s">
        <v>77</v>
      </c>
      <c r="AA6" s="249" t="s">
        <v>146</v>
      </c>
    </row>
    <row r="7" spans="1:27" s="249" customFormat="1" x14ac:dyDescent="0.2">
      <c r="A7" s="359">
        <v>1</v>
      </c>
      <c r="B7" s="252" t="s">
        <v>184</v>
      </c>
      <c r="C7" s="306">
        <v>1</v>
      </c>
      <c r="D7" s="253"/>
      <c r="E7" s="254">
        <v>0</v>
      </c>
      <c r="F7" s="250">
        <v>0</v>
      </c>
      <c r="G7" s="250">
        <v>0</v>
      </c>
      <c r="H7" s="250">
        <v>0</v>
      </c>
      <c r="I7" s="250">
        <v>2</v>
      </c>
      <c r="J7" s="250">
        <v>2</v>
      </c>
      <c r="K7" s="250">
        <v>1</v>
      </c>
      <c r="L7" s="250">
        <v>0</v>
      </c>
      <c r="M7" s="250">
        <v>1</v>
      </c>
      <c r="N7" s="250">
        <v>0</v>
      </c>
      <c r="O7" s="250">
        <v>0</v>
      </c>
      <c r="P7" s="250">
        <v>0</v>
      </c>
      <c r="Q7" s="250">
        <v>2</v>
      </c>
      <c r="R7" s="250">
        <v>2</v>
      </c>
      <c r="S7" s="250">
        <v>0</v>
      </c>
      <c r="T7" s="250">
        <v>0</v>
      </c>
      <c r="U7" s="250">
        <v>0</v>
      </c>
      <c r="V7" s="250">
        <v>2</v>
      </c>
      <c r="W7" s="306">
        <v>1</v>
      </c>
      <c r="X7" s="132">
        <f t="shared" ref="X7:X25" si="0">SUM(D7:V7)+COUNTIF(D7:V7,2)/100</f>
        <v>12.05</v>
      </c>
      <c r="Y7" s="255">
        <f>RANK(X7,X$7:X$25,0)</f>
        <v>18</v>
      </c>
      <c r="Z7" s="360">
        <f t="shared" ref="Z7:Z25" si="1">COUNTIF(D7:V7,"=2")</f>
        <v>5</v>
      </c>
      <c r="AA7" s="361">
        <f t="shared" ref="AA7:AA25" si="2">COUNTIF(D7:V7,"=1")</f>
        <v>2</v>
      </c>
    </row>
    <row r="8" spans="1:27" s="249" customFormat="1" x14ac:dyDescent="0.2">
      <c r="A8" s="359">
        <v>2</v>
      </c>
      <c r="B8" s="1279" t="s">
        <v>158</v>
      </c>
      <c r="C8" s="306">
        <v>2</v>
      </c>
      <c r="D8" s="254">
        <v>2</v>
      </c>
      <c r="E8" s="253"/>
      <c r="F8" s="250">
        <v>0</v>
      </c>
      <c r="G8" s="250">
        <v>0</v>
      </c>
      <c r="H8" s="250">
        <v>2</v>
      </c>
      <c r="I8" s="250">
        <v>2</v>
      </c>
      <c r="J8" s="250">
        <v>2</v>
      </c>
      <c r="K8" s="250">
        <v>1</v>
      </c>
      <c r="L8" s="250">
        <v>0</v>
      </c>
      <c r="M8" s="250">
        <v>2</v>
      </c>
      <c r="N8" s="250">
        <v>2</v>
      </c>
      <c r="O8" s="250">
        <v>1</v>
      </c>
      <c r="P8" s="250">
        <v>2</v>
      </c>
      <c r="Q8" s="250">
        <v>2</v>
      </c>
      <c r="R8" s="250">
        <v>2</v>
      </c>
      <c r="S8" s="250">
        <v>0</v>
      </c>
      <c r="T8" s="250">
        <v>1</v>
      </c>
      <c r="U8" s="250">
        <v>2</v>
      </c>
      <c r="V8" s="250">
        <v>1</v>
      </c>
      <c r="W8" s="306">
        <v>2</v>
      </c>
      <c r="X8" s="132">
        <f t="shared" si="0"/>
        <v>24.1</v>
      </c>
      <c r="Y8" s="1278">
        <f t="shared" ref="Y8:Y25" si="3">RANK(X8,X$7:X$25,0)</f>
        <v>3</v>
      </c>
      <c r="Z8" s="360">
        <f t="shared" si="1"/>
        <v>10</v>
      </c>
      <c r="AA8" s="361">
        <f t="shared" si="2"/>
        <v>4</v>
      </c>
    </row>
    <row r="9" spans="1:27" s="249" customFormat="1" x14ac:dyDescent="0.2">
      <c r="A9" s="359">
        <v>3</v>
      </c>
      <c r="B9" s="653" t="s">
        <v>159</v>
      </c>
      <c r="C9" s="306">
        <v>3</v>
      </c>
      <c r="D9" s="254">
        <v>2</v>
      </c>
      <c r="E9" s="250">
        <v>2</v>
      </c>
      <c r="F9" s="253"/>
      <c r="G9" s="250">
        <v>0</v>
      </c>
      <c r="H9" s="250">
        <v>1</v>
      </c>
      <c r="I9" s="250">
        <v>1</v>
      </c>
      <c r="J9" s="250">
        <v>0</v>
      </c>
      <c r="K9" s="250">
        <v>0</v>
      </c>
      <c r="L9" s="250">
        <v>0</v>
      </c>
      <c r="M9" s="250">
        <v>0</v>
      </c>
      <c r="N9" s="250">
        <v>1</v>
      </c>
      <c r="O9" s="250">
        <v>2</v>
      </c>
      <c r="P9" s="250">
        <v>1</v>
      </c>
      <c r="Q9" s="250">
        <v>2</v>
      </c>
      <c r="R9" s="250">
        <v>0</v>
      </c>
      <c r="S9" s="250">
        <v>0</v>
      </c>
      <c r="T9" s="250">
        <v>1</v>
      </c>
      <c r="U9" s="250">
        <v>2</v>
      </c>
      <c r="V9" s="250">
        <v>0</v>
      </c>
      <c r="W9" s="306">
        <v>3</v>
      </c>
      <c r="X9" s="132">
        <f t="shared" si="0"/>
        <v>15.05</v>
      </c>
      <c r="Y9" s="255">
        <f t="shared" si="3"/>
        <v>15</v>
      </c>
      <c r="Z9" s="360">
        <f t="shared" si="1"/>
        <v>5</v>
      </c>
      <c r="AA9" s="361">
        <f t="shared" si="2"/>
        <v>5</v>
      </c>
    </row>
    <row r="10" spans="1:27" s="249" customFormat="1" x14ac:dyDescent="0.2">
      <c r="A10" s="359">
        <v>4</v>
      </c>
      <c r="B10" s="1275" t="s">
        <v>160</v>
      </c>
      <c r="C10" s="306">
        <v>4</v>
      </c>
      <c r="D10" s="254">
        <v>2</v>
      </c>
      <c r="E10" s="250">
        <v>2</v>
      </c>
      <c r="F10" s="250">
        <v>2</v>
      </c>
      <c r="G10" s="253"/>
      <c r="H10" s="250">
        <v>2</v>
      </c>
      <c r="I10" s="250">
        <v>2</v>
      </c>
      <c r="J10" s="250">
        <v>0</v>
      </c>
      <c r="K10" s="250">
        <v>1</v>
      </c>
      <c r="L10" s="250">
        <v>1</v>
      </c>
      <c r="M10" s="250">
        <v>1</v>
      </c>
      <c r="N10" s="250">
        <v>2</v>
      </c>
      <c r="O10" s="250">
        <v>2</v>
      </c>
      <c r="P10" s="250">
        <v>1</v>
      </c>
      <c r="Q10" s="250">
        <v>2</v>
      </c>
      <c r="R10" s="250">
        <v>2</v>
      </c>
      <c r="S10" s="250">
        <v>0</v>
      </c>
      <c r="T10" s="250">
        <v>0</v>
      </c>
      <c r="U10" s="250">
        <v>2</v>
      </c>
      <c r="V10" s="250">
        <v>1</v>
      </c>
      <c r="W10" s="306">
        <v>4</v>
      </c>
      <c r="X10" s="132">
        <f t="shared" si="0"/>
        <v>25.1</v>
      </c>
      <c r="Y10" s="781">
        <f t="shared" si="3"/>
        <v>1</v>
      </c>
      <c r="Z10" s="360">
        <f t="shared" si="1"/>
        <v>10</v>
      </c>
      <c r="AA10" s="361">
        <f t="shared" si="2"/>
        <v>5</v>
      </c>
    </row>
    <row r="11" spans="1:27" s="249" customFormat="1" x14ac:dyDescent="0.2">
      <c r="A11" s="359">
        <v>5</v>
      </c>
      <c r="B11" s="252" t="s">
        <v>155</v>
      </c>
      <c r="C11" s="306">
        <v>5</v>
      </c>
      <c r="D11" s="254">
        <v>2</v>
      </c>
      <c r="E11" s="250">
        <v>0</v>
      </c>
      <c r="F11" s="250">
        <v>1</v>
      </c>
      <c r="G11" s="250">
        <v>0</v>
      </c>
      <c r="H11" s="253"/>
      <c r="I11" s="254">
        <v>2</v>
      </c>
      <c r="J11" s="250">
        <v>0</v>
      </c>
      <c r="K11" s="250">
        <v>1</v>
      </c>
      <c r="L11" s="250">
        <v>0</v>
      </c>
      <c r="M11" s="250">
        <v>2</v>
      </c>
      <c r="N11" s="250">
        <v>2</v>
      </c>
      <c r="O11" s="250">
        <v>2</v>
      </c>
      <c r="P11" s="250">
        <v>1</v>
      </c>
      <c r="Q11" s="250">
        <v>0</v>
      </c>
      <c r="R11" s="250">
        <v>0</v>
      </c>
      <c r="S11" s="250">
        <v>2</v>
      </c>
      <c r="T11" s="250">
        <v>2</v>
      </c>
      <c r="U11" s="250">
        <v>0</v>
      </c>
      <c r="V11" s="250">
        <v>1</v>
      </c>
      <c r="W11" s="306">
        <v>5</v>
      </c>
      <c r="X11" s="132">
        <f t="shared" si="0"/>
        <v>18.07</v>
      </c>
      <c r="Y11" s="255">
        <f t="shared" si="3"/>
        <v>9</v>
      </c>
      <c r="Z11" s="360">
        <f t="shared" si="1"/>
        <v>7</v>
      </c>
      <c r="AA11" s="361">
        <f t="shared" si="2"/>
        <v>4</v>
      </c>
    </row>
    <row r="12" spans="1:27" s="249" customFormat="1" x14ac:dyDescent="0.2">
      <c r="A12" s="359">
        <v>6</v>
      </c>
      <c r="B12" s="252" t="s">
        <v>165</v>
      </c>
      <c r="C12" s="306">
        <v>6</v>
      </c>
      <c r="D12" s="254">
        <v>0</v>
      </c>
      <c r="E12" s="250">
        <v>0</v>
      </c>
      <c r="F12" s="250">
        <v>1</v>
      </c>
      <c r="G12" s="250">
        <v>0</v>
      </c>
      <c r="H12" s="250">
        <v>0</v>
      </c>
      <c r="I12" s="253"/>
      <c r="J12" s="250">
        <v>0</v>
      </c>
      <c r="K12" s="250">
        <v>0</v>
      </c>
      <c r="L12" s="250">
        <v>2</v>
      </c>
      <c r="M12" s="250">
        <v>0</v>
      </c>
      <c r="N12" s="250">
        <v>0</v>
      </c>
      <c r="O12" s="250">
        <v>2</v>
      </c>
      <c r="P12" s="250">
        <v>1</v>
      </c>
      <c r="Q12" s="250">
        <v>0</v>
      </c>
      <c r="R12" s="250">
        <v>0</v>
      </c>
      <c r="S12" s="250">
        <v>0</v>
      </c>
      <c r="T12" s="250">
        <v>0</v>
      </c>
      <c r="U12" s="250">
        <v>2</v>
      </c>
      <c r="V12" s="250">
        <v>1</v>
      </c>
      <c r="W12" s="306">
        <v>6</v>
      </c>
      <c r="X12" s="132">
        <f t="shared" si="0"/>
        <v>9.0299999999999994</v>
      </c>
      <c r="Y12" s="255">
        <f t="shared" si="3"/>
        <v>19</v>
      </c>
      <c r="Z12" s="360">
        <f t="shared" si="1"/>
        <v>3</v>
      </c>
      <c r="AA12" s="361">
        <f t="shared" si="2"/>
        <v>3</v>
      </c>
    </row>
    <row r="13" spans="1:27" s="249" customFormat="1" x14ac:dyDescent="0.2">
      <c r="A13" s="359">
        <v>7</v>
      </c>
      <c r="B13" s="252" t="s">
        <v>166</v>
      </c>
      <c r="C13" s="306">
        <v>7</v>
      </c>
      <c r="D13" s="254">
        <v>0</v>
      </c>
      <c r="E13" s="250">
        <v>0</v>
      </c>
      <c r="F13" s="250">
        <v>2</v>
      </c>
      <c r="G13" s="250">
        <v>2</v>
      </c>
      <c r="H13" s="250">
        <v>2</v>
      </c>
      <c r="I13" s="250">
        <v>2</v>
      </c>
      <c r="J13" s="253"/>
      <c r="K13" s="250">
        <v>1</v>
      </c>
      <c r="L13" s="250">
        <v>2</v>
      </c>
      <c r="M13" s="250">
        <v>2</v>
      </c>
      <c r="N13" s="250">
        <v>0</v>
      </c>
      <c r="O13" s="250">
        <v>0</v>
      </c>
      <c r="P13" s="250">
        <v>0</v>
      </c>
      <c r="Q13" s="250">
        <v>0</v>
      </c>
      <c r="R13" s="250">
        <v>0</v>
      </c>
      <c r="S13" s="250">
        <v>2</v>
      </c>
      <c r="T13" s="250">
        <v>2</v>
      </c>
      <c r="U13" s="250">
        <v>2</v>
      </c>
      <c r="V13" s="250">
        <v>0</v>
      </c>
      <c r="W13" s="306">
        <v>7</v>
      </c>
      <c r="X13" s="132">
        <f t="shared" si="0"/>
        <v>19.09</v>
      </c>
      <c r="Y13" s="255">
        <f t="shared" si="3"/>
        <v>7</v>
      </c>
      <c r="Z13" s="360">
        <f t="shared" si="1"/>
        <v>9</v>
      </c>
      <c r="AA13" s="361">
        <f t="shared" si="2"/>
        <v>1</v>
      </c>
    </row>
    <row r="14" spans="1:27" s="249" customFormat="1" x14ac:dyDescent="0.2">
      <c r="A14" s="359">
        <v>8</v>
      </c>
      <c r="B14" s="252" t="s">
        <v>162</v>
      </c>
      <c r="C14" s="306">
        <v>8</v>
      </c>
      <c r="D14" s="254">
        <v>1</v>
      </c>
      <c r="E14" s="250">
        <v>1</v>
      </c>
      <c r="F14" s="250">
        <v>2</v>
      </c>
      <c r="G14" s="250">
        <v>1</v>
      </c>
      <c r="H14" s="250">
        <v>1</v>
      </c>
      <c r="I14" s="250">
        <v>2</v>
      </c>
      <c r="J14" s="250">
        <v>1</v>
      </c>
      <c r="K14" s="253"/>
      <c r="L14" s="250">
        <v>1</v>
      </c>
      <c r="M14" s="250">
        <v>0</v>
      </c>
      <c r="N14" s="250">
        <v>0</v>
      </c>
      <c r="O14" s="250">
        <v>2</v>
      </c>
      <c r="P14" s="250">
        <v>1</v>
      </c>
      <c r="Q14" s="250">
        <v>2</v>
      </c>
      <c r="R14" s="250">
        <v>0</v>
      </c>
      <c r="S14" s="250">
        <v>0</v>
      </c>
      <c r="T14" s="250">
        <v>1</v>
      </c>
      <c r="U14" s="250">
        <v>1</v>
      </c>
      <c r="V14" s="250">
        <v>2</v>
      </c>
      <c r="W14" s="306">
        <v>8</v>
      </c>
      <c r="X14" s="132">
        <f t="shared" si="0"/>
        <v>19.05</v>
      </c>
      <c r="Y14" s="255">
        <f t="shared" si="3"/>
        <v>8</v>
      </c>
      <c r="Z14" s="360">
        <f t="shared" si="1"/>
        <v>5</v>
      </c>
      <c r="AA14" s="361">
        <f t="shared" si="2"/>
        <v>9</v>
      </c>
    </row>
    <row r="15" spans="1:27" s="249" customFormat="1" x14ac:dyDescent="0.2">
      <c r="A15" s="359">
        <v>9</v>
      </c>
      <c r="B15" s="252" t="s">
        <v>161</v>
      </c>
      <c r="C15" s="306">
        <v>9</v>
      </c>
      <c r="D15" s="254">
        <v>2</v>
      </c>
      <c r="E15" s="250">
        <v>2</v>
      </c>
      <c r="F15" s="250">
        <v>2</v>
      </c>
      <c r="G15" s="250">
        <v>1</v>
      </c>
      <c r="H15" s="250">
        <v>2</v>
      </c>
      <c r="I15" s="250">
        <v>0</v>
      </c>
      <c r="J15" s="250">
        <v>0</v>
      </c>
      <c r="K15" s="250">
        <v>1</v>
      </c>
      <c r="L15" s="253"/>
      <c r="M15" s="250">
        <v>2</v>
      </c>
      <c r="N15" s="250">
        <v>0</v>
      </c>
      <c r="O15" s="250">
        <v>0</v>
      </c>
      <c r="P15" s="250">
        <v>0</v>
      </c>
      <c r="Q15" s="250">
        <v>1</v>
      </c>
      <c r="R15" s="250">
        <v>0</v>
      </c>
      <c r="S15" s="250">
        <v>0</v>
      </c>
      <c r="T15" s="250">
        <v>0</v>
      </c>
      <c r="U15" s="250">
        <v>0</v>
      </c>
      <c r="V15" s="250">
        <v>1</v>
      </c>
      <c r="W15" s="306">
        <v>9</v>
      </c>
      <c r="X15" s="132">
        <f t="shared" si="0"/>
        <v>14.05</v>
      </c>
      <c r="Y15" s="255">
        <f t="shared" si="3"/>
        <v>16</v>
      </c>
      <c r="Z15" s="360">
        <f t="shared" si="1"/>
        <v>5</v>
      </c>
      <c r="AA15" s="361">
        <f t="shared" si="2"/>
        <v>4</v>
      </c>
    </row>
    <row r="16" spans="1:27" s="249" customFormat="1" x14ac:dyDescent="0.2">
      <c r="A16" s="359">
        <v>10</v>
      </c>
      <c r="B16" s="252" t="s">
        <v>167</v>
      </c>
      <c r="C16" s="306">
        <v>10</v>
      </c>
      <c r="D16" s="254">
        <v>1</v>
      </c>
      <c r="E16" s="250">
        <v>0</v>
      </c>
      <c r="F16" s="250">
        <v>2</v>
      </c>
      <c r="G16" s="250">
        <v>1</v>
      </c>
      <c r="H16" s="250">
        <v>0</v>
      </c>
      <c r="I16" s="250">
        <v>2</v>
      </c>
      <c r="J16" s="250">
        <v>0</v>
      </c>
      <c r="K16" s="250">
        <v>2</v>
      </c>
      <c r="L16" s="250">
        <v>0</v>
      </c>
      <c r="M16" s="253"/>
      <c r="N16" s="250">
        <v>2</v>
      </c>
      <c r="O16" s="250">
        <v>1</v>
      </c>
      <c r="P16" s="250">
        <v>1</v>
      </c>
      <c r="Q16" s="250">
        <v>0</v>
      </c>
      <c r="R16" s="250">
        <v>0</v>
      </c>
      <c r="S16" s="250">
        <v>0</v>
      </c>
      <c r="T16" s="250">
        <v>1</v>
      </c>
      <c r="U16" s="250">
        <v>1</v>
      </c>
      <c r="V16" s="250">
        <v>0</v>
      </c>
      <c r="W16" s="306">
        <v>10</v>
      </c>
      <c r="X16" s="132">
        <f t="shared" si="0"/>
        <v>14.04</v>
      </c>
      <c r="Y16" s="255">
        <f t="shared" si="3"/>
        <v>17</v>
      </c>
      <c r="Z16" s="360">
        <f t="shared" si="1"/>
        <v>4</v>
      </c>
      <c r="AA16" s="361">
        <f t="shared" si="2"/>
        <v>6</v>
      </c>
    </row>
    <row r="17" spans="1:27" s="249" customFormat="1" x14ac:dyDescent="0.2">
      <c r="A17" s="359">
        <v>11</v>
      </c>
      <c r="B17" s="252" t="s">
        <v>156</v>
      </c>
      <c r="C17" s="306">
        <v>11</v>
      </c>
      <c r="D17" s="254">
        <v>2</v>
      </c>
      <c r="E17" s="250">
        <v>0</v>
      </c>
      <c r="F17" s="250">
        <v>1</v>
      </c>
      <c r="G17" s="250">
        <v>0</v>
      </c>
      <c r="H17" s="250">
        <v>0</v>
      </c>
      <c r="I17" s="250">
        <v>2</v>
      </c>
      <c r="J17" s="250">
        <v>2</v>
      </c>
      <c r="K17" s="250">
        <v>2</v>
      </c>
      <c r="L17" s="250">
        <v>2</v>
      </c>
      <c r="M17" s="250">
        <v>0</v>
      </c>
      <c r="N17" s="253"/>
      <c r="O17" s="250">
        <v>1</v>
      </c>
      <c r="P17" s="250">
        <v>1</v>
      </c>
      <c r="Q17" s="250">
        <v>1</v>
      </c>
      <c r="R17" s="250">
        <v>1</v>
      </c>
      <c r="S17" s="250">
        <v>2</v>
      </c>
      <c r="T17" s="250">
        <v>2</v>
      </c>
      <c r="U17" s="250">
        <v>2</v>
      </c>
      <c r="V17" s="250">
        <v>1</v>
      </c>
      <c r="W17" s="306">
        <v>11</v>
      </c>
      <c r="X17" s="132">
        <f t="shared" si="0"/>
        <v>22.08</v>
      </c>
      <c r="Y17" s="255">
        <f t="shared" si="3"/>
        <v>4</v>
      </c>
      <c r="Z17" s="360">
        <f t="shared" si="1"/>
        <v>8</v>
      </c>
      <c r="AA17" s="361">
        <f t="shared" si="2"/>
        <v>6</v>
      </c>
    </row>
    <row r="18" spans="1:27" s="249" customFormat="1" x14ac:dyDescent="0.2">
      <c r="A18" s="359">
        <v>12</v>
      </c>
      <c r="B18" s="252" t="s">
        <v>178</v>
      </c>
      <c r="C18" s="306">
        <v>12</v>
      </c>
      <c r="D18" s="254">
        <v>2</v>
      </c>
      <c r="E18" s="250">
        <v>1</v>
      </c>
      <c r="F18" s="250">
        <v>0</v>
      </c>
      <c r="G18" s="250">
        <v>0</v>
      </c>
      <c r="H18" s="250">
        <v>0</v>
      </c>
      <c r="I18" s="250">
        <v>0</v>
      </c>
      <c r="J18" s="250">
        <v>2</v>
      </c>
      <c r="K18" s="250">
        <v>0</v>
      </c>
      <c r="L18" s="250">
        <v>2</v>
      </c>
      <c r="M18" s="250">
        <v>1</v>
      </c>
      <c r="N18" s="250">
        <v>1</v>
      </c>
      <c r="O18" s="253"/>
      <c r="P18" s="250">
        <v>0</v>
      </c>
      <c r="Q18" s="250">
        <v>0</v>
      </c>
      <c r="R18" s="250">
        <v>2</v>
      </c>
      <c r="S18" s="250">
        <v>2</v>
      </c>
      <c r="T18" s="250">
        <v>2</v>
      </c>
      <c r="U18" s="250">
        <v>0</v>
      </c>
      <c r="V18" s="250">
        <v>1</v>
      </c>
      <c r="W18" s="306">
        <v>12</v>
      </c>
      <c r="X18" s="132">
        <f t="shared" si="0"/>
        <v>16.059999999999999</v>
      </c>
      <c r="Y18" s="255">
        <f t="shared" si="3"/>
        <v>14</v>
      </c>
      <c r="Z18" s="360">
        <f t="shared" si="1"/>
        <v>6</v>
      </c>
      <c r="AA18" s="361">
        <f t="shared" si="2"/>
        <v>4</v>
      </c>
    </row>
    <row r="19" spans="1:27" s="249" customFormat="1" x14ac:dyDescent="0.2">
      <c r="A19" s="359">
        <v>13</v>
      </c>
      <c r="B19" s="252" t="s">
        <v>170</v>
      </c>
      <c r="C19" s="306">
        <v>13</v>
      </c>
      <c r="D19" s="254">
        <v>2</v>
      </c>
      <c r="E19" s="250">
        <v>0</v>
      </c>
      <c r="F19" s="250">
        <v>1</v>
      </c>
      <c r="G19" s="250">
        <v>1</v>
      </c>
      <c r="H19" s="250">
        <v>1</v>
      </c>
      <c r="I19" s="250">
        <v>1</v>
      </c>
      <c r="J19" s="250">
        <v>2</v>
      </c>
      <c r="K19" s="250">
        <v>1</v>
      </c>
      <c r="L19" s="250">
        <v>2</v>
      </c>
      <c r="M19" s="250">
        <v>1</v>
      </c>
      <c r="N19" s="250">
        <v>1</v>
      </c>
      <c r="O19" s="250">
        <v>2</v>
      </c>
      <c r="P19" s="253"/>
      <c r="Q19" s="250">
        <v>0</v>
      </c>
      <c r="R19" s="250">
        <v>0</v>
      </c>
      <c r="S19" s="250">
        <v>1</v>
      </c>
      <c r="T19" s="250">
        <v>2</v>
      </c>
      <c r="U19" s="250">
        <v>0</v>
      </c>
      <c r="V19" s="250">
        <v>0</v>
      </c>
      <c r="W19" s="306">
        <v>13</v>
      </c>
      <c r="X19" s="132">
        <f t="shared" si="0"/>
        <v>18.05</v>
      </c>
      <c r="Y19" s="255">
        <f t="shared" si="3"/>
        <v>10</v>
      </c>
      <c r="Z19" s="360">
        <f t="shared" si="1"/>
        <v>5</v>
      </c>
      <c r="AA19" s="361">
        <f t="shared" si="2"/>
        <v>8</v>
      </c>
    </row>
    <row r="20" spans="1:27" s="249" customFormat="1" x14ac:dyDescent="0.2">
      <c r="A20" s="359">
        <v>14</v>
      </c>
      <c r="B20" s="252" t="s">
        <v>164</v>
      </c>
      <c r="C20" s="306">
        <v>14</v>
      </c>
      <c r="D20" s="254">
        <v>0</v>
      </c>
      <c r="E20" s="250">
        <v>0</v>
      </c>
      <c r="F20" s="250">
        <v>0</v>
      </c>
      <c r="G20" s="250">
        <v>0</v>
      </c>
      <c r="H20" s="250">
        <v>2</v>
      </c>
      <c r="I20" s="250">
        <v>2</v>
      </c>
      <c r="J20" s="250">
        <v>2</v>
      </c>
      <c r="K20" s="250">
        <v>0</v>
      </c>
      <c r="L20" s="250">
        <v>1</v>
      </c>
      <c r="M20" s="250">
        <v>2</v>
      </c>
      <c r="N20" s="250">
        <v>1</v>
      </c>
      <c r="O20" s="250">
        <v>2</v>
      </c>
      <c r="P20" s="250">
        <v>2</v>
      </c>
      <c r="Q20" s="253"/>
      <c r="R20" s="250">
        <v>0</v>
      </c>
      <c r="S20" s="250">
        <v>0</v>
      </c>
      <c r="T20" s="250">
        <v>1</v>
      </c>
      <c r="U20" s="250">
        <v>2</v>
      </c>
      <c r="V20" s="250">
        <v>0</v>
      </c>
      <c r="W20" s="306">
        <v>14</v>
      </c>
      <c r="X20" s="132">
        <f t="shared" si="0"/>
        <v>17.07</v>
      </c>
      <c r="Y20" s="255">
        <f t="shared" si="3"/>
        <v>11</v>
      </c>
      <c r="Z20" s="360">
        <f t="shared" si="1"/>
        <v>7</v>
      </c>
      <c r="AA20" s="361">
        <f t="shared" si="2"/>
        <v>3</v>
      </c>
    </row>
    <row r="21" spans="1:27" s="249" customFormat="1" x14ac:dyDescent="0.2">
      <c r="A21" s="359">
        <v>15</v>
      </c>
      <c r="B21" s="1277" t="s">
        <v>171</v>
      </c>
      <c r="C21" s="306">
        <v>15</v>
      </c>
      <c r="D21" s="254">
        <v>0</v>
      </c>
      <c r="E21" s="250">
        <v>0</v>
      </c>
      <c r="F21" s="250">
        <v>2</v>
      </c>
      <c r="G21" s="250">
        <v>0</v>
      </c>
      <c r="H21" s="250">
        <v>2</v>
      </c>
      <c r="I21" s="250">
        <v>2</v>
      </c>
      <c r="J21" s="250">
        <v>2</v>
      </c>
      <c r="K21" s="250">
        <v>2</v>
      </c>
      <c r="L21" s="250">
        <v>2</v>
      </c>
      <c r="M21" s="250">
        <v>2</v>
      </c>
      <c r="N21" s="250">
        <v>1</v>
      </c>
      <c r="O21" s="250">
        <v>0</v>
      </c>
      <c r="P21" s="250">
        <v>2</v>
      </c>
      <c r="Q21" s="250">
        <v>2</v>
      </c>
      <c r="R21" s="253"/>
      <c r="S21" s="250">
        <v>2</v>
      </c>
      <c r="T21" s="250">
        <v>2</v>
      </c>
      <c r="U21" s="250">
        <v>0</v>
      </c>
      <c r="V21" s="250">
        <v>1</v>
      </c>
      <c r="W21" s="306">
        <v>15</v>
      </c>
      <c r="X21" s="132">
        <f t="shared" si="0"/>
        <v>24.11</v>
      </c>
      <c r="Y21" s="1276">
        <f t="shared" si="3"/>
        <v>2</v>
      </c>
      <c r="Z21" s="360">
        <f t="shared" si="1"/>
        <v>11</v>
      </c>
      <c r="AA21" s="361">
        <f t="shared" si="2"/>
        <v>2</v>
      </c>
    </row>
    <row r="22" spans="1:27" s="249" customFormat="1" x14ac:dyDescent="0.2">
      <c r="A22" s="359">
        <v>16</v>
      </c>
      <c r="B22" s="252" t="s">
        <v>157</v>
      </c>
      <c r="C22" s="306">
        <v>16</v>
      </c>
      <c r="D22" s="254">
        <v>2</v>
      </c>
      <c r="E22" s="250">
        <v>2</v>
      </c>
      <c r="F22" s="250">
        <v>2</v>
      </c>
      <c r="G22" s="250">
        <v>2</v>
      </c>
      <c r="H22" s="250">
        <v>0</v>
      </c>
      <c r="I22" s="250">
        <v>2</v>
      </c>
      <c r="J22" s="250">
        <v>0</v>
      </c>
      <c r="K22" s="250">
        <v>2</v>
      </c>
      <c r="L22" s="250">
        <v>2</v>
      </c>
      <c r="M22" s="250">
        <v>2</v>
      </c>
      <c r="N22" s="250">
        <v>0</v>
      </c>
      <c r="O22" s="250">
        <v>0</v>
      </c>
      <c r="P22" s="250">
        <v>1</v>
      </c>
      <c r="Q22" s="250">
        <v>2</v>
      </c>
      <c r="R22" s="250">
        <v>0</v>
      </c>
      <c r="S22" s="253"/>
      <c r="T22" s="250">
        <v>0</v>
      </c>
      <c r="U22" s="250">
        <v>0</v>
      </c>
      <c r="V22" s="250">
        <v>2</v>
      </c>
      <c r="W22" s="306">
        <v>16</v>
      </c>
      <c r="X22" s="132">
        <f t="shared" si="0"/>
        <v>21.1</v>
      </c>
      <c r="Y22" s="255">
        <f t="shared" si="3"/>
        <v>5</v>
      </c>
      <c r="Z22" s="360">
        <f t="shared" si="1"/>
        <v>10</v>
      </c>
      <c r="AA22" s="361">
        <f t="shared" si="2"/>
        <v>1</v>
      </c>
    </row>
    <row r="23" spans="1:27" s="249" customFormat="1" x14ac:dyDescent="0.2">
      <c r="A23" s="359">
        <v>17</v>
      </c>
      <c r="B23" s="252" t="s">
        <v>314</v>
      </c>
      <c r="C23" s="306">
        <v>17</v>
      </c>
      <c r="D23" s="254">
        <v>2</v>
      </c>
      <c r="E23" s="250">
        <v>1</v>
      </c>
      <c r="F23" s="250">
        <v>1</v>
      </c>
      <c r="G23" s="250">
        <v>2</v>
      </c>
      <c r="H23" s="250">
        <v>0</v>
      </c>
      <c r="I23" s="250">
        <v>2</v>
      </c>
      <c r="J23" s="250">
        <v>0</v>
      </c>
      <c r="K23" s="250">
        <v>1</v>
      </c>
      <c r="L23" s="250">
        <v>2</v>
      </c>
      <c r="M23" s="250">
        <v>1</v>
      </c>
      <c r="N23" s="250">
        <v>0</v>
      </c>
      <c r="O23" s="250">
        <v>0</v>
      </c>
      <c r="P23" s="250">
        <v>0</v>
      </c>
      <c r="Q23" s="250">
        <v>1</v>
      </c>
      <c r="R23" s="250">
        <v>0</v>
      </c>
      <c r="S23" s="250">
        <v>2</v>
      </c>
      <c r="T23" s="253"/>
      <c r="U23" s="254">
        <v>1</v>
      </c>
      <c r="V23" s="254">
        <v>1</v>
      </c>
      <c r="W23" s="306">
        <v>17</v>
      </c>
      <c r="X23" s="132">
        <f t="shared" si="0"/>
        <v>17.05</v>
      </c>
      <c r="Y23" s="255">
        <f t="shared" si="3"/>
        <v>13</v>
      </c>
      <c r="Z23" s="360">
        <f t="shared" si="1"/>
        <v>5</v>
      </c>
      <c r="AA23" s="361">
        <f t="shared" si="2"/>
        <v>7</v>
      </c>
    </row>
    <row r="24" spans="1:27" s="249" customFormat="1" x14ac:dyDescent="0.2">
      <c r="A24" s="359">
        <v>18</v>
      </c>
      <c r="B24" s="252" t="s">
        <v>313</v>
      </c>
      <c r="C24" s="306">
        <v>18</v>
      </c>
      <c r="D24" s="254">
        <v>2</v>
      </c>
      <c r="E24" s="250">
        <v>0</v>
      </c>
      <c r="F24" s="250">
        <v>0</v>
      </c>
      <c r="G24" s="250">
        <v>0</v>
      </c>
      <c r="H24" s="250">
        <v>2</v>
      </c>
      <c r="I24" s="250">
        <v>0</v>
      </c>
      <c r="J24" s="250">
        <v>0</v>
      </c>
      <c r="K24" s="250">
        <v>1</v>
      </c>
      <c r="L24" s="250">
        <v>2</v>
      </c>
      <c r="M24" s="250">
        <v>1</v>
      </c>
      <c r="N24" s="250">
        <v>0</v>
      </c>
      <c r="O24" s="250">
        <v>2</v>
      </c>
      <c r="P24" s="250">
        <v>2</v>
      </c>
      <c r="Q24" s="250">
        <v>0</v>
      </c>
      <c r="R24" s="250">
        <v>2</v>
      </c>
      <c r="S24" s="250">
        <v>2</v>
      </c>
      <c r="T24" s="254">
        <v>1</v>
      </c>
      <c r="U24" s="253"/>
      <c r="V24" s="254">
        <v>0</v>
      </c>
      <c r="W24" s="306">
        <v>18</v>
      </c>
      <c r="X24" s="132">
        <f t="shared" si="0"/>
        <v>17.07</v>
      </c>
      <c r="Y24" s="255">
        <v>12</v>
      </c>
      <c r="Z24" s="360">
        <f t="shared" si="1"/>
        <v>7</v>
      </c>
      <c r="AA24" s="361">
        <f t="shared" si="2"/>
        <v>3</v>
      </c>
    </row>
    <row r="25" spans="1:27" s="249" customFormat="1" x14ac:dyDescent="0.2">
      <c r="A25" s="359">
        <v>19</v>
      </c>
      <c r="B25" s="252" t="s">
        <v>175</v>
      </c>
      <c r="C25" s="306">
        <v>19</v>
      </c>
      <c r="D25" s="254">
        <v>0</v>
      </c>
      <c r="E25" s="250">
        <v>1</v>
      </c>
      <c r="F25" s="250">
        <v>2</v>
      </c>
      <c r="G25" s="250">
        <v>1</v>
      </c>
      <c r="H25" s="250">
        <v>1</v>
      </c>
      <c r="I25" s="250">
        <v>1</v>
      </c>
      <c r="J25" s="250">
        <v>2</v>
      </c>
      <c r="K25" s="250">
        <v>0</v>
      </c>
      <c r="L25" s="250">
        <v>1</v>
      </c>
      <c r="M25" s="250">
        <v>2</v>
      </c>
      <c r="N25" s="250">
        <v>1</v>
      </c>
      <c r="O25" s="250">
        <v>1</v>
      </c>
      <c r="P25" s="250">
        <v>2</v>
      </c>
      <c r="Q25" s="250">
        <v>2</v>
      </c>
      <c r="R25" s="250">
        <v>1</v>
      </c>
      <c r="S25" s="250">
        <v>0</v>
      </c>
      <c r="T25" s="254">
        <v>1</v>
      </c>
      <c r="U25" s="254">
        <v>2</v>
      </c>
      <c r="V25" s="253"/>
      <c r="W25" s="306">
        <v>19</v>
      </c>
      <c r="X25" s="132">
        <f t="shared" si="0"/>
        <v>21.06</v>
      </c>
      <c r="Y25" s="255">
        <f t="shared" si="3"/>
        <v>6</v>
      </c>
      <c r="Z25" s="360">
        <f t="shared" si="1"/>
        <v>6</v>
      </c>
      <c r="AA25" s="361">
        <f t="shared" si="2"/>
        <v>9</v>
      </c>
    </row>
    <row r="26" spans="1:27" s="249" customFormat="1" x14ac:dyDescent="0.2">
      <c r="A26" s="358"/>
      <c r="B26" s="306" t="s">
        <v>84</v>
      </c>
      <c r="C26" s="306" t="s">
        <v>197</v>
      </c>
      <c r="D26" s="306">
        <v>1</v>
      </c>
      <c r="E26" s="306">
        <v>2</v>
      </c>
      <c r="F26" s="306">
        <v>3</v>
      </c>
      <c r="G26" s="306">
        <v>4</v>
      </c>
      <c r="H26" s="306">
        <v>5</v>
      </c>
      <c r="I26" s="306">
        <v>6</v>
      </c>
      <c r="J26" s="306">
        <v>7</v>
      </c>
      <c r="K26" s="306">
        <v>8</v>
      </c>
      <c r="L26" s="306">
        <v>9</v>
      </c>
      <c r="M26" s="306">
        <v>10</v>
      </c>
      <c r="N26" s="306">
        <v>11</v>
      </c>
      <c r="O26" s="306">
        <v>12</v>
      </c>
      <c r="P26" s="306">
        <v>13</v>
      </c>
      <c r="Q26" s="306">
        <v>14</v>
      </c>
      <c r="R26" s="306">
        <v>15</v>
      </c>
      <c r="S26" s="306">
        <v>16</v>
      </c>
      <c r="T26" s="306">
        <v>17</v>
      </c>
      <c r="U26" s="306">
        <v>18</v>
      </c>
      <c r="V26" s="306">
        <v>19</v>
      </c>
      <c r="W26" s="306" t="s">
        <v>197</v>
      </c>
      <c r="X26" s="306" t="s">
        <v>144</v>
      </c>
      <c r="Y26" s="306" t="s">
        <v>145</v>
      </c>
    </row>
    <row r="27" spans="1:27" s="249" customFormat="1" x14ac:dyDescent="0.2">
      <c r="X27" s="362"/>
    </row>
    <row r="28" spans="1:27" s="249" customFormat="1" x14ac:dyDescent="0.2">
      <c r="A28" s="249" t="s">
        <v>198</v>
      </c>
      <c r="X28" s="363"/>
    </row>
    <row r="29" spans="1:27" s="249" customFormat="1" x14ac:dyDescent="0.2">
      <c r="A29" s="249" t="s">
        <v>199</v>
      </c>
      <c r="X29" s="363"/>
    </row>
    <row r="30" spans="1:27" x14ac:dyDescent="0.2">
      <c r="A30" s="249" t="s">
        <v>200</v>
      </c>
      <c r="X30" s="363"/>
    </row>
    <row r="31" spans="1:27" x14ac:dyDescent="0.2">
      <c r="A31" s="249"/>
      <c r="X31" s="363"/>
    </row>
    <row r="32" spans="1:27" x14ac:dyDescent="0.2">
      <c r="A32" s="777">
        <v>1</v>
      </c>
      <c r="B32" s="1280" t="s">
        <v>160</v>
      </c>
      <c r="E32" s="777">
        <v>11</v>
      </c>
      <c r="F32" s="1281" t="s">
        <v>164</v>
      </c>
      <c r="G32" s="1081"/>
      <c r="H32" s="1081"/>
      <c r="I32" s="1081"/>
      <c r="J32" s="1081"/>
      <c r="K32" s="1082"/>
      <c r="X32" s="363"/>
    </row>
    <row r="33" spans="1:24" x14ac:dyDescent="0.2">
      <c r="A33" s="777">
        <v>2</v>
      </c>
      <c r="B33" s="1277" t="s">
        <v>171</v>
      </c>
      <c r="E33" s="777">
        <v>12</v>
      </c>
      <c r="F33" s="1281" t="s">
        <v>313</v>
      </c>
      <c r="G33" s="1081"/>
      <c r="H33" s="1081"/>
      <c r="I33" s="1081"/>
      <c r="J33" s="1081"/>
      <c r="K33" s="1082"/>
      <c r="X33" s="363"/>
    </row>
    <row r="34" spans="1:24" x14ac:dyDescent="0.2">
      <c r="A34" s="777">
        <v>3</v>
      </c>
      <c r="B34" s="1279" t="s">
        <v>158</v>
      </c>
      <c r="E34" s="777">
        <v>13</v>
      </c>
      <c r="F34" s="1281" t="s">
        <v>314</v>
      </c>
      <c r="G34" s="1081"/>
      <c r="H34" s="1081"/>
      <c r="I34" s="1081"/>
      <c r="J34" s="1081"/>
      <c r="K34" s="1082"/>
      <c r="X34" s="363"/>
    </row>
    <row r="35" spans="1:24" x14ac:dyDescent="0.2">
      <c r="A35" s="777">
        <v>4</v>
      </c>
      <c r="B35" s="252" t="s">
        <v>156</v>
      </c>
      <c r="E35" s="777">
        <v>14</v>
      </c>
      <c r="F35" s="1281" t="s">
        <v>178</v>
      </c>
      <c r="G35" s="1081"/>
      <c r="H35" s="1081"/>
      <c r="I35" s="1081"/>
      <c r="J35" s="1081"/>
      <c r="K35" s="1082"/>
      <c r="X35" s="363"/>
    </row>
    <row r="36" spans="1:24" x14ac:dyDescent="0.2">
      <c r="A36" s="777">
        <v>5</v>
      </c>
      <c r="B36" s="252" t="s">
        <v>157</v>
      </c>
      <c r="E36" s="777">
        <v>15</v>
      </c>
      <c r="F36" s="1282" t="s">
        <v>159</v>
      </c>
      <c r="G36" s="1081"/>
      <c r="H36" s="1081"/>
      <c r="I36" s="1081"/>
      <c r="J36" s="1081"/>
      <c r="K36" s="1082"/>
      <c r="X36" s="363"/>
    </row>
    <row r="37" spans="1:24" x14ac:dyDescent="0.2">
      <c r="A37" s="777">
        <v>6</v>
      </c>
      <c r="B37" s="252" t="s">
        <v>175</v>
      </c>
      <c r="E37" s="777">
        <v>16</v>
      </c>
      <c r="F37" s="1281" t="s">
        <v>161</v>
      </c>
      <c r="G37" s="1081"/>
      <c r="H37" s="1081"/>
      <c r="I37" s="1081"/>
      <c r="J37" s="1081"/>
      <c r="K37" s="1082"/>
      <c r="X37" s="364"/>
    </row>
    <row r="38" spans="1:24" x14ac:dyDescent="0.2">
      <c r="A38" s="777">
        <v>7</v>
      </c>
      <c r="B38" s="252" t="s">
        <v>166</v>
      </c>
      <c r="E38" s="777">
        <v>17</v>
      </c>
      <c r="F38" s="1281" t="s">
        <v>167</v>
      </c>
      <c r="G38" s="1081"/>
      <c r="H38" s="1081"/>
      <c r="I38" s="1081"/>
      <c r="J38" s="1081"/>
      <c r="K38" s="1082"/>
      <c r="X38" s="364"/>
    </row>
    <row r="39" spans="1:24" x14ac:dyDescent="0.2">
      <c r="A39" s="777">
        <v>8</v>
      </c>
      <c r="B39" s="252" t="s">
        <v>162</v>
      </c>
      <c r="E39" s="777">
        <v>18</v>
      </c>
      <c r="F39" s="1281" t="s">
        <v>184</v>
      </c>
      <c r="G39" s="1081"/>
      <c r="H39" s="1081"/>
      <c r="I39" s="1081"/>
      <c r="J39" s="1081"/>
      <c r="K39" s="1082"/>
    </row>
    <row r="40" spans="1:24" x14ac:dyDescent="0.2">
      <c r="A40" s="777">
        <v>9</v>
      </c>
      <c r="B40" s="252" t="s">
        <v>155</v>
      </c>
      <c r="E40" s="777">
        <v>19</v>
      </c>
      <c r="F40" s="1281" t="s">
        <v>165</v>
      </c>
      <c r="G40" s="1081"/>
      <c r="H40" s="1081"/>
      <c r="I40" s="1081"/>
      <c r="J40" s="1081"/>
      <c r="K40" s="1082"/>
    </row>
    <row r="41" spans="1:24" x14ac:dyDescent="0.2">
      <c r="A41" s="777">
        <v>10</v>
      </c>
      <c r="B41" s="252" t="s">
        <v>170</v>
      </c>
    </row>
  </sheetData>
  <sortState ref="A33:B51">
    <sortCondition ref="A33"/>
  </sortState>
  <conditionalFormatting sqref="D7:V25">
    <cfRule type="cellIs" dxfId="509" priority="4" stopIfTrue="1" operator="greaterThan">
      <formula>2</formula>
    </cfRule>
  </conditionalFormatting>
  <conditionalFormatting sqref="B9">
    <cfRule type="duplicateValues" dxfId="508" priority="3" stopIfTrue="1"/>
  </conditionalFormatting>
  <conditionalFormatting sqref="X7:X25">
    <cfRule type="duplicateValues" dxfId="507" priority="353" stopIfTrue="1"/>
  </conditionalFormatting>
  <conditionalFormatting sqref="B34">
    <cfRule type="duplicateValues" dxfId="506" priority="2" stopIfTrue="1"/>
  </conditionalFormatting>
  <conditionalFormatting sqref="Z7:Z25">
    <cfRule type="top10" dxfId="505" priority="1" rank="1"/>
  </conditionalFormatting>
  <pageMargins left="0.78740157480314965" right="0.39370078740157483" top="0.78740157480314965" bottom="0.39370078740157483" header="0.59055118110236227" footer="0"/>
  <pageSetup paperSize="9" fitToHeight="0" orientation="landscape" r:id="rId1"/>
  <headerFooter>
    <oddHeader>&amp;R&amp;"Arial,Regular"&amp;9Page &amp;P of &amp;N</oddHeader>
  </headerFooter>
  <rowBreaks count="1" manualBreakCount="1">
    <brk id="41" max="26" man="1"/>
  </rowBreaks>
  <ignoredErrors>
    <ignoredError sqref="X8:X25 X7 Z7:AA7 Z8:AA25" formulaRange="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T36"/>
  <sheetViews>
    <sheetView showGridLines="0" showRowColHeaders="0" zoomScaleNormal="100" workbookViewId="0">
      <pane ySplit="6" topLeftCell="A7" activePane="bottomLeft" state="frozen"/>
      <selection activeCell="N1" sqref="N1"/>
      <selection pane="bottomLeft" activeCell="M1" sqref="M1"/>
    </sheetView>
  </sheetViews>
  <sheetFormatPr defaultRowHeight="12.75" x14ac:dyDescent="0.2"/>
  <cols>
    <col min="1" max="2" width="3.28515625" style="108" customWidth="1"/>
    <col min="3" max="4" width="3.28515625" style="112" customWidth="1"/>
    <col min="5" max="5" width="3.28515625" style="108" customWidth="1"/>
    <col min="6" max="6" width="4" style="108" customWidth="1"/>
    <col min="7" max="7" width="23.7109375" style="108" bestFit="1" customWidth="1"/>
    <col min="8" max="8" width="4" style="140" bestFit="1" customWidth="1"/>
    <col min="9" max="9" width="4" style="140" customWidth="1"/>
    <col min="10" max="10" width="6.7109375" style="140" hidden="1" customWidth="1"/>
    <col min="11" max="11" width="20.42578125" style="140" hidden="1" customWidth="1"/>
    <col min="12" max="12" width="7.5703125" style="140" hidden="1" customWidth="1"/>
    <col min="13" max="16" width="5.5703125" style="112" bestFit="1" customWidth="1"/>
    <col min="17" max="17" width="5.5703125" style="112" customWidth="1"/>
    <col min="18" max="20" width="3.28515625" style="108" bestFit="1" customWidth="1"/>
    <col min="21" max="16384" width="9.140625" style="108"/>
  </cols>
  <sheetData>
    <row r="1" spans="1:20" x14ac:dyDescent="0.2">
      <c r="A1" s="109"/>
      <c r="C1" s="109" t="s">
        <v>382</v>
      </c>
      <c r="D1" s="110"/>
      <c r="F1" s="109"/>
      <c r="G1" s="110"/>
      <c r="H1" s="110"/>
      <c r="I1" s="110"/>
      <c r="J1" s="111"/>
      <c r="K1" s="111"/>
      <c r="L1" s="110"/>
      <c r="M1" s="110"/>
      <c r="O1" s="113"/>
      <c r="P1" s="110"/>
      <c r="Q1" s="114" t="s">
        <v>70</v>
      </c>
      <c r="R1" s="115"/>
      <c r="S1" s="116" t="s">
        <v>71</v>
      </c>
      <c r="T1" s="116"/>
    </row>
    <row r="2" spans="1:20" x14ac:dyDescent="0.2">
      <c r="A2" s="117"/>
      <c r="C2" s="117" t="s">
        <v>72</v>
      </c>
      <c r="D2" s="110"/>
      <c r="F2" s="117"/>
      <c r="G2" s="110"/>
      <c r="H2" s="110"/>
      <c r="I2" s="110"/>
      <c r="J2" s="111"/>
      <c r="K2" s="111"/>
      <c r="L2" s="110"/>
      <c r="M2" s="110"/>
      <c r="N2" s="110"/>
      <c r="O2" s="110"/>
      <c r="P2" s="110"/>
      <c r="Q2" s="110"/>
      <c r="S2" s="118" t="s">
        <v>73</v>
      </c>
      <c r="T2" s="118"/>
    </row>
    <row r="3" spans="1:20" x14ac:dyDescent="0.2">
      <c r="A3" s="110"/>
      <c r="B3" s="110"/>
      <c r="C3" s="110"/>
      <c r="D3" s="110"/>
      <c r="E3" s="110" t="s">
        <v>13</v>
      </c>
      <c r="F3" s="110"/>
      <c r="G3" s="110"/>
      <c r="H3" s="110"/>
      <c r="I3" s="110"/>
      <c r="J3" s="110"/>
      <c r="K3" s="110"/>
      <c r="L3" s="110"/>
      <c r="S3" s="119" t="s">
        <v>74</v>
      </c>
      <c r="T3" s="119"/>
    </row>
    <row r="4" spans="1:20" ht="31.5" customHeight="1" x14ac:dyDescent="0.2">
      <c r="A4" s="137"/>
      <c r="B4" s="137"/>
      <c r="C4" s="137"/>
      <c r="D4" s="137"/>
      <c r="E4" s="137"/>
      <c r="F4" s="137"/>
      <c r="G4" s="137"/>
      <c r="H4" s="137"/>
      <c r="I4" s="120"/>
      <c r="J4" s="120"/>
      <c r="K4" s="120"/>
      <c r="L4" s="120"/>
      <c r="M4" s="121" t="str">
        <f>MID(Kalend!$A9,4,5)</f>
        <v>16.05</v>
      </c>
      <c r="N4" s="121" t="str">
        <f>MID(Kalend!$A18,4,5)</f>
        <v>13.06</v>
      </c>
      <c r="O4" s="121" t="str">
        <f>MID(Kalend!$A24,4,5)</f>
        <v>04.07</v>
      </c>
      <c r="P4" s="121" t="str">
        <f>MID(Kalend!$A42,4,5)</f>
        <v>23.09</v>
      </c>
      <c r="Q4" s="121" t="str">
        <f>MID(Kalend!$A46,4,5)</f>
        <v>01.10</v>
      </c>
      <c r="R4" s="1441" t="s">
        <v>75</v>
      </c>
      <c r="S4" s="1442" t="s">
        <v>76</v>
      </c>
      <c r="T4" s="1443" t="s">
        <v>77</v>
      </c>
    </row>
    <row r="5" spans="1:20" x14ac:dyDescent="0.2">
      <c r="A5" s="606"/>
      <c r="B5" s="1332"/>
      <c r="C5" s="1333"/>
      <c r="D5" s="1333"/>
      <c r="E5" s="1334"/>
      <c r="F5" s="1335" t="s">
        <v>78</v>
      </c>
      <c r="G5" s="122"/>
      <c r="H5" s="598" t="s">
        <v>153</v>
      </c>
      <c r="I5" s="602"/>
      <c r="J5" s="122"/>
      <c r="K5" s="122"/>
      <c r="L5" s="122"/>
      <c r="M5" s="417" t="s">
        <v>87</v>
      </c>
      <c r="N5" s="417" t="s">
        <v>88</v>
      </c>
      <c r="O5" s="417" t="s">
        <v>87</v>
      </c>
      <c r="P5" s="418" t="s">
        <v>88</v>
      </c>
      <c r="Q5" s="418" t="s">
        <v>89</v>
      </c>
      <c r="R5" s="1441"/>
      <c r="S5" s="1442"/>
      <c r="T5" s="1443"/>
    </row>
    <row r="6" spans="1:20" x14ac:dyDescent="0.2">
      <c r="A6" s="125" t="s">
        <v>80</v>
      </c>
      <c r="B6" s="126" t="s">
        <v>81</v>
      </c>
      <c r="C6" s="127" t="s">
        <v>82</v>
      </c>
      <c r="D6" s="124" t="s">
        <v>83</v>
      </c>
      <c r="E6" s="1338" t="s">
        <v>79</v>
      </c>
      <c r="F6" s="599" t="s">
        <v>375</v>
      </c>
      <c r="G6" s="124" t="s">
        <v>84</v>
      </c>
      <c r="H6" s="599" t="s">
        <v>83</v>
      </c>
      <c r="I6" s="1336" t="s">
        <v>79</v>
      </c>
      <c r="J6" s="129" t="s">
        <v>85</v>
      </c>
      <c r="K6" s="128" t="s">
        <v>154</v>
      </c>
      <c r="L6" s="128" t="s">
        <v>86</v>
      </c>
      <c r="M6" s="123" t="str">
        <f>HYPERLINK("#'M1'!I1"," M1 ")</f>
        <v xml:space="preserve"> M1 </v>
      </c>
      <c r="N6" s="123" t="str">
        <f>HYPERLINK("#'M2'!I1"," M2 ")</f>
        <v xml:space="preserve"> M2 </v>
      </c>
      <c r="O6" s="123" t="str">
        <f>HYPERLINK("#'M3'!I1"," M3 ")</f>
        <v xml:space="preserve"> M3 </v>
      </c>
      <c r="P6" s="123" t="str">
        <f>HYPERLINK("#'M4'!I1"," M4 ")</f>
        <v xml:space="preserve"> M4 </v>
      </c>
      <c r="Q6" s="123" t="str">
        <f>HYPERLINK("#'M5'!I1"," M5 ")</f>
        <v xml:space="preserve"> M5 </v>
      </c>
      <c r="R6" s="130"/>
      <c r="S6" s="131"/>
      <c r="T6" s="115"/>
    </row>
    <row r="7" spans="1:20" x14ac:dyDescent="0.2">
      <c r="A7" s="1340">
        <v>1</v>
      </c>
      <c r="B7" s="1341"/>
      <c r="C7" s="1342"/>
      <c r="D7" s="1343"/>
      <c r="E7" s="1339">
        <f t="shared" ref="E7:E30" si="0">RANK(I7,I$7:I$30,0)</f>
        <v>1</v>
      </c>
      <c r="F7" s="601">
        <v>1</v>
      </c>
      <c r="G7" s="971" t="s">
        <v>158</v>
      </c>
      <c r="H7" s="600">
        <v>114.12</v>
      </c>
      <c r="I7" s="1337">
        <f t="shared" ref="I7:I30" si="1">J7+L7</f>
        <v>114.12</v>
      </c>
      <c r="J7" s="134">
        <f t="shared" ref="J7:J30" si="2">IF(Q7="",0,RANK(Q7,Q$7:Q$30,1)/100)</f>
        <v>0.12</v>
      </c>
      <c r="K7" s="612">
        <f t="shared" ref="K7:K30" si="3">COUNTIF(M7:Q7,40)/1000+COUNTIF(M7:Q7,34)/10000+COUNTIF(M7:Q7,30)/100000+COUNTIF(M7:Q7,26)/1000000+COUNTIF(M7:Q7,24)/10000000+COUNTIF(M7:Q7,22)/100000000+COUNTIF(M7:Q7,20)/1000000000+COUNTIF(M7:Q7,18)/10000000000+COUNTIF(M7:Q7,16)/100000000000+COUNTIF(M7:Q7,14)/1000000000000+COUNTIF(M7:Q7,12)/10000000000000+COUNTIF(M7:Q7,10)/100000000000000+COUNTIF(M7:Q7,8)/1000000000000000+COUNTIF(M7:Q7,6)/10000000000000000+COUNTIF(M7:Q7,4)/10000000000000000+COUNTIF(M7:Q7,2)/100000000000000000</f>
        <v>2.101E-3</v>
      </c>
      <c r="L7" s="133">
        <f t="array" ref="L7">(IF(COUNT(M7,O7)&lt;1,SUM(M7,O7),SUM(LARGE((M7,O7),{1}))))+(IF(COUNT(N7,P7)&lt;1,SUM(N7,P7),SUM(LARGE((N7,P7),{1}))))+Q7</f>
        <v>114</v>
      </c>
      <c r="M7" s="135">
        <v>40</v>
      </c>
      <c r="N7" s="580">
        <v>26</v>
      </c>
      <c r="O7" s="877" t="s">
        <v>251</v>
      </c>
      <c r="P7" s="135">
        <v>34</v>
      </c>
      <c r="Q7" s="135">
        <v>40</v>
      </c>
      <c r="R7" s="136">
        <f t="shared" ref="R7:R30" si="4">COUNTIF(M7:Q7,"&gt;=0")</f>
        <v>4</v>
      </c>
      <c r="S7" s="136">
        <f t="shared" ref="S7:S30" si="5">COUNTIF(M7:Q7,"&gt;=30")</f>
        <v>3</v>
      </c>
      <c r="T7" s="136">
        <f t="shared" ref="T7:T30" si="6">COUNTIF(M7:Q7,"=40")</f>
        <v>2</v>
      </c>
    </row>
    <row r="8" spans="1:20" x14ac:dyDescent="0.2">
      <c r="A8" s="1340">
        <v>2</v>
      </c>
      <c r="B8" s="1341"/>
      <c r="C8" s="1342"/>
      <c r="D8" s="1343"/>
      <c r="E8" s="1339">
        <f t="shared" si="0"/>
        <v>2</v>
      </c>
      <c r="F8" s="601">
        <v>2</v>
      </c>
      <c r="G8" s="972" t="s">
        <v>167</v>
      </c>
      <c r="H8" s="600">
        <v>106.09</v>
      </c>
      <c r="I8" s="1337">
        <f t="shared" si="1"/>
        <v>106.09</v>
      </c>
      <c r="J8" s="134">
        <f t="shared" si="2"/>
        <v>0.09</v>
      </c>
      <c r="K8" s="612">
        <f t="shared" si="3"/>
        <v>2.1010999999999998E-3</v>
      </c>
      <c r="L8" s="133">
        <f t="array" ref="L8">(IF(COUNT(M8,O8)&lt;1,SUM(M8,O8),SUM(LARGE((M8,O8),{1}))))+(IF(COUNT(N8,P8)&lt;1,SUM(N8,P8),SUM(LARGE((N8,P8),{1}))))+Q8</f>
        <v>106</v>
      </c>
      <c r="M8" s="135">
        <v>40</v>
      </c>
      <c r="N8" s="580">
        <v>34</v>
      </c>
      <c r="O8" s="580">
        <v>24</v>
      </c>
      <c r="P8" s="135">
        <v>40</v>
      </c>
      <c r="Q8" s="135">
        <v>26</v>
      </c>
      <c r="R8" s="136">
        <f t="shared" si="4"/>
        <v>5</v>
      </c>
      <c r="S8" s="136">
        <f t="shared" si="5"/>
        <v>3</v>
      </c>
      <c r="T8" s="136">
        <f t="shared" si="6"/>
        <v>2</v>
      </c>
    </row>
    <row r="9" spans="1:20" x14ac:dyDescent="0.2">
      <c r="A9" s="1340">
        <v>3</v>
      </c>
      <c r="B9" s="1341"/>
      <c r="C9" s="1342">
        <v>1</v>
      </c>
      <c r="D9" s="1343">
        <v>1</v>
      </c>
      <c r="E9" s="1339">
        <f t="shared" si="0"/>
        <v>3</v>
      </c>
      <c r="F9" s="601">
        <v>3</v>
      </c>
      <c r="G9" s="973" t="s">
        <v>166</v>
      </c>
      <c r="H9" s="600">
        <v>96.1</v>
      </c>
      <c r="I9" s="1337">
        <f t="shared" si="1"/>
        <v>96.1</v>
      </c>
      <c r="J9" s="134">
        <f t="shared" si="2"/>
        <v>0.1</v>
      </c>
      <c r="K9" s="612">
        <f t="shared" si="3"/>
        <v>1.0220000000000001E-3</v>
      </c>
      <c r="L9" s="133">
        <f t="array" ref="L9">(IF(COUNT(M9,O9)&lt;1,SUM(M9,O9),SUM(LARGE((M9,O9),{1}))))+(IF(COUNT(N9,P9)&lt;1,SUM(N9,P9),SUM(LARGE((N9,P9),{1}))))+Q9</f>
        <v>96</v>
      </c>
      <c r="M9" s="580">
        <v>26</v>
      </c>
      <c r="N9" s="580">
        <v>30</v>
      </c>
      <c r="O9" s="135">
        <v>26</v>
      </c>
      <c r="P9" s="135">
        <v>40</v>
      </c>
      <c r="Q9" s="135">
        <v>30</v>
      </c>
      <c r="R9" s="136">
        <f t="shared" si="4"/>
        <v>5</v>
      </c>
      <c r="S9" s="136">
        <f t="shared" si="5"/>
        <v>3</v>
      </c>
      <c r="T9" s="136">
        <f t="shared" si="6"/>
        <v>1</v>
      </c>
    </row>
    <row r="10" spans="1:20" x14ac:dyDescent="0.2">
      <c r="A10" s="1340">
        <v>4</v>
      </c>
      <c r="B10" s="1341"/>
      <c r="C10" s="1342"/>
      <c r="D10" s="1343"/>
      <c r="E10" s="1339">
        <f t="shared" si="0"/>
        <v>4</v>
      </c>
      <c r="F10" s="601">
        <v>4</v>
      </c>
      <c r="G10" s="138" t="s">
        <v>159</v>
      </c>
      <c r="H10" s="600">
        <v>92.08</v>
      </c>
      <c r="I10" s="1337">
        <f t="shared" si="1"/>
        <v>92.08</v>
      </c>
      <c r="J10" s="134">
        <f t="shared" si="2"/>
        <v>0.08</v>
      </c>
      <c r="K10" s="612">
        <f t="shared" si="3"/>
        <v>2.1110000000000001E-4</v>
      </c>
      <c r="L10" s="133">
        <f t="array" ref="L10">(IF(COUNT(M10,O10)&lt;1,SUM(M10,O10),SUM(LARGE((M10,O10),{1}))))+(IF(COUNT(N10,P10)&lt;1,SUM(N10,P10),SUM(LARGE((N10,P10),{1}))))+Q10</f>
        <v>92</v>
      </c>
      <c r="M10" s="580">
        <v>30</v>
      </c>
      <c r="N10" s="580">
        <v>26</v>
      </c>
      <c r="O10" s="135">
        <v>34</v>
      </c>
      <c r="P10" s="137">
        <v>34</v>
      </c>
      <c r="Q10" s="135">
        <v>24</v>
      </c>
      <c r="R10" s="136">
        <f t="shared" si="4"/>
        <v>5</v>
      </c>
      <c r="S10" s="136">
        <f t="shared" si="5"/>
        <v>3</v>
      </c>
      <c r="T10" s="136">
        <f t="shared" si="6"/>
        <v>0</v>
      </c>
    </row>
    <row r="11" spans="1:20" x14ac:dyDescent="0.2">
      <c r="A11" s="1340">
        <v>5</v>
      </c>
      <c r="B11" s="1341"/>
      <c r="C11" s="1342"/>
      <c r="D11" s="1343"/>
      <c r="E11" s="1339">
        <f t="shared" si="0"/>
        <v>5</v>
      </c>
      <c r="F11" s="601">
        <v>5</v>
      </c>
      <c r="G11" s="138" t="s">
        <v>160</v>
      </c>
      <c r="H11" s="600">
        <v>88.07</v>
      </c>
      <c r="I11" s="1337">
        <f t="shared" si="1"/>
        <v>88.07</v>
      </c>
      <c r="J11" s="134">
        <f t="shared" si="2"/>
        <v>7.0000000000000007E-2</v>
      </c>
      <c r="K11" s="612">
        <f t="shared" si="3"/>
        <v>1.10111E-3</v>
      </c>
      <c r="L11" s="133">
        <f t="array" ref="L11">(IF(COUNT(M11,O11)&lt;1,SUM(M11,O11),SUM(LARGE((M11,O11),{1}))))+(IF(COUNT(N11,P11)&lt;1,SUM(N11,P11),SUM(LARGE((N11,P11),{1}))))+Q11</f>
        <v>88</v>
      </c>
      <c r="M11" s="580">
        <v>34</v>
      </c>
      <c r="N11" s="580">
        <v>24</v>
      </c>
      <c r="O11" s="135">
        <v>40</v>
      </c>
      <c r="P11" s="135">
        <v>26</v>
      </c>
      <c r="Q11" s="135">
        <v>22</v>
      </c>
      <c r="R11" s="136">
        <f t="shared" si="4"/>
        <v>5</v>
      </c>
      <c r="S11" s="136">
        <f t="shared" si="5"/>
        <v>2</v>
      </c>
      <c r="T11" s="136">
        <f t="shared" si="6"/>
        <v>1</v>
      </c>
    </row>
    <row r="12" spans="1:20" x14ac:dyDescent="0.2">
      <c r="A12" s="1340">
        <v>6</v>
      </c>
      <c r="B12" s="1341"/>
      <c r="C12" s="1342"/>
      <c r="D12" s="1343">
        <v>2</v>
      </c>
      <c r="E12" s="1339">
        <f t="shared" si="0"/>
        <v>6</v>
      </c>
      <c r="F12" s="601">
        <v>6</v>
      </c>
      <c r="G12" s="593" t="s">
        <v>177</v>
      </c>
      <c r="H12" s="600">
        <v>80.040000000000006</v>
      </c>
      <c r="I12" s="1337">
        <f t="shared" si="1"/>
        <v>80.040000000000006</v>
      </c>
      <c r="J12" s="134">
        <f t="shared" si="2"/>
        <v>0.04</v>
      </c>
      <c r="K12" s="612">
        <f t="shared" si="3"/>
        <v>1.1000001E-4</v>
      </c>
      <c r="L12" s="133">
        <f t="array" ref="L12">(IF(COUNT(M12,O12)&lt;1,SUM(M12,O12),SUM(LARGE((M12,O12),{1}))))+(IF(COUNT(N12,P12)&lt;1,SUM(N12,P12),SUM(LARGE((N12,P12),{1}))))+Q12</f>
        <v>80</v>
      </c>
      <c r="M12" s="580" t="s">
        <v>251</v>
      </c>
      <c r="N12" s="135">
        <v>30</v>
      </c>
      <c r="O12" s="135">
        <v>34</v>
      </c>
      <c r="P12" s="974" t="s">
        <v>251</v>
      </c>
      <c r="Q12" s="135">
        <v>16</v>
      </c>
      <c r="R12" s="136">
        <f t="shared" si="4"/>
        <v>3</v>
      </c>
      <c r="S12" s="136">
        <f t="shared" si="5"/>
        <v>2</v>
      </c>
      <c r="T12" s="136">
        <f t="shared" si="6"/>
        <v>0</v>
      </c>
    </row>
    <row r="13" spans="1:20" x14ac:dyDescent="0.2">
      <c r="A13" s="1340"/>
      <c r="B13" s="1341">
        <v>1</v>
      </c>
      <c r="C13" s="1342"/>
      <c r="D13" s="1343">
        <v>3</v>
      </c>
      <c r="E13" s="1339">
        <f t="shared" si="0"/>
        <v>7</v>
      </c>
      <c r="F13" s="601">
        <v>7</v>
      </c>
      <c r="G13" s="841" t="s">
        <v>441</v>
      </c>
      <c r="H13" s="600">
        <v>78.05</v>
      </c>
      <c r="I13" s="1337">
        <f t="shared" si="1"/>
        <v>78.05</v>
      </c>
      <c r="J13" s="134">
        <f t="shared" si="2"/>
        <v>0.05</v>
      </c>
      <c r="K13" s="612">
        <f t="shared" si="3"/>
        <v>2.0000100000000002E-5</v>
      </c>
      <c r="L13" s="133">
        <f t="array" ref="L13">(IF(COUNT(M13,O13)&lt;1,SUM(M13,O13),SUM(LARGE((M13,O13),{1}))))+(IF(COUNT(N13,P13)&lt;1,SUM(N13,P13),SUM(LARGE((N13,P13),{1}))))+Q13</f>
        <v>78</v>
      </c>
      <c r="M13" s="580" t="s">
        <v>251</v>
      </c>
      <c r="N13" s="580" t="s">
        <v>251</v>
      </c>
      <c r="O13" s="137">
        <v>30</v>
      </c>
      <c r="P13" s="135">
        <v>30</v>
      </c>
      <c r="Q13" s="135">
        <v>18</v>
      </c>
      <c r="R13" s="136">
        <f t="shared" si="4"/>
        <v>3</v>
      </c>
      <c r="S13" s="136">
        <f t="shared" si="5"/>
        <v>2</v>
      </c>
      <c r="T13" s="136">
        <f t="shared" si="6"/>
        <v>0</v>
      </c>
    </row>
    <row r="14" spans="1:20" x14ac:dyDescent="0.2">
      <c r="A14" s="1340">
        <v>7</v>
      </c>
      <c r="B14" s="1341"/>
      <c r="C14" s="1342"/>
      <c r="D14" s="1343"/>
      <c r="E14" s="1339">
        <f t="shared" si="0"/>
        <v>8</v>
      </c>
      <c r="F14" s="601">
        <v>8</v>
      </c>
      <c r="G14" s="153" t="s">
        <v>170</v>
      </c>
      <c r="H14" s="600">
        <v>78.03</v>
      </c>
      <c r="I14" s="1337">
        <f t="shared" si="1"/>
        <v>78.03</v>
      </c>
      <c r="J14" s="134">
        <f t="shared" si="2"/>
        <v>0.03</v>
      </c>
      <c r="K14" s="612">
        <f t="shared" si="3"/>
        <v>1.0001000010000001E-3</v>
      </c>
      <c r="L14" s="133">
        <f t="array" ref="L14">(IF(COUNT(M14,O14)&lt;1,SUM(M14,O14),SUM(LARGE((M14,O14),{1}))))+(IF(COUNT(N14,P14)&lt;1,SUM(N14,P14),SUM(LARGE((N14,P14),{1}))))+Q14</f>
        <v>78</v>
      </c>
      <c r="M14" s="580" t="s">
        <v>251</v>
      </c>
      <c r="N14" s="135">
        <v>40</v>
      </c>
      <c r="O14" s="135">
        <v>24</v>
      </c>
      <c r="P14" s="974" t="s">
        <v>251</v>
      </c>
      <c r="Q14" s="135">
        <v>14</v>
      </c>
      <c r="R14" s="136">
        <f t="shared" si="4"/>
        <v>3</v>
      </c>
      <c r="S14" s="136">
        <f t="shared" si="5"/>
        <v>1</v>
      </c>
      <c r="T14" s="136">
        <f t="shared" si="6"/>
        <v>1</v>
      </c>
    </row>
    <row r="15" spans="1:20" x14ac:dyDescent="0.2">
      <c r="A15" s="1340">
        <v>8</v>
      </c>
      <c r="B15" s="1341"/>
      <c r="C15" s="1342"/>
      <c r="D15" s="1343">
        <v>4</v>
      </c>
      <c r="E15" s="1339">
        <f t="shared" si="0"/>
        <v>9</v>
      </c>
      <c r="F15" s="601">
        <v>9</v>
      </c>
      <c r="G15" s="593" t="s">
        <v>162</v>
      </c>
      <c r="H15" s="600">
        <v>76.010000000000005</v>
      </c>
      <c r="I15" s="1337">
        <f t="shared" si="1"/>
        <v>76.010000000000005</v>
      </c>
      <c r="J15" s="134">
        <f t="shared" si="2"/>
        <v>0.01</v>
      </c>
      <c r="K15" s="612">
        <f t="shared" si="3"/>
        <v>1.0120000000100001E-3</v>
      </c>
      <c r="L15" s="133">
        <f t="array" ref="L15">(IF(COUNT(M15,O15)&lt;1,SUM(M15,O15),SUM(LARGE((M15,O15),{1}))))+(IF(COUNT(N15,P15)&lt;1,SUM(N15,P15),SUM(LARGE((N15,P15),{1}))))+Q15</f>
        <v>76</v>
      </c>
      <c r="M15" s="580">
        <v>26</v>
      </c>
      <c r="N15" s="580">
        <v>30</v>
      </c>
      <c r="O15" s="135">
        <v>26</v>
      </c>
      <c r="P15" s="135">
        <v>40</v>
      </c>
      <c r="Q15" s="135">
        <v>10</v>
      </c>
      <c r="R15" s="136">
        <f t="shared" si="4"/>
        <v>5</v>
      </c>
      <c r="S15" s="136">
        <f t="shared" si="5"/>
        <v>2</v>
      </c>
      <c r="T15" s="136">
        <f t="shared" si="6"/>
        <v>1</v>
      </c>
    </row>
    <row r="16" spans="1:20" x14ac:dyDescent="0.2">
      <c r="A16" s="1340">
        <v>9</v>
      </c>
      <c r="B16" s="1341"/>
      <c r="C16" s="1342"/>
      <c r="D16" s="1343"/>
      <c r="E16" s="1339">
        <f t="shared" si="0"/>
        <v>10</v>
      </c>
      <c r="F16" s="601">
        <v>10</v>
      </c>
      <c r="G16" s="482" t="s">
        <v>175</v>
      </c>
      <c r="H16" s="600">
        <v>66</v>
      </c>
      <c r="I16" s="1337">
        <f t="shared" si="1"/>
        <v>66</v>
      </c>
      <c r="J16" s="134">
        <f t="shared" si="2"/>
        <v>0</v>
      </c>
      <c r="K16" s="612">
        <f t="shared" si="3"/>
        <v>1.1011E-3</v>
      </c>
      <c r="L16" s="133">
        <f t="array" ref="L16">(IF(COUNT(M16,O16)&lt;1,SUM(M16,O16),SUM(LARGE((M16,O16),{1}))))+(IF(COUNT(N16,P16)&lt;1,SUM(N16,P16),SUM(LARGE((N16,P16),{1}))))+Q16</f>
        <v>66</v>
      </c>
      <c r="M16" s="580">
        <v>34</v>
      </c>
      <c r="N16" s="580">
        <v>24</v>
      </c>
      <c r="O16" s="137">
        <v>40</v>
      </c>
      <c r="P16" s="135">
        <v>26</v>
      </c>
      <c r="Q16" s="135"/>
      <c r="R16" s="136">
        <f t="shared" si="4"/>
        <v>4</v>
      </c>
      <c r="S16" s="136">
        <f t="shared" si="5"/>
        <v>2</v>
      </c>
      <c r="T16" s="136">
        <f t="shared" si="6"/>
        <v>1</v>
      </c>
    </row>
    <row r="17" spans="1:20" x14ac:dyDescent="0.2">
      <c r="A17" s="1340"/>
      <c r="B17" s="1341">
        <v>2</v>
      </c>
      <c r="C17" s="1342"/>
      <c r="D17" s="1343"/>
      <c r="E17" s="1339">
        <f t="shared" si="0"/>
        <v>11</v>
      </c>
      <c r="F17" s="601">
        <v>11</v>
      </c>
      <c r="G17" s="591" t="s">
        <v>171</v>
      </c>
      <c r="H17" s="600">
        <v>64</v>
      </c>
      <c r="I17" s="1337">
        <f t="shared" si="1"/>
        <v>64</v>
      </c>
      <c r="J17" s="134">
        <f t="shared" si="2"/>
        <v>0</v>
      </c>
      <c r="K17" s="612">
        <f t="shared" si="3"/>
        <v>1.1010000000000001E-4</v>
      </c>
      <c r="L17" s="133">
        <f t="array" ref="L17">(IF(COUNT(M17,O17)&lt;1,SUM(M17,O17),SUM(LARGE((M17,O17),{1}))))+(IF(COUNT(N17,P17)&lt;1,SUM(N17,P17),SUM(LARGE((N17,P17),{1}))))+Q17</f>
        <v>64</v>
      </c>
      <c r="M17" s="580">
        <v>24</v>
      </c>
      <c r="N17" s="135">
        <v>34</v>
      </c>
      <c r="O17" s="135">
        <v>30</v>
      </c>
      <c r="P17" s="974" t="s">
        <v>251</v>
      </c>
      <c r="Q17" s="135"/>
      <c r="R17" s="136">
        <f t="shared" si="4"/>
        <v>3</v>
      </c>
      <c r="S17" s="136">
        <f t="shared" si="5"/>
        <v>2</v>
      </c>
      <c r="T17" s="136">
        <f t="shared" si="6"/>
        <v>0</v>
      </c>
    </row>
    <row r="18" spans="1:20" x14ac:dyDescent="0.2">
      <c r="A18" s="1340">
        <v>10</v>
      </c>
      <c r="B18" s="1341"/>
      <c r="C18" s="1342"/>
      <c r="D18" s="1343"/>
      <c r="E18" s="1339">
        <f t="shared" si="0"/>
        <v>12</v>
      </c>
      <c r="F18" s="601">
        <v>12</v>
      </c>
      <c r="G18" s="482" t="s">
        <v>176</v>
      </c>
      <c r="H18" s="600">
        <v>62</v>
      </c>
      <c r="I18" s="1337">
        <f t="shared" si="1"/>
        <v>62</v>
      </c>
      <c r="J18" s="134">
        <f t="shared" si="2"/>
        <v>0</v>
      </c>
      <c r="K18" s="612">
        <f t="shared" si="3"/>
        <v>1.00001E-3</v>
      </c>
      <c r="L18" s="133">
        <f t="array" ref="L18">(IF(COUNT(M18,O18)&lt;1,SUM(M18,O18),SUM(LARGE((M18,O18),{1}))))+(IF(COUNT(N18,P18)&lt;1,SUM(N18,P18),SUM(LARGE((N18,P18),{1}))))+Q18</f>
        <v>62</v>
      </c>
      <c r="M18" s="135">
        <v>22</v>
      </c>
      <c r="N18" s="135">
        <v>40</v>
      </c>
      <c r="O18" s="877" t="s">
        <v>251</v>
      </c>
      <c r="P18" s="974" t="s">
        <v>251</v>
      </c>
      <c r="Q18" s="135"/>
      <c r="R18" s="136">
        <f t="shared" si="4"/>
        <v>2</v>
      </c>
      <c r="S18" s="136">
        <f t="shared" si="5"/>
        <v>1</v>
      </c>
      <c r="T18" s="136">
        <f t="shared" si="6"/>
        <v>1</v>
      </c>
    </row>
    <row r="19" spans="1:20" x14ac:dyDescent="0.2">
      <c r="A19" s="1340">
        <v>11</v>
      </c>
      <c r="B19" s="1341"/>
      <c r="C19" s="1342"/>
      <c r="D19" s="1343"/>
      <c r="E19" s="1339">
        <f t="shared" si="0"/>
        <v>12</v>
      </c>
      <c r="F19" s="601">
        <v>12</v>
      </c>
      <c r="G19" s="138" t="s">
        <v>168</v>
      </c>
      <c r="H19" s="600">
        <v>62</v>
      </c>
      <c r="I19" s="1337">
        <f t="shared" si="1"/>
        <v>62</v>
      </c>
      <c r="J19" s="134">
        <f t="shared" si="2"/>
        <v>0</v>
      </c>
      <c r="K19" s="612">
        <f t="shared" si="3"/>
        <v>1.00001E-3</v>
      </c>
      <c r="L19" s="133">
        <f t="array" ref="L19">(IF(COUNT(M19,O19)&lt;1,SUM(M19,O19),SUM(LARGE((M19,O19),{1}))))+(IF(COUNT(N19,P19)&lt;1,SUM(N19,P19),SUM(LARGE((N19,P19),{1}))))+Q19</f>
        <v>62</v>
      </c>
      <c r="M19" s="137">
        <v>22</v>
      </c>
      <c r="N19" s="135">
        <v>40</v>
      </c>
      <c r="O19" s="877" t="s">
        <v>251</v>
      </c>
      <c r="P19" s="974" t="s">
        <v>251</v>
      </c>
      <c r="Q19" s="135"/>
      <c r="R19" s="136">
        <f t="shared" si="4"/>
        <v>2</v>
      </c>
      <c r="S19" s="136">
        <f t="shared" si="5"/>
        <v>1</v>
      </c>
      <c r="T19" s="136">
        <f t="shared" si="6"/>
        <v>1</v>
      </c>
    </row>
    <row r="20" spans="1:20" x14ac:dyDescent="0.2">
      <c r="A20" s="1340">
        <v>12</v>
      </c>
      <c r="B20" s="1341"/>
      <c r="C20" s="1342"/>
      <c r="D20" s="1343"/>
      <c r="E20" s="1339">
        <f t="shared" si="0"/>
        <v>14</v>
      </c>
      <c r="F20" s="601">
        <v>14</v>
      </c>
      <c r="G20" s="482" t="s">
        <v>164</v>
      </c>
      <c r="H20" s="600">
        <v>58</v>
      </c>
      <c r="I20" s="1337">
        <f t="shared" si="1"/>
        <v>58</v>
      </c>
      <c r="J20" s="134">
        <f t="shared" si="2"/>
        <v>0</v>
      </c>
      <c r="K20" s="612">
        <f t="shared" si="3"/>
        <v>1.0010000000000001E-4</v>
      </c>
      <c r="L20" s="133">
        <f t="array" ref="L20">(IF(COUNT(M20,O20)&lt;1,SUM(M20,O20),SUM(LARGE((M20,O20),{1}))))+(IF(COUNT(N20,P20)&lt;1,SUM(N20,P20),SUM(LARGE((N20,P20),{1}))))+Q20</f>
        <v>58</v>
      </c>
      <c r="M20" s="137">
        <v>24</v>
      </c>
      <c r="N20" s="135">
        <v>34</v>
      </c>
      <c r="O20" s="874" t="s">
        <v>251</v>
      </c>
      <c r="P20" s="974" t="s">
        <v>251</v>
      </c>
      <c r="Q20" s="135"/>
      <c r="R20" s="136">
        <f t="shared" si="4"/>
        <v>2</v>
      </c>
      <c r="S20" s="136">
        <f t="shared" si="5"/>
        <v>1</v>
      </c>
      <c r="T20" s="136">
        <f t="shared" si="6"/>
        <v>0</v>
      </c>
    </row>
    <row r="21" spans="1:20" x14ac:dyDescent="0.2">
      <c r="A21" s="1340"/>
      <c r="B21" s="1341">
        <v>3</v>
      </c>
      <c r="C21" s="1342"/>
      <c r="D21" s="1343"/>
      <c r="E21" s="1339">
        <f t="shared" si="0"/>
        <v>15</v>
      </c>
      <c r="F21" s="601">
        <v>15</v>
      </c>
      <c r="G21" s="591" t="s">
        <v>184</v>
      </c>
      <c r="H21" s="600">
        <v>56</v>
      </c>
      <c r="I21" s="1337">
        <f t="shared" si="1"/>
        <v>56</v>
      </c>
      <c r="J21" s="134">
        <f t="shared" si="2"/>
        <v>0</v>
      </c>
      <c r="K21" s="612">
        <f t="shared" si="3"/>
        <v>1.1000000000000001E-5</v>
      </c>
      <c r="L21" s="133">
        <f t="array" ref="L21">(IF(COUNT(M21,O21)&lt;1,SUM(M21,O21),SUM(LARGE((M21,O21),{1}))))+(IF(COUNT(N21,P21)&lt;1,SUM(N21,P21),SUM(LARGE((N21,P21),{1}))))+Q21</f>
        <v>56</v>
      </c>
      <c r="M21" s="135">
        <v>30</v>
      </c>
      <c r="N21" s="135">
        <v>26</v>
      </c>
      <c r="O21" s="874" t="s">
        <v>251</v>
      </c>
      <c r="P21" s="974" t="s">
        <v>251</v>
      </c>
      <c r="Q21" s="135"/>
      <c r="R21" s="136">
        <f t="shared" si="4"/>
        <v>2</v>
      </c>
      <c r="S21" s="136">
        <f t="shared" si="5"/>
        <v>1</v>
      </c>
      <c r="T21" s="136">
        <f t="shared" si="6"/>
        <v>0</v>
      </c>
    </row>
    <row r="22" spans="1:20" x14ac:dyDescent="0.2">
      <c r="A22" s="1340">
        <v>13</v>
      </c>
      <c r="B22" s="1341"/>
      <c r="C22" s="1342"/>
      <c r="D22" s="1343">
        <v>5</v>
      </c>
      <c r="E22" s="1339">
        <f t="shared" si="0"/>
        <v>16</v>
      </c>
      <c r="F22" s="601">
        <v>16</v>
      </c>
      <c r="G22" s="945" t="s">
        <v>639</v>
      </c>
      <c r="H22" s="600">
        <v>54.06</v>
      </c>
      <c r="I22" s="1337">
        <f t="shared" si="1"/>
        <v>54.06</v>
      </c>
      <c r="J22" s="134">
        <f t="shared" si="2"/>
        <v>0.06</v>
      </c>
      <c r="K22" s="612">
        <f t="shared" si="3"/>
        <v>1.0000100000000001E-4</v>
      </c>
      <c r="L22" s="133">
        <f t="array" ref="L22">(IF(COUNT(M22,O22)&lt;1,SUM(M22,O22),SUM(LARGE((M22,O22),{1}))))+(IF(COUNT(N22,P22)&lt;1,SUM(N22,P22),SUM(LARGE((N22,P22),{1}))))+Q22</f>
        <v>54</v>
      </c>
      <c r="M22" s="580" t="s">
        <v>251</v>
      </c>
      <c r="N22" s="580" t="s">
        <v>251</v>
      </c>
      <c r="O22" s="137"/>
      <c r="P22" s="135">
        <v>34</v>
      </c>
      <c r="Q22" s="135">
        <v>20</v>
      </c>
      <c r="R22" s="136">
        <f t="shared" si="4"/>
        <v>2</v>
      </c>
      <c r="S22" s="136">
        <f t="shared" si="5"/>
        <v>1</v>
      </c>
      <c r="T22" s="136">
        <f t="shared" si="6"/>
        <v>0</v>
      </c>
    </row>
    <row r="23" spans="1:20" ht="12.75" customHeight="1" x14ac:dyDescent="0.2">
      <c r="A23" s="1340">
        <v>14</v>
      </c>
      <c r="B23" s="1341"/>
      <c r="C23" s="1342"/>
      <c r="D23" s="1343"/>
      <c r="E23" s="1339">
        <f t="shared" si="0"/>
        <v>17</v>
      </c>
      <c r="F23" s="601">
        <v>17</v>
      </c>
      <c r="G23" s="138" t="s">
        <v>169</v>
      </c>
      <c r="H23" s="600">
        <v>48</v>
      </c>
      <c r="I23" s="1337">
        <f t="shared" si="1"/>
        <v>48</v>
      </c>
      <c r="J23" s="134">
        <f t="shared" si="2"/>
        <v>0</v>
      </c>
      <c r="K23" s="612">
        <f t="shared" si="3"/>
        <v>1.11E-6</v>
      </c>
      <c r="L23" s="133">
        <f t="array" ref="L23">(IF(COUNT(M23,O23)&lt;1,SUM(M23,O23),SUM(LARGE((M23,O23),{1}))))+(IF(COUNT(N23,P23)&lt;1,SUM(N23,P23),SUM(LARGE((N23,P23),{1}))))+Q23</f>
        <v>48</v>
      </c>
      <c r="M23" s="580" t="s">
        <v>251</v>
      </c>
      <c r="N23" s="580">
        <v>24</v>
      </c>
      <c r="O23" s="137">
        <v>22</v>
      </c>
      <c r="P23" s="135">
        <v>26</v>
      </c>
      <c r="Q23" s="135"/>
      <c r="R23" s="136">
        <f t="shared" si="4"/>
        <v>3</v>
      </c>
      <c r="S23" s="136">
        <f t="shared" si="5"/>
        <v>0</v>
      </c>
      <c r="T23" s="136">
        <f t="shared" si="6"/>
        <v>0</v>
      </c>
    </row>
    <row r="24" spans="1:20" ht="12.75" customHeight="1" x14ac:dyDescent="0.2">
      <c r="A24" s="1340">
        <v>15</v>
      </c>
      <c r="B24" s="1341"/>
      <c r="C24" s="1342"/>
      <c r="D24" s="1343"/>
      <c r="E24" s="1339">
        <f t="shared" si="0"/>
        <v>18</v>
      </c>
      <c r="F24" s="601">
        <v>18</v>
      </c>
      <c r="G24" s="482" t="s">
        <v>183</v>
      </c>
      <c r="H24" s="600">
        <v>34.11</v>
      </c>
      <c r="I24" s="1337">
        <f t="shared" si="1"/>
        <v>34.11</v>
      </c>
      <c r="J24" s="134">
        <f t="shared" si="2"/>
        <v>0.11</v>
      </c>
      <c r="K24" s="612">
        <f t="shared" si="3"/>
        <v>1E-4</v>
      </c>
      <c r="L24" s="133">
        <f t="array" ref="L24">(IF(COUNT(M24,O24)&lt;1,SUM(M24,O24),SUM(LARGE((M24,O24),{1}))))+(IF(COUNT(N24,P24)&lt;1,SUM(N24,P24),SUM(LARGE((N24,P24),{1}))))+Q24</f>
        <v>34</v>
      </c>
      <c r="M24" s="580" t="s">
        <v>251</v>
      </c>
      <c r="N24" s="580" t="s">
        <v>251</v>
      </c>
      <c r="O24" s="137"/>
      <c r="P24" s="135"/>
      <c r="Q24" s="135">
        <v>34</v>
      </c>
      <c r="R24" s="136">
        <f t="shared" si="4"/>
        <v>1</v>
      </c>
      <c r="S24" s="136">
        <f t="shared" si="5"/>
        <v>1</v>
      </c>
      <c r="T24" s="136">
        <f t="shared" si="6"/>
        <v>0</v>
      </c>
    </row>
    <row r="25" spans="1:20" ht="12.75" customHeight="1" x14ac:dyDescent="0.2">
      <c r="A25" s="1340"/>
      <c r="B25" s="1341">
        <v>4</v>
      </c>
      <c r="C25" s="1342"/>
      <c r="D25" s="1343"/>
      <c r="E25" s="1339">
        <f t="shared" si="0"/>
        <v>19</v>
      </c>
      <c r="F25" s="601">
        <v>19</v>
      </c>
      <c r="G25" s="591" t="s">
        <v>640</v>
      </c>
      <c r="H25" s="600">
        <v>30</v>
      </c>
      <c r="I25" s="1337">
        <f t="shared" si="1"/>
        <v>30</v>
      </c>
      <c r="J25" s="134">
        <f t="shared" si="2"/>
        <v>0</v>
      </c>
      <c r="K25" s="612">
        <f t="shared" si="3"/>
        <v>1.0000000000000001E-5</v>
      </c>
      <c r="L25" s="133">
        <f t="array" ref="L25">(IF(COUNT(M25,O25)&lt;1,SUM(M25,O25),SUM(LARGE((M25,O25),{1}))))+(IF(COUNT(N25,P25)&lt;1,SUM(N25,P25),SUM(LARGE((N25,P25),{1}))))+Q25</f>
        <v>30</v>
      </c>
      <c r="M25" s="580" t="s">
        <v>251</v>
      </c>
      <c r="N25" s="580" t="s">
        <v>251</v>
      </c>
      <c r="O25" s="137"/>
      <c r="P25" s="135">
        <v>30</v>
      </c>
      <c r="Q25" s="135"/>
      <c r="R25" s="136">
        <f t="shared" si="4"/>
        <v>1</v>
      </c>
      <c r="S25" s="136">
        <f t="shared" si="5"/>
        <v>1</v>
      </c>
      <c r="T25" s="136">
        <f t="shared" si="6"/>
        <v>0</v>
      </c>
    </row>
    <row r="26" spans="1:20" ht="12.75" customHeight="1" x14ac:dyDescent="0.2">
      <c r="A26" s="1340">
        <v>16</v>
      </c>
      <c r="B26" s="1341"/>
      <c r="C26" s="1342"/>
      <c r="D26" s="1343"/>
      <c r="E26" s="1339">
        <f t="shared" si="0"/>
        <v>19</v>
      </c>
      <c r="F26" s="601">
        <v>19</v>
      </c>
      <c r="G26" s="482" t="s">
        <v>641</v>
      </c>
      <c r="H26" s="600">
        <v>30</v>
      </c>
      <c r="I26" s="1337">
        <f t="shared" si="1"/>
        <v>30</v>
      </c>
      <c r="J26" s="134">
        <f t="shared" si="2"/>
        <v>0</v>
      </c>
      <c r="K26" s="612">
        <f t="shared" si="3"/>
        <v>1.0000000000000001E-5</v>
      </c>
      <c r="L26" s="133">
        <f t="array" ref="L26">(IF(COUNT(M26,O26)&lt;1,SUM(M26,O26),SUM(LARGE((M26,O26),{1}))))+(IF(COUNT(N26,P26)&lt;1,SUM(N26,P26),SUM(LARGE((N26,P26),{1}))))+Q26</f>
        <v>30</v>
      </c>
      <c r="M26" s="580" t="s">
        <v>251</v>
      </c>
      <c r="N26" s="580" t="s">
        <v>251</v>
      </c>
      <c r="O26" s="137"/>
      <c r="P26" s="135">
        <v>30</v>
      </c>
      <c r="Q26" s="135"/>
      <c r="R26" s="136">
        <f t="shared" si="4"/>
        <v>1</v>
      </c>
      <c r="S26" s="136">
        <f t="shared" si="5"/>
        <v>1</v>
      </c>
      <c r="T26" s="136">
        <f t="shared" si="6"/>
        <v>0</v>
      </c>
    </row>
    <row r="27" spans="1:20" ht="12.75" customHeight="1" x14ac:dyDescent="0.2">
      <c r="A27" s="1340">
        <v>17</v>
      </c>
      <c r="B27" s="1341"/>
      <c r="C27" s="1342"/>
      <c r="D27" s="1343"/>
      <c r="E27" s="1339">
        <f t="shared" si="0"/>
        <v>21</v>
      </c>
      <c r="F27" s="601">
        <v>21</v>
      </c>
      <c r="G27" s="482" t="s">
        <v>558</v>
      </c>
      <c r="H27" s="600">
        <v>22</v>
      </c>
      <c r="I27" s="1337">
        <f t="shared" si="1"/>
        <v>22</v>
      </c>
      <c r="J27" s="134">
        <f t="shared" si="2"/>
        <v>0</v>
      </c>
      <c r="K27" s="612">
        <f t="shared" si="3"/>
        <v>1E-8</v>
      </c>
      <c r="L27" s="133">
        <f t="array" ref="L27">(IF(COUNT(M27,O27)&lt;1,SUM(M27,O27),SUM(LARGE((M27,O27),{1}))))+(IF(COUNT(N27,P27)&lt;1,SUM(N27,P27),SUM(LARGE((N27,P27),{1}))))+Q27</f>
        <v>22</v>
      </c>
      <c r="M27" s="580" t="s">
        <v>251</v>
      </c>
      <c r="N27" s="580" t="s">
        <v>251</v>
      </c>
      <c r="O27" s="137">
        <v>22</v>
      </c>
      <c r="P27" s="135"/>
      <c r="Q27" s="135"/>
      <c r="R27" s="136">
        <f t="shared" si="4"/>
        <v>1</v>
      </c>
      <c r="S27" s="136">
        <f t="shared" si="5"/>
        <v>0</v>
      </c>
      <c r="T27" s="136">
        <f t="shared" si="6"/>
        <v>0</v>
      </c>
    </row>
    <row r="28" spans="1:20" ht="12.75" customHeight="1" x14ac:dyDescent="0.2">
      <c r="A28" s="1340">
        <v>18</v>
      </c>
      <c r="B28" s="1341"/>
      <c r="C28" s="1342"/>
      <c r="D28" s="1343"/>
      <c r="E28" s="1339">
        <f t="shared" si="0"/>
        <v>22</v>
      </c>
      <c r="F28" s="601">
        <v>22</v>
      </c>
      <c r="G28" s="590" t="s">
        <v>380</v>
      </c>
      <c r="H28" s="600">
        <v>20</v>
      </c>
      <c r="I28" s="1337">
        <f t="shared" si="1"/>
        <v>20</v>
      </c>
      <c r="J28" s="134">
        <f t="shared" si="2"/>
        <v>0</v>
      </c>
      <c r="K28" s="612">
        <f t="shared" si="3"/>
        <v>1.0000000000000001E-9</v>
      </c>
      <c r="L28" s="133">
        <f t="array" ref="L28">(IF(COUNT(M28,O28)&lt;1,SUM(M28,O28),SUM(LARGE((M28,O28),{1}))))+(IF(COUNT(N28,P28)&lt;1,SUM(N28,P28),SUM(LARGE((N28,P28),{1}))))+Q28</f>
        <v>20</v>
      </c>
      <c r="M28" s="135">
        <v>20</v>
      </c>
      <c r="N28" s="580" t="s">
        <v>251</v>
      </c>
      <c r="O28" s="877" t="s">
        <v>251</v>
      </c>
      <c r="P28" s="135"/>
      <c r="Q28" s="135"/>
      <c r="R28" s="136">
        <f t="shared" si="4"/>
        <v>1</v>
      </c>
      <c r="S28" s="136">
        <f t="shared" si="5"/>
        <v>0</v>
      </c>
      <c r="T28" s="136">
        <f t="shared" si="6"/>
        <v>0</v>
      </c>
    </row>
    <row r="29" spans="1:20" ht="12.75" customHeight="1" x14ac:dyDescent="0.2">
      <c r="A29" s="1340">
        <v>18</v>
      </c>
      <c r="B29" s="1341"/>
      <c r="C29" s="1342"/>
      <c r="D29" s="1343"/>
      <c r="E29" s="1339">
        <f t="shared" si="0"/>
        <v>22</v>
      </c>
      <c r="F29" s="601">
        <v>22</v>
      </c>
      <c r="G29" s="139" t="s">
        <v>182</v>
      </c>
      <c r="H29" s="600">
        <v>20</v>
      </c>
      <c r="I29" s="1337">
        <f t="shared" si="1"/>
        <v>20</v>
      </c>
      <c r="J29" s="134">
        <f t="shared" si="2"/>
        <v>0</v>
      </c>
      <c r="K29" s="612">
        <f t="shared" si="3"/>
        <v>1.0000000000000001E-9</v>
      </c>
      <c r="L29" s="133">
        <f t="array" ref="L29">(IF(COUNT(M29,O29)&lt;1,SUM(M29,O29),SUM(LARGE((M29,O29),{1}))))+(IF(COUNT(N29,P29)&lt;1,SUM(N29,P29),SUM(LARGE((N29,P29),{1}))))+Q29</f>
        <v>20</v>
      </c>
      <c r="M29" s="135">
        <v>20</v>
      </c>
      <c r="N29" s="580" t="s">
        <v>251</v>
      </c>
      <c r="O29" s="877" t="s">
        <v>251</v>
      </c>
      <c r="P29" s="135"/>
      <c r="Q29" s="135"/>
      <c r="R29" s="136">
        <f t="shared" si="4"/>
        <v>1</v>
      </c>
      <c r="S29" s="136">
        <f t="shared" si="5"/>
        <v>0</v>
      </c>
      <c r="T29" s="136">
        <f t="shared" si="6"/>
        <v>0</v>
      </c>
    </row>
    <row r="30" spans="1:20" ht="12.75" customHeight="1" x14ac:dyDescent="0.2">
      <c r="A30" s="1340">
        <v>20</v>
      </c>
      <c r="B30" s="1341"/>
      <c r="C30" s="1342"/>
      <c r="D30" s="1343"/>
      <c r="E30" s="1339">
        <f t="shared" si="0"/>
        <v>24</v>
      </c>
      <c r="F30" s="601">
        <v>24</v>
      </c>
      <c r="G30" s="482" t="s">
        <v>173</v>
      </c>
      <c r="H30" s="600">
        <v>12.02</v>
      </c>
      <c r="I30" s="1337">
        <f t="shared" si="1"/>
        <v>12.02</v>
      </c>
      <c r="J30" s="134">
        <f t="shared" si="2"/>
        <v>0.02</v>
      </c>
      <c r="K30" s="612">
        <f t="shared" si="3"/>
        <v>1E-13</v>
      </c>
      <c r="L30" s="133">
        <f t="array" ref="L30">(IF(COUNT(M30,O30)&lt;1,SUM(M30,O30),SUM(LARGE((M30,O30),{1}))))+(IF(COUNT(N30,P30)&lt;1,SUM(N30,P30),SUM(LARGE((N30,P30),{1}))))+Q30</f>
        <v>12</v>
      </c>
      <c r="M30" s="580" t="s">
        <v>251</v>
      </c>
      <c r="N30" s="580" t="s">
        <v>251</v>
      </c>
      <c r="O30" s="137"/>
      <c r="P30" s="135"/>
      <c r="Q30" s="135">
        <v>12</v>
      </c>
      <c r="R30" s="136">
        <f t="shared" si="4"/>
        <v>1</v>
      </c>
      <c r="S30" s="136">
        <f t="shared" si="5"/>
        <v>0</v>
      </c>
      <c r="T30" s="136">
        <f t="shared" si="6"/>
        <v>0</v>
      </c>
    </row>
    <row r="31" spans="1:20" x14ac:dyDescent="0.2">
      <c r="A31" s="142">
        <f>COUNT(A7:A30)</f>
        <v>20</v>
      </c>
      <c r="B31" s="143">
        <f>COUNT(B7:B30)</f>
        <v>4</v>
      </c>
      <c r="C31" s="144">
        <f>COUNT(C7:C30)</f>
        <v>1</v>
      </c>
      <c r="D31" s="141">
        <f>COUNT(D7:D30)</f>
        <v>5</v>
      </c>
      <c r="E31" s="141"/>
      <c r="F31" s="141">
        <f>COUNT(F7:F30)</f>
        <v>24</v>
      </c>
      <c r="G31" s="145" t="s">
        <v>90</v>
      </c>
      <c r="H31" s="146"/>
      <c r="I31" s="146"/>
      <c r="J31" s="146"/>
      <c r="K31" s="146"/>
      <c r="L31" s="146"/>
      <c r="M31" s="147">
        <f>COUNTIF(M7:M30,"&gt;=0")</f>
        <v>14</v>
      </c>
      <c r="N31" s="147">
        <f>COUNTIF(N7:N30,"&gt;=0")</f>
        <v>15</v>
      </c>
      <c r="O31" s="147">
        <f>COUNTIF(O7:O30,"&gt;=0")</f>
        <v>12</v>
      </c>
      <c r="P31" s="147">
        <f>COUNTIF(P7:P30,"&gt;=0")</f>
        <v>12</v>
      </c>
      <c r="Q31" s="147">
        <f>COUNTIF(Q7:Q30,"&gt;=0")</f>
        <v>12</v>
      </c>
      <c r="R31" s="145"/>
      <c r="S31" s="148">
        <f>SUM(S7:S30)</f>
        <v>33</v>
      </c>
      <c r="T31" s="148">
        <f>SUM(T7:T30)</f>
        <v>11</v>
      </c>
    </row>
    <row r="32" spans="1:20" x14ac:dyDescent="0.2">
      <c r="A32" s="118"/>
      <c r="B32" s="118"/>
      <c r="C32" s="149"/>
      <c r="D32" s="149"/>
      <c r="E32" s="118"/>
      <c r="F32" s="118"/>
      <c r="G32" s="145" t="s">
        <v>91</v>
      </c>
      <c r="H32" s="146"/>
      <c r="I32" s="146"/>
      <c r="J32" s="146"/>
      <c r="K32" s="146"/>
      <c r="L32" s="146"/>
      <c r="M32" s="150">
        <f>IF((M31/(LEN(M5)-LEN(SUBSTITUTE(M5,"*","")))-0.5)&lt;0,"",M31/(LEN(M5)-LEN(SUBSTITUTE(M5,"*","")))-0.5)</f>
        <v>6.5</v>
      </c>
      <c r="N32" s="150">
        <f>IF((N31/(LEN(N5)-LEN(SUBSTITUTE(N5,"*","")))-0.5)&lt;0,"",N31/(LEN(N5)-LEN(SUBSTITUTE(N5,"*","")))-0.5)</f>
        <v>4.5</v>
      </c>
      <c r="O32" s="150">
        <f>IF((O31/(LEN(O5)-LEN(SUBSTITUTE(O5,"*","")))-0.5)&lt;0,"",O31/(LEN(O5)-LEN(SUBSTITUTE(O5,"*","")))-0.5)</f>
        <v>5.5</v>
      </c>
      <c r="P32" s="150">
        <f>IF((P31/(LEN(P5)-LEN(SUBSTITUTE(P5,"*","")))-0.5)&lt;0,"",P31/(LEN(P5)-LEN(SUBSTITUTE(P5,"*","")))-0.5)</f>
        <v>3.5</v>
      </c>
      <c r="Q32" s="149"/>
      <c r="R32" s="118"/>
      <c r="S32" s="118"/>
      <c r="T32" s="118"/>
    </row>
    <row r="34" spans="3:17" x14ac:dyDescent="0.2">
      <c r="C34" s="108"/>
      <c r="D34" s="108"/>
      <c r="E34" s="620" t="s">
        <v>403</v>
      </c>
      <c r="H34" s="108"/>
      <c r="I34" s="108"/>
      <c r="J34" s="108"/>
      <c r="K34" s="108"/>
      <c r="L34" s="108"/>
      <c r="M34" s="108"/>
      <c r="N34" s="108"/>
      <c r="O34" s="108"/>
      <c r="P34" s="108"/>
      <c r="Q34" s="108"/>
    </row>
    <row r="35" spans="3:17" x14ac:dyDescent="0.2">
      <c r="C35" s="108"/>
      <c r="D35" s="108"/>
      <c r="E35" s="108" t="s">
        <v>92</v>
      </c>
      <c r="H35" s="108"/>
      <c r="I35" s="108"/>
      <c r="J35" s="108"/>
      <c r="K35" s="108"/>
      <c r="L35" s="108"/>
      <c r="M35" s="108"/>
      <c r="N35" s="108"/>
      <c r="O35" s="108"/>
      <c r="P35" s="108"/>
      <c r="Q35" s="108"/>
    </row>
    <row r="36" spans="3:17" x14ac:dyDescent="0.2">
      <c r="E36" s="108" t="s">
        <v>93</v>
      </c>
    </row>
  </sheetData>
  <autoFilter ref="R6:T6"/>
  <sortState ref="A6:V32">
    <sortCondition descending="1" ref="H7"/>
  </sortState>
  <mergeCells count="3">
    <mergeCell ref="R4:R5"/>
    <mergeCell ref="S4:S5"/>
    <mergeCell ref="T4:T5"/>
  </mergeCells>
  <conditionalFormatting sqref="M31:Q31">
    <cfRule type="top10" dxfId="504" priority="7" stopIfTrue="1" rank="1"/>
  </conditionalFormatting>
  <conditionalFormatting sqref="M7:Q30">
    <cfRule type="cellIs" dxfId="503" priority="4" stopIfTrue="1" operator="equal">
      <formula>30</formula>
    </cfRule>
    <cfRule type="cellIs" dxfId="502" priority="5" stopIfTrue="1" operator="equal">
      <formula>34</formula>
    </cfRule>
    <cfRule type="cellIs" dxfId="501" priority="6" stopIfTrue="1" operator="equal">
      <formula>40</formula>
    </cfRule>
  </conditionalFormatting>
  <conditionalFormatting sqref="G20">
    <cfRule type="duplicateValues" dxfId="500" priority="3" stopIfTrue="1"/>
  </conditionalFormatting>
  <conditionalFormatting sqref="G21:G30 G7:G19">
    <cfRule type="duplicateValues" dxfId="499" priority="320" stopIfTrue="1"/>
  </conditionalFormatting>
  <conditionalFormatting sqref="E7:E30">
    <cfRule type="duplicateValues" dxfId="498" priority="322" stopIfTrue="1"/>
  </conditionalFormatting>
  <conditionalFormatting sqref="S7:S30">
    <cfRule type="top10" dxfId="497" priority="323" stopIfTrue="1" rank="1"/>
  </conditionalFormatting>
  <conditionalFormatting sqref="T7:T30">
    <cfRule type="top10" dxfId="496" priority="324" stopIfTrue="1" rank="1"/>
  </conditionalFormatting>
  <conditionalFormatting sqref="R7:R30">
    <cfRule type="top10" dxfId="495" priority="325" stopIfTrue="1" rank="1"/>
  </conditionalFormatting>
  <conditionalFormatting sqref="Q7:Q30">
    <cfRule type="duplicateValues" dxfId="494" priority="326" stopIfTrue="1"/>
  </conditionalFormatting>
  <conditionalFormatting sqref="I7:I30">
    <cfRule type="duplicateValues" dxfId="493" priority="327" stopIfTrue="1"/>
  </conditionalFormatting>
  <pageMargins left="0.78740157480314965" right="0.39370078740157483" top="0.78740157480314965" bottom="0.39370078740157483" header="0.59055118110236227" footer="0"/>
  <pageSetup paperSize="9" fitToHeight="0" orientation="portrait" useFirstPageNumber="1" verticalDpi="300" r:id="rId1"/>
  <headerFooter alignWithMargins="0">
    <oddHeader>&amp;R&amp;"Arial,Regular"&amp;9Page &amp;P of &amp;N</oddHead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J58"/>
  <sheetViews>
    <sheetView showGridLines="0" showRowColHeaders="0" zoomScaleNormal="100" workbookViewId="0">
      <pane ySplit="2" topLeftCell="A3" activePane="bottomLeft" state="frozen"/>
      <selection activeCell="N1" sqref="N1"/>
      <selection pane="bottomLeft" activeCell="J1" sqref="J1"/>
    </sheetView>
  </sheetViews>
  <sheetFormatPr defaultRowHeight="12.75" x14ac:dyDescent="0.2"/>
  <cols>
    <col min="1" max="1" width="3.28515625" style="152" customWidth="1"/>
    <col min="2" max="2" width="34.140625" style="152" bestFit="1" customWidth="1"/>
    <col min="3" max="10" width="6.7109375" style="152" customWidth="1"/>
    <col min="11" max="17" width="9.140625" style="152" customWidth="1"/>
    <col min="18" max="16384" width="9.140625" style="152"/>
  </cols>
  <sheetData>
    <row r="1" spans="1:10" x14ac:dyDescent="0.2">
      <c r="A1" s="151" t="str">
        <f>UPPER((Kalend!E9)&amp;" - "&amp;(Kalend!C9)&amp;" - "&amp;(Kalend!D9))</f>
        <v>M1 - MÄETAGUSE 8. KV 1. ETAPP - DUO</v>
      </c>
      <c r="F1" s="113" t="str">
        <f>HYPERLINK("#Kalend!I1","Kalender")</f>
        <v>Kalender</v>
      </c>
      <c r="G1" s="2"/>
      <c r="H1" s="113" t="str">
        <f>HYPERLINK("#Reit!G1","Reiting")</f>
        <v>Reiting</v>
      </c>
      <c r="I1" s="2"/>
      <c r="J1" s="2"/>
    </row>
    <row r="2" spans="1:10" x14ac:dyDescent="0.2">
      <c r="A2" s="2" t="str">
        <f>"Toimumisaeg: "&amp;(Kalend!A9)&amp;" kell "&amp;(Kalend!B9)</f>
        <v>Toimumisaeg: T, 16.05.2017 kell 18:00</v>
      </c>
    </row>
    <row r="3" spans="1:10" x14ac:dyDescent="0.2">
      <c r="A3" s="2" t="str">
        <f>"Toimumiskoht: "&amp;(Kalend!F9)</f>
        <v>Toimumiskoht: Mäetaguse parkla</v>
      </c>
    </row>
    <row r="4" spans="1:10" x14ac:dyDescent="0.2">
      <c r="A4" s="2" t="str">
        <f>"Korraldaja: "&amp;(Kalend!G9)</f>
        <v>Korraldaja: Mäetaguse SK, Taavi Toomel</v>
      </c>
    </row>
    <row r="5" spans="1:10" x14ac:dyDescent="0.2">
      <c r="A5" s="2"/>
    </row>
    <row r="6" spans="1:10" x14ac:dyDescent="0.2">
      <c r="A6" s="194" t="s">
        <v>381</v>
      </c>
    </row>
    <row r="7" spans="1:10" x14ac:dyDescent="0.2">
      <c r="A7" s="2"/>
    </row>
    <row r="8" spans="1:10" x14ac:dyDescent="0.2">
      <c r="A8" s="435" t="s">
        <v>263</v>
      </c>
      <c r="B8" s="435"/>
      <c r="C8" s="429">
        <v>1</v>
      </c>
      <c r="D8" s="429">
        <v>2</v>
      </c>
      <c r="E8" s="429">
        <v>3</v>
      </c>
      <c r="F8" s="429">
        <v>4</v>
      </c>
      <c r="G8" s="429" t="s">
        <v>264</v>
      </c>
      <c r="H8" s="429" t="s">
        <v>83</v>
      </c>
      <c r="I8" s="2"/>
      <c r="J8" s="2"/>
    </row>
    <row r="9" spans="1:10" x14ac:dyDescent="0.2">
      <c r="A9" s="435">
        <v>1</v>
      </c>
      <c r="B9" s="470" t="s">
        <v>376</v>
      </c>
      <c r="C9" s="437"/>
      <c r="D9" s="438">
        <v>13</v>
      </c>
      <c r="E9" s="429">
        <v>11</v>
      </c>
      <c r="F9" s="429">
        <v>10</v>
      </c>
      <c r="G9" s="472" t="s">
        <v>268</v>
      </c>
      <c r="H9" s="469" t="s">
        <v>269</v>
      </c>
      <c r="I9" s="2"/>
      <c r="J9" s="2"/>
    </row>
    <row r="10" spans="1:10" x14ac:dyDescent="0.2">
      <c r="A10" s="435">
        <v>2</v>
      </c>
      <c r="B10" s="480" t="s">
        <v>377</v>
      </c>
      <c r="C10" s="438">
        <v>1</v>
      </c>
      <c r="D10" s="437"/>
      <c r="E10" s="438">
        <v>4</v>
      </c>
      <c r="F10" s="438">
        <v>8</v>
      </c>
      <c r="G10" s="472" t="s">
        <v>270</v>
      </c>
      <c r="H10" s="469" t="s">
        <v>120</v>
      </c>
      <c r="I10" s="2"/>
      <c r="J10" s="2"/>
    </row>
    <row r="11" spans="1:10" x14ac:dyDescent="0.2">
      <c r="A11" s="435">
        <v>3</v>
      </c>
      <c r="B11" s="481" t="s">
        <v>363</v>
      </c>
      <c r="C11" s="438">
        <v>5</v>
      </c>
      <c r="D11" s="439">
        <v>13</v>
      </c>
      <c r="E11" s="437"/>
      <c r="F11" s="438">
        <v>13</v>
      </c>
      <c r="G11" s="472" t="s">
        <v>119</v>
      </c>
      <c r="H11" s="439" t="s">
        <v>267</v>
      </c>
      <c r="I11" s="2"/>
      <c r="J11" s="2"/>
    </row>
    <row r="12" spans="1:10" x14ac:dyDescent="0.2">
      <c r="A12" s="435">
        <v>4</v>
      </c>
      <c r="B12" s="470" t="s">
        <v>378</v>
      </c>
      <c r="C12" s="438">
        <v>9</v>
      </c>
      <c r="D12" s="438">
        <v>13</v>
      </c>
      <c r="E12" s="438">
        <v>6</v>
      </c>
      <c r="F12" s="437"/>
      <c r="G12" s="472" t="s">
        <v>265</v>
      </c>
      <c r="H12" s="469" t="s">
        <v>266</v>
      </c>
      <c r="I12" s="2"/>
      <c r="J12" s="2"/>
    </row>
    <row r="13" spans="1:10" x14ac:dyDescent="0.2">
      <c r="A13" s="436"/>
      <c r="B13" s="436"/>
      <c r="C13" s="436"/>
      <c r="D13" s="436"/>
      <c r="E13" s="436"/>
      <c r="F13" s="436"/>
      <c r="G13" s="436"/>
      <c r="H13" s="436"/>
      <c r="I13" s="436"/>
      <c r="J13" s="436"/>
    </row>
    <row r="14" spans="1:10" x14ac:dyDescent="0.2">
      <c r="A14" s="436"/>
      <c r="B14" s="441" t="s">
        <v>114</v>
      </c>
      <c r="C14" s="442" t="s">
        <v>276</v>
      </c>
      <c r="D14" s="442" t="s">
        <v>277</v>
      </c>
      <c r="E14" s="436"/>
      <c r="F14" s="436"/>
      <c r="G14" s="436"/>
      <c r="H14" s="436"/>
      <c r="I14" s="436"/>
      <c r="J14" s="436"/>
    </row>
    <row r="15" spans="1:10" x14ac:dyDescent="0.2">
      <c r="A15" s="436"/>
      <c r="B15" s="441" t="s">
        <v>115</v>
      </c>
      <c r="C15" s="442" t="s">
        <v>278</v>
      </c>
      <c r="D15" s="442" t="s">
        <v>279</v>
      </c>
      <c r="E15" s="436"/>
      <c r="F15" s="436"/>
      <c r="G15" s="436"/>
      <c r="H15" s="436"/>
      <c r="I15" s="436"/>
      <c r="J15" s="436"/>
    </row>
    <row r="16" spans="1:10" x14ac:dyDescent="0.2">
      <c r="A16" s="436"/>
      <c r="B16" s="441" t="s">
        <v>116</v>
      </c>
      <c r="C16" s="442" t="s">
        <v>265</v>
      </c>
      <c r="D16" s="442" t="s">
        <v>280</v>
      </c>
      <c r="E16" s="436"/>
      <c r="F16" s="436"/>
      <c r="G16" s="436"/>
      <c r="H16" s="436"/>
      <c r="I16" s="436"/>
      <c r="J16" s="436"/>
    </row>
    <row r="17" spans="1:10" x14ac:dyDescent="0.2">
      <c r="A17" s="2"/>
      <c r="B17" s="2"/>
      <c r="C17" s="2"/>
      <c r="D17" s="2"/>
      <c r="E17" s="2"/>
      <c r="F17" s="2"/>
      <c r="G17" s="2"/>
      <c r="H17" s="2"/>
      <c r="I17" s="2"/>
      <c r="J17" s="2"/>
    </row>
    <row r="18" spans="1:10" x14ac:dyDescent="0.2">
      <c r="A18" s="435" t="s">
        <v>271</v>
      </c>
      <c r="B18" s="435"/>
      <c r="C18" s="429">
        <v>1</v>
      </c>
      <c r="D18" s="429">
        <v>2</v>
      </c>
      <c r="E18" s="429">
        <v>3</v>
      </c>
      <c r="F18" s="429" t="s">
        <v>264</v>
      </c>
      <c r="G18" s="429" t="s">
        <v>83</v>
      </c>
      <c r="J18" s="2"/>
    </row>
    <row r="19" spans="1:10" x14ac:dyDescent="0.2">
      <c r="A19" s="435">
        <v>1</v>
      </c>
      <c r="B19" s="470" t="s">
        <v>367</v>
      </c>
      <c r="C19" s="437"/>
      <c r="D19" s="438">
        <v>12</v>
      </c>
      <c r="E19" s="438">
        <v>5</v>
      </c>
      <c r="F19" s="472" t="s">
        <v>316</v>
      </c>
      <c r="G19" s="469" t="s">
        <v>266</v>
      </c>
      <c r="J19" s="2"/>
    </row>
    <row r="20" spans="1:10" x14ac:dyDescent="0.2">
      <c r="A20" s="435">
        <v>2</v>
      </c>
      <c r="B20" s="470" t="s">
        <v>373</v>
      </c>
      <c r="C20" s="438">
        <v>13</v>
      </c>
      <c r="D20" s="437"/>
      <c r="E20" s="438">
        <v>13</v>
      </c>
      <c r="F20" s="472" t="s">
        <v>317</v>
      </c>
      <c r="G20" s="469" t="s">
        <v>269</v>
      </c>
      <c r="J20" s="2"/>
    </row>
    <row r="21" spans="1:10" x14ac:dyDescent="0.2">
      <c r="A21" s="435">
        <v>3</v>
      </c>
      <c r="B21" s="470" t="s">
        <v>379</v>
      </c>
      <c r="C21" s="438">
        <v>13</v>
      </c>
      <c r="D21" s="438">
        <v>8</v>
      </c>
      <c r="E21" s="437"/>
      <c r="F21" s="472" t="s">
        <v>121</v>
      </c>
      <c r="G21" s="469" t="s">
        <v>267</v>
      </c>
      <c r="J21" s="2"/>
    </row>
    <row r="22" spans="1:10" x14ac:dyDescent="0.2">
      <c r="A22" s="2"/>
      <c r="B22" s="2"/>
      <c r="C22" s="2"/>
      <c r="D22" s="2"/>
      <c r="E22" s="2"/>
      <c r="F22" s="2"/>
      <c r="G22" s="2"/>
      <c r="H22" s="2"/>
      <c r="I22" s="2"/>
      <c r="J22" s="2"/>
    </row>
    <row r="23" spans="1:10" x14ac:dyDescent="0.2">
      <c r="A23" s="2"/>
      <c r="B23" s="441" t="s">
        <v>114</v>
      </c>
      <c r="C23" s="442" t="s">
        <v>277</v>
      </c>
      <c r="D23" s="442"/>
      <c r="E23" s="2"/>
      <c r="F23" s="2"/>
      <c r="G23" s="2"/>
      <c r="H23" s="2"/>
      <c r="I23" s="2"/>
      <c r="J23" s="2"/>
    </row>
    <row r="24" spans="1:10" x14ac:dyDescent="0.2">
      <c r="A24" s="2"/>
      <c r="B24" s="441" t="s">
        <v>115</v>
      </c>
      <c r="C24" s="442" t="s">
        <v>278</v>
      </c>
      <c r="D24" s="442"/>
      <c r="E24" s="2"/>
      <c r="F24" s="2"/>
      <c r="G24" s="2"/>
      <c r="H24" s="2"/>
      <c r="I24" s="2"/>
      <c r="J24" s="2"/>
    </row>
    <row r="25" spans="1:10" x14ac:dyDescent="0.2">
      <c r="A25" s="2"/>
      <c r="B25" s="441" t="s">
        <v>116</v>
      </c>
      <c r="C25" s="442" t="s">
        <v>119</v>
      </c>
      <c r="D25" s="442"/>
      <c r="E25" s="2"/>
      <c r="F25" s="2"/>
      <c r="G25" s="2"/>
      <c r="H25" s="2"/>
      <c r="I25" s="2"/>
      <c r="J25" s="2"/>
    </row>
    <row r="26" spans="1:10" x14ac:dyDescent="0.2">
      <c r="A26" s="2"/>
      <c r="B26" s="441"/>
      <c r="C26" s="442"/>
      <c r="D26" s="442"/>
      <c r="E26" s="2"/>
      <c r="F26" s="2"/>
      <c r="G26" s="2"/>
      <c r="H26" s="2"/>
      <c r="I26" s="2"/>
      <c r="J26" s="2"/>
    </row>
    <row r="27" spans="1:10" x14ac:dyDescent="0.2">
      <c r="A27" s="2"/>
      <c r="B27" s="2"/>
      <c r="C27" s="2"/>
      <c r="D27" s="2"/>
      <c r="E27" s="2"/>
      <c r="F27" s="2"/>
      <c r="G27" s="2"/>
      <c r="H27" s="2"/>
      <c r="I27" s="2"/>
      <c r="J27" s="2"/>
    </row>
    <row r="28" spans="1:10" x14ac:dyDescent="0.2">
      <c r="A28" s="548" t="s">
        <v>290</v>
      </c>
      <c r="B28" s="532" t="s">
        <v>376</v>
      </c>
      <c r="C28" s="583">
        <v>11</v>
      </c>
      <c r="D28" s="436"/>
      <c r="E28" s="436"/>
      <c r="F28" s="436"/>
      <c r="G28" s="436"/>
      <c r="H28" s="436"/>
      <c r="I28" s="436"/>
      <c r="J28" s="436"/>
    </row>
    <row r="29" spans="1:10" x14ac:dyDescent="0.2">
      <c r="A29" s="549"/>
      <c r="B29" s="515"/>
      <c r="C29" s="582" t="s">
        <v>376</v>
      </c>
      <c r="D29" s="518"/>
      <c r="E29" s="436"/>
      <c r="F29" s="514">
        <v>13</v>
      </c>
      <c r="G29" s="436"/>
      <c r="H29" s="436"/>
      <c r="I29" s="436"/>
      <c r="J29" s="436"/>
    </row>
    <row r="30" spans="1:10" x14ac:dyDescent="0.2">
      <c r="A30" s="549" t="s">
        <v>283</v>
      </c>
      <c r="B30" s="518" t="s">
        <v>379</v>
      </c>
      <c r="C30" s="551">
        <v>8</v>
      </c>
      <c r="D30" s="436"/>
      <c r="E30" s="516"/>
      <c r="F30" s="436"/>
      <c r="G30" s="436"/>
      <c r="H30" s="436"/>
      <c r="I30" s="436"/>
      <c r="J30" s="436"/>
    </row>
    <row r="31" spans="1:10" ht="13.5" thickBot="1" x14ac:dyDescent="0.25">
      <c r="A31" s="549"/>
      <c r="B31" s="436"/>
      <c r="C31" s="436"/>
      <c r="D31" s="513"/>
      <c r="E31" s="521"/>
      <c r="F31" s="436"/>
      <c r="G31" s="532" t="s">
        <v>376</v>
      </c>
      <c r="H31" s="436"/>
      <c r="I31" s="436"/>
      <c r="J31" s="436"/>
    </row>
    <row r="32" spans="1:10" x14ac:dyDescent="0.2">
      <c r="A32" s="549" t="s">
        <v>286</v>
      </c>
      <c r="B32" s="436" t="s">
        <v>373</v>
      </c>
      <c r="C32" s="525">
        <v>13</v>
      </c>
      <c r="D32" s="436"/>
      <c r="E32" s="521"/>
      <c r="F32" s="552"/>
      <c r="G32" s="523" t="s">
        <v>287</v>
      </c>
      <c r="H32" s="522"/>
      <c r="I32" s="436"/>
      <c r="J32" s="436"/>
    </row>
    <row r="33" spans="1:10" x14ac:dyDescent="0.2">
      <c r="A33" s="549"/>
      <c r="B33" s="515"/>
      <c r="C33" s="517" t="s">
        <v>373</v>
      </c>
      <c r="D33" s="436"/>
      <c r="E33" s="519"/>
      <c r="F33" s="525">
        <v>10</v>
      </c>
      <c r="G33" s="436"/>
      <c r="H33" s="436"/>
      <c r="I33" s="436"/>
      <c r="J33" s="436"/>
    </row>
    <row r="34" spans="1:10" ht="13.5" thickBot="1" x14ac:dyDescent="0.25">
      <c r="A34" s="549" t="s">
        <v>285</v>
      </c>
      <c r="B34" s="518" t="s">
        <v>363</v>
      </c>
      <c r="C34" s="520">
        <v>0</v>
      </c>
      <c r="D34" s="515"/>
      <c r="E34" s="436"/>
      <c r="F34" s="513"/>
      <c r="G34" s="592" t="s">
        <v>373</v>
      </c>
      <c r="H34" s="524"/>
      <c r="I34" s="436"/>
      <c r="J34" s="436"/>
    </row>
    <row r="35" spans="1:10" x14ac:dyDescent="0.2">
      <c r="A35" s="527"/>
      <c r="B35" s="436"/>
      <c r="C35" s="436"/>
      <c r="D35" s="436"/>
      <c r="E35" s="436"/>
      <c r="F35" s="513"/>
      <c r="G35" s="523" t="s">
        <v>289</v>
      </c>
      <c r="H35" s="513"/>
      <c r="I35" s="436"/>
      <c r="J35" s="436"/>
    </row>
    <row r="36" spans="1:10" x14ac:dyDescent="0.2">
      <c r="A36" s="527"/>
      <c r="B36" s="436"/>
      <c r="C36" s="436" t="s">
        <v>379</v>
      </c>
      <c r="D36" s="436"/>
      <c r="E36" s="436"/>
      <c r="F36" s="525">
        <v>13</v>
      </c>
      <c r="G36" s="513"/>
      <c r="H36" s="513"/>
      <c r="I36" s="436"/>
      <c r="J36" s="436"/>
    </row>
    <row r="37" spans="1:10" ht="13.5" thickBot="1" x14ac:dyDescent="0.25">
      <c r="A37" s="527"/>
      <c r="B37" s="436"/>
      <c r="C37" s="515"/>
      <c r="D37" s="515"/>
      <c r="E37" s="516"/>
      <c r="F37" s="524"/>
      <c r="G37" s="534" t="s">
        <v>379</v>
      </c>
      <c r="H37" s="524"/>
      <c r="I37" s="436"/>
      <c r="J37" s="436"/>
    </row>
    <row r="38" spans="1:10" x14ac:dyDescent="0.2">
      <c r="A38" s="527"/>
      <c r="B38" s="436"/>
      <c r="C38" s="518" t="s">
        <v>363</v>
      </c>
      <c r="D38" s="518"/>
      <c r="E38" s="519"/>
      <c r="F38" s="514">
        <v>3</v>
      </c>
      <c r="G38" s="526" t="s">
        <v>292</v>
      </c>
      <c r="H38" s="513"/>
      <c r="I38" s="436"/>
      <c r="J38" s="436"/>
    </row>
    <row r="39" spans="1:10" x14ac:dyDescent="0.2">
      <c r="A39" s="527"/>
      <c r="B39" s="436"/>
      <c r="C39" s="436"/>
      <c r="D39" s="436"/>
      <c r="E39" s="436"/>
      <c r="F39" s="436"/>
      <c r="G39" s="513"/>
      <c r="H39" s="513"/>
      <c r="I39" s="436"/>
      <c r="J39" s="436"/>
    </row>
    <row r="40" spans="1:10" ht="13.5" thickBot="1" x14ac:dyDescent="0.25">
      <c r="A40" s="527"/>
      <c r="B40" s="436"/>
      <c r="C40" s="436"/>
      <c r="D40" s="513"/>
      <c r="E40" s="513"/>
      <c r="F40" s="436"/>
      <c r="G40" s="534" t="s">
        <v>363</v>
      </c>
      <c r="H40" s="524"/>
      <c r="I40" s="436"/>
      <c r="J40" s="436"/>
    </row>
    <row r="41" spans="1:10" x14ac:dyDescent="0.2">
      <c r="A41" s="527"/>
      <c r="B41" s="436"/>
      <c r="C41" s="436"/>
      <c r="D41" s="513"/>
      <c r="E41" s="513"/>
      <c r="F41" s="436"/>
      <c r="G41" s="527" t="s">
        <v>293</v>
      </c>
      <c r="H41" s="436"/>
      <c r="I41" s="436"/>
      <c r="J41" s="436"/>
    </row>
    <row r="42" spans="1:10" x14ac:dyDescent="0.2">
      <c r="A42" s="527"/>
      <c r="B42" s="436"/>
      <c r="C42" s="436"/>
      <c r="D42" s="513"/>
      <c r="E42" s="513"/>
      <c r="F42" s="436"/>
      <c r="G42" s="527"/>
      <c r="H42" s="436"/>
      <c r="I42" s="436"/>
      <c r="J42" s="436"/>
    </row>
    <row r="43" spans="1:10" x14ac:dyDescent="0.2">
      <c r="A43" s="526"/>
      <c r="B43" s="553" t="s">
        <v>305</v>
      </c>
      <c r="C43" s="554" t="s">
        <v>378</v>
      </c>
      <c r="F43" s="555">
        <v>10</v>
      </c>
      <c r="G43" s="554"/>
      <c r="H43" s="554"/>
      <c r="I43" s="436"/>
      <c r="J43" s="436"/>
    </row>
    <row r="44" spans="1:10" ht="13.5" thickBot="1" x14ac:dyDescent="0.25">
      <c r="B44" s="556"/>
      <c r="C44" s="557"/>
      <c r="D44" s="586"/>
      <c r="E44" s="587"/>
      <c r="F44" s="584"/>
      <c r="G44" s="570" t="s">
        <v>367</v>
      </c>
      <c r="H44" s="570"/>
      <c r="I44" s="436"/>
      <c r="J44" s="436"/>
    </row>
    <row r="45" spans="1:10" x14ac:dyDescent="0.2">
      <c r="B45" s="556" t="s">
        <v>302</v>
      </c>
      <c r="C45" s="559" t="s">
        <v>367</v>
      </c>
      <c r="D45" s="588"/>
      <c r="E45" s="589"/>
      <c r="F45" s="585">
        <v>13</v>
      </c>
      <c r="G45" s="565" t="s">
        <v>294</v>
      </c>
      <c r="H45" s="566"/>
      <c r="I45" s="436"/>
      <c r="J45" s="436"/>
    </row>
    <row r="46" spans="1:10" x14ac:dyDescent="0.2">
      <c r="J46" s="436"/>
    </row>
    <row r="47" spans="1:10" ht="13.5" thickBot="1" x14ac:dyDescent="0.25">
      <c r="A47" s="554"/>
      <c r="B47" s="554"/>
      <c r="C47" s="554"/>
      <c r="D47" s="554"/>
      <c r="E47" s="554"/>
      <c r="F47" s="554"/>
      <c r="G47" s="562" t="s">
        <v>378</v>
      </c>
      <c r="H47" s="570"/>
      <c r="I47" s="436"/>
      <c r="J47" s="436"/>
    </row>
    <row r="48" spans="1:10" x14ac:dyDescent="0.2">
      <c r="A48" s="554"/>
      <c r="B48" s="554"/>
      <c r="C48" s="554"/>
      <c r="D48" s="554"/>
      <c r="E48" s="554"/>
      <c r="F48" s="554"/>
      <c r="G48" s="565" t="s">
        <v>295</v>
      </c>
      <c r="H48" s="562"/>
      <c r="I48" s="436"/>
      <c r="J48" s="436"/>
    </row>
    <row r="49" spans="1:10" x14ac:dyDescent="0.2">
      <c r="A49" s="554"/>
      <c r="B49" s="554"/>
      <c r="C49" s="554"/>
      <c r="D49" s="554"/>
      <c r="E49" s="554"/>
      <c r="F49" s="554"/>
      <c r="G49" s="562"/>
      <c r="H49" s="562"/>
      <c r="I49" s="436"/>
      <c r="J49" s="436"/>
    </row>
    <row r="50" spans="1:10" ht="13.5" thickBot="1" x14ac:dyDescent="0.25">
      <c r="A50" s="554"/>
      <c r="B50" s="554"/>
      <c r="C50" s="554"/>
      <c r="D50" s="554"/>
      <c r="E50" s="554"/>
      <c r="F50" s="554"/>
      <c r="G50" s="570" t="s">
        <v>377</v>
      </c>
      <c r="H50" s="570"/>
      <c r="I50" s="436"/>
      <c r="J50" s="436"/>
    </row>
    <row r="51" spans="1:10" x14ac:dyDescent="0.2">
      <c r="C51" s="554"/>
      <c r="D51" s="562"/>
      <c r="E51" s="562"/>
      <c r="F51" s="554"/>
      <c r="G51" s="572" t="s">
        <v>296</v>
      </c>
      <c r="H51" s="562"/>
      <c r="I51" s="554"/>
      <c r="J51" s="436"/>
    </row>
    <row r="52" spans="1:10" x14ac:dyDescent="0.2">
      <c r="A52" s="223">
        <v>1</v>
      </c>
      <c r="B52" s="224" t="s">
        <v>376</v>
      </c>
      <c r="C52" s="554"/>
      <c r="D52" s="562"/>
      <c r="E52" s="562"/>
      <c r="F52" s="554"/>
      <c r="I52" s="554"/>
      <c r="J52" s="436"/>
    </row>
    <row r="53" spans="1:10" x14ac:dyDescent="0.2">
      <c r="A53" s="223">
        <v>2</v>
      </c>
      <c r="B53" s="535" t="s">
        <v>373</v>
      </c>
      <c r="C53" s="554"/>
      <c r="D53" s="554"/>
      <c r="E53" s="554"/>
      <c r="F53" s="554"/>
      <c r="I53" s="554"/>
      <c r="J53" s="436"/>
    </row>
    <row r="54" spans="1:10" x14ac:dyDescent="0.2">
      <c r="A54" s="223">
        <v>3</v>
      </c>
      <c r="B54" s="536" t="s">
        <v>379</v>
      </c>
      <c r="C54" s="554"/>
      <c r="D54" s="562"/>
      <c r="E54" s="562"/>
      <c r="F54" s="554"/>
      <c r="G54" s="554"/>
      <c r="H54" s="554"/>
      <c r="I54" s="554"/>
      <c r="J54" s="436"/>
    </row>
    <row r="55" spans="1:10" x14ac:dyDescent="0.2">
      <c r="A55" s="223">
        <v>4</v>
      </c>
      <c r="B55" s="540" t="s">
        <v>363</v>
      </c>
      <c r="C55" s="554"/>
      <c r="D55" s="562"/>
      <c r="E55" s="562"/>
      <c r="F55" s="554"/>
      <c r="G55" s="554"/>
      <c r="H55" s="554"/>
      <c r="I55" s="554"/>
      <c r="J55" s="436"/>
    </row>
    <row r="56" spans="1:10" x14ac:dyDescent="0.2">
      <c r="A56" s="223">
        <v>5</v>
      </c>
      <c r="B56" s="540" t="s">
        <v>367</v>
      </c>
      <c r="C56" s="366"/>
      <c r="D56" s="366"/>
      <c r="E56" s="366"/>
      <c r="F56" s="554"/>
      <c r="G56" s="554"/>
      <c r="H56" s="554"/>
      <c r="I56" s="554"/>
      <c r="J56" s="366"/>
    </row>
    <row r="57" spans="1:10" x14ac:dyDescent="0.2">
      <c r="A57" s="223">
        <v>6</v>
      </c>
      <c r="B57" s="540" t="s">
        <v>378</v>
      </c>
      <c r="C57" s="2"/>
      <c r="D57" s="2"/>
      <c r="E57" s="2"/>
      <c r="F57" s="554"/>
      <c r="G57" s="554"/>
      <c r="H57" s="554"/>
      <c r="I57" s="554"/>
      <c r="J57" s="2"/>
    </row>
    <row r="58" spans="1:10" x14ac:dyDescent="0.2">
      <c r="A58" s="223">
        <v>7</v>
      </c>
      <c r="B58" s="540" t="s">
        <v>377</v>
      </c>
      <c r="F58" s="554"/>
      <c r="G58" s="554"/>
      <c r="H58" s="554"/>
      <c r="I58" s="554"/>
    </row>
  </sheetData>
  <conditionalFormatting sqref="C9:G17 C18:E21 C22:G42 F43:G45 G47:G51">
    <cfRule type="cellIs" dxfId="492" priority="1" operator="equal">
      <formula>13</formula>
    </cfRule>
  </conditionalFormatting>
  <pageMargins left="0.78740157480314965" right="0.39370078740157483" top="0.78740157480314965" bottom="0.39370078740157483" header="0.59055118110236227" footer="0"/>
  <pageSetup paperSize="9" fitToHeight="0" orientation="portrait" verticalDpi="1200" r:id="rId1"/>
  <headerFooter>
    <oddHeader>&amp;R&amp;"Arial,Regular"&amp;9Page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M44"/>
  <sheetViews>
    <sheetView showGridLines="0" showRowColHeaders="0" zoomScaleNormal="100" workbookViewId="0">
      <pane ySplit="2" topLeftCell="A3" activePane="bottomLeft" state="frozen"/>
      <selection activeCell="N1" sqref="N1"/>
      <selection pane="bottomLeft" activeCell="I1" sqref="I1"/>
    </sheetView>
  </sheetViews>
  <sheetFormatPr defaultRowHeight="12.75" x14ac:dyDescent="0.2"/>
  <cols>
    <col min="1" max="1" width="3.28515625" style="152" customWidth="1"/>
    <col min="2" max="2" width="47.7109375" style="152" bestFit="1" customWidth="1"/>
    <col min="3" max="7" width="5.7109375" style="152" customWidth="1"/>
    <col min="8" max="8" width="6.7109375" style="152" bestFit="1" customWidth="1"/>
    <col min="9" max="9" width="5.7109375" style="152" customWidth="1"/>
    <col min="10" max="16384" width="9.140625" style="152"/>
  </cols>
  <sheetData>
    <row r="1" spans="1:13" x14ac:dyDescent="0.2">
      <c r="A1" s="151" t="str">
        <f>UPPER((Kalend!E18)&amp;" - "&amp;(Kalend!C18)&amp;" - "&amp;(Kalend!D18))</f>
        <v>M2 - MÄETAGUSE 8. KV 2. ETAPP - TRIO</v>
      </c>
      <c r="E1" s="113" t="str">
        <f>HYPERLINK("#Kalend!I1","Kalender")</f>
        <v>Kalender</v>
      </c>
      <c r="F1" s="2"/>
      <c r="G1" s="113" t="str">
        <f>HYPERLINK("#Reit!G1","Reiting")</f>
        <v>Reiting</v>
      </c>
      <c r="H1" s="2"/>
      <c r="I1" s="2"/>
      <c r="M1"/>
    </row>
    <row r="2" spans="1:13" x14ac:dyDescent="0.2">
      <c r="A2" s="2" t="str">
        <f>"Toimumisaeg: "&amp;(Kalend!A18)&amp;" kell "&amp;(Kalend!B18)</f>
        <v>Toimumisaeg: T, 13.06.2017 kell 18:00</v>
      </c>
    </row>
    <row r="3" spans="1:13" x14ac:dyDescent="0.2">
      <c r="A3" s="2" t="str">
        <f>"Toimumiskoht: "&amp;(Kalend!F18)</f>
        <v>Toimumiskoht: Mäetaguse parkla</v>
      </c>
    </row>
    <row r="4" spans="1:13" x14ac:dyDescent="0.2">
      <c r="A4" s="2" t="str">
        <f>"Korraldaja: "&amp;(Kalend!G18)</f>
        <v>Korraldaja: Mäetaguse SK, Taavi Toomel</v>
      </c>
    </row>
    <row r="5" spans="1:13" x14ac:dyDescent="0.2">
      <c r="A5" s="2"/>
    </row>
    <row r="6" spans="1:13" x14ac:dyDescent="0.2">
      <c r="A6" s="194" t="s">
        <v>453</v>
      </c>
    </row>
    <row r="7" spans="1:13" x14ac:dyDescent="0.2">
      <c r="A7" s="2"/>
    </row>
    <row r="8" spans="1:13" x14ac:dyDescent="0.2">
      <c r="A8" s="435" t="s">
        <v>263</v>
      </c>
      <c r="B8" s="435"/>
      <c r="C8" s="429">
        <v>1</v>
      </c>
      <c r="D8" s="429">
        <v>2</v>
      </c>
      <c r="E8" s="429">
        <v>3</v>
      </c>
      <c r="F8" s="429">
        <v>4</v>
      </c>
      <c r="G8" s="429">
        <v>5</v>
      </c>
      <c r="H8" s="429" t="s">
        <v>264</v>
      </c>
      <c r="I8" s="429" t="s">
        <v>83</v>
      </c>
      <c r="J8"/>
    </row>
    <row r="9" spans="1:13" x14ac:dyDescent="0.2">
      <c r="A9" s="435">
        <v>1</v>
      </c>
      <c r="B9" s="470" t="s">
        <v>452</v>
      </c>
      <c r="C9" s="437"/>
      <c r="D9" s="438">
        <v>12</v>
      </c>
      <c r="E9" s="429">
        <v>11</v>
      </c>
      <c r="F9" s="429">
        <v>11</v>
      </c>
      <c r="G9" s="438">
        <v>13</v>
      </c>
      <c r="H9" s="472" t="s">
        <v>370</v>
      </c>
      <c r="I9" s="469" t="s">
        <v>267</v>
      </c>
      <c r="J9"/>
    </row>
    <row r="10" spans="1:13" x14ac:dyDescent="0.2">
      <c r="A10" s="435">
        <v>2</v>
      </c>
      <c r="B10" s="483" t="s">
        <v>325</v>
      </c>
      <c r="C10" s="438">
        <v>13</v>
      </c>
      <c r="D10" s="437"/>
      <c r="E10" s="438">
        <v>13</v>
      </c>
      <c r="F10" s="438">
        <v>5</v>
      </c>
      <c r="G10" s="438">
        <v>13</v>
      </c>
      <c r="H10" s="472" t="s">
        <v>370</v>
      </c>
      <c r="I10" s="469" t="s">
        <v>269</v>
      </c>
      <c r="J10"/>
    </row>
    <row r="11" spans="1:13" x14ac:dyDescent="0.2">
      <c r="A11" s="435">
        <v>3</v>
      </c>
      <c r="B11" s="470" t="s">
        <v>563</v>
      </c>
      <c r="C11" s="438">
        <v>8</v>
      </c>
      <c r="D11" s="438">
        <v>8</v>
      </c>
      <c r="E11" s="437"/>
      <c r="F11" s="779">
        <v>8</v>
      </c>
      <c r="G11" s="438">
        <v>5</v>
      </c>
      <c r="H11" s="472" t="s">
        <v>450</v>
      </c>
      <c r="I11" s="469" t="s">
        <v>372</v>
      </c>
      <c r="J11"/>
    </row>
    <row r="12" spans="1:13" x14ac:dyDescent="0.2">
      <c r="A12" s="435">
        <v>4</v>
      </c>
      <c r="B12" s="470" t="s">
        <v>326</v>
      </c>
      <c r="C12" s="438">
        <v>6</v>
      </c>
      <c r="D12" s="438">
        <v>13</v>
      </c>
      <c r="E12" s="779">
        <v>8</v>
      </c>
      <c r="F12" s="437"/>
      <c r="G12" s="438">
        <v>2</v>
      </c>
      <c r="H12" s="472" t="s">
        <v>451</v>
      </c>
      <c r="I12" s="469" t="s">
        <v>120</v>
      </c>
      <c r="J12"/>
    </row>
    <row r="13" spans="1:13" x14ac:dyDescent="0.2">
      <c r="A13" s="435">
        <v>5</v>
      </c>
      <c r="B13" s="481" t="s">
        <v>324</v>
      </c>
      <c r="C13" s="438">
        <v>12</v>
      </c>
      <c r="D13" s="438">
        <v>6</v>
      </c>
      <c r="E13" s="438">
        <v>13</v>
      </c>
      <c r="F13" s="438">
        <v>13</v>
      </c>
      <c r="G13" s="437"/>
      <c r="H13" s="472" t="s">
        <v>371</v>
      </c>
      <c r="I13" s="469" t="s">
        <v>266</v>
      </c>
      <c r="J13"/>
    </row>
    <row r="14" spans="1:13" x14ac:dyDescent="0.2">
      <c r="A14"/>
      <c r="B14"/>
      <c r="C14"/>
      <c r="D14"/>
      <c r="E14"/>
      <c r="F14"/>
      <c r="G14"/>
      <c r="H14"/>
      <c r="I14"/>
      <c r="J14"/>
    </row>
    <row r="15" spans="1:13" x14ac:dyDescent="0.2">
      <c r="A15"/>
      <c r="B15" s="441" t="s">
        <v>114</v>
      </c>
      <c r="C15" s="442" t="s">
        <v>361</v>
      </c>
      <c r="D15" s="442" t="s">
        <v>280</v>
      </c>
      <c r="E15"/>
      <c r="F15"/>
      <c r="G15"/>
      <c r="H15"/>
      <c r="I15"/>
      <c r="J15"/>
    </row>
    <row r="16" spans="1:13" x14ac:dyDescent="0.2">
      <c r="A16"/>
      <c r="B16" s="441" t="s">
        <v>115</v>
      </c>
      <c r="C16" s="442" t="s">
        <v>359</v>
      </c>
      <c r="D16" s="780" t="s">
        <v>277</v>
      </c>
      <c r="E16"/>
      <c r="F16"/>
      <c r="G16"/>
      <c r="H16"/>
      <c r="I16"/>
      <c r="J16"/>
    </row>
    <row r="17" spans="1:10" x14ac:dyDescent="0.2">
      <c r="A17"/>
      <c r="B17" s="441" t="s">
        <v>116</v>
      </c>
      <c r="C17" s="780" t="s">
        <v>276</v>
      </c>
      <c r="D17" s="780" t="s">
        <v>455</v>
      </c>
      <c r="E17"/>
      <c r="F17"/>
      <c r="G17"/>
      <c r="H17"/>
      <c r="I17"/>
      <c r="J17"/>
    </row>
    <row r="18" spans="1:10" x14ac:dyDescent="0.2">
      <c r="A18"/>
      <c r="B18" s="441" t="s">
        <v>117</v>
      </c>
      <c r="C18" s="780" t="s">
        <v>278</v>
      </c>
      <c r="D18" s="780" t="s">
        <v>454</v>
      </c>
      <c r="E18"/>
      <c r="F18"/>
      <c r="G18"/>
      <c r="H18"/>
      <c r="I18"/>
      <c r="J18"/>
    </row>
    <row r="19" spans="1:10" x14ac:dyDescent="0.2">
      <c r="A19"/>
      <c r="B19" s="441" t="s">
        <v>118</v>
      </c>
      <c r="C19" s="780" t="s">
        <v>265</v>
      </c>
      <c r="D19" s="780" t="s">
        <v>360</v>
      </c>
      <c r="E19"/>
      <c r="F19"/>
      <c r="G19"/>
      <c r="H19"/>
      <c r="I19"/>
      <c r="J19"/>
    </row>
    <row r="20" spans="1:10" x14ac:dyDescent="0.2">
      <c r="A20"/>
      <c r="B20"/>
      <c r="C20"/>
      <c r="D20"/>
      <c r="E20"/>
      <c r="F20"/>
      <c r="G20"/>
      <c r="H20"/>
      <c r="I20"/>
      <c r="J20"/>
    </row>
    <row r="21" spans="1:10" x14ac:dyDescent="0.2">
      <c r="A21" s="435">
        <v>1</v>
      </c>
      <c r="B21" s="224" t="s">
        <v>325</v>
      </c>
      <c r="C21"/>
      <c r="D21"/>
      <c r="E21"/>
      <c r="F21"/>
      <c r="G21"/>
      <c r="H21"/>
      <c r="I21"/>
      <c r="J21"/>
    </row>
    <row r="22" spans="1:10" x14ac:dyDescent="0.2">
      <c r="A22" s="435">
        <v>2</v>
      </c>
      <c r="B22" s="535" t="s">
        <v>452</v>
      </c>
      <c r="C22"/>
      <c r="D22"/>
      <c r="E22"/>
      <c r="F22"/>
      <c r="G22"/>
      <c r="H22"/>
      <c r="I22"/>
      <c r="J22"/>
    </row>
    <row r="23" spans="1:10" x14ac:dyDescent="0.2">
      <c r="A23" s="435">
        <v>3</v>
      </c>
      <c r="B23" s="536" t="s">
        <v>324</v>
      </c>
      <c r="C23"/>
      <c r="D23"/>
      <c r="E23"/>
      <c r="F23"/>
      <c r="G23"/>
      <c r="H23"/>
      <c r="I23"/>
      <c r="J23"/>
    </row>
    <row r="24" spans="1:10" x14ac:dyDescent="0.2">
      <c r="A24" s="435">
        <v>4</v>
      </c>
      <c r="B24" s="231" t="s">
        <v>326</v>
      </c>
      <c r="C24"/>
      <c r="D24"/>
      <c r="E24"/>
      <c r="F24"/>
      <c r="G24"/>
      <c r="H24"/>
      <c r="I24"/>
      <c r="J24"/>
    </row>
    <row r="25" spans="1:10" x14ac:dyDescent="0.2">
      <c r="A25" s="435">
        <v>5</v>
      </c>
      <c r="B25" s="540" t="s">
        <v>563</v>
      </c>
      <c r="C25"/>
      <c r="D25"/>
      <c r="E25"/>
      <c r="F25"/>
      <c r="G25"/>
      <c r="H25"/>
      <c r="I25"/>
      <c r="J25"/>
    </row>
    <row r="26" spans="1:10" x14ac:dyDescent="0.2">
      <c r="A26"/>
      <c r="B26"/>
      <c r="C26"/>
      <c r="D26"/>
      <c r="E26"/>
      <c r="F26"/>
      <c r="G26"/>
      <c r="H26"/>
      <c r="I26"/>
      <c r="J26"/>
    </row>
    <row r="27" spans="1:10" x14ac:dyDescent="0.2">
      <c r="A27"/>
      <c r="B27"/>
      <c r="C27"/>
      <c r="D27"/>
      <c r="E27"/>
      <c r="F27"/>
      <c r="G27"/>
      <c r="H27"/>
      <c r="I27"/>
      <c r="J27"/>
    </row>
    <row r="28" spans="1:10" x14ac:dyDescent="0.2">
      <c r="A28"/>
      <c r="B28"/>
      <c r="C28"/>
      <c r="D28"/>
      <c r="E28"/>
      <c r="F28"/>
      <c r="G28"/>
      <c r="H28"/>
      <c r="I28"/>
      <c r="J28"/>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sheetData>
  <conditionalFormatting sqref="C9:G13 C15:D16">
    <cfRule type="cellIs" dxfId="491" priority="6" operator="equal">
      <formula>13</formula>
    </cfRule>
  </conditionalFormatting>
  <conditionalFormatting sqref="B13">
    <cfRule type="duplicateValues" dxfId="490" priority="5"/>
  </conditionalFormatting>
  <conditionalFormatting sqref="B10">
    <cfRule type="duplicateValues" dxfId="489" priority="4"/>
  </conditionalFormatting>
  <conditionalFormatting sqref="C17:D17">
    <cfRule type="cellIs" dxfId="488" priority="2" operator="equal">
      <formula>13</formula>
    </cfRule>
  </conditionalFormatting>
  <conditionalFormatting sqref="C18:D19">
    <cfRule type="cellIs" dxfId="487" priority="1" operator="equal">
      <formula>13</formula>
    </cfRule>
  </conditionalFormatting>
  <pageMargins left="0.78740157480314965" right="0.39370078740157483" top="0.78740157480314965" bottom="0.39370078740157483" header="0.59055118110236227" footer="0"/>
  <pageSetup paperSize="9" fitToHeight="0" orientation="portrait" verticalDpi="180" r:id="rId1"/>
  <headerFooter>
    <oddHeader>&amp;R&amp;"Arial,Regular"&amp;9Page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L71"/>
  <sheetViews>
    <sheetView showGridLines="0" showRowColHeaders="0" zoomScaleNormal="100" workbookViewId="0">
      <pane ySplit="2" topLeftCell="A3" activePane="bottomLeft" state="frozen"/>
      <selection activeCell="N1" sqref="N1"/>
      <selection pane="bottomLeft" activeCell="J1" sqref="J1"/>
    </sheetView>
  </sheetViews>
  <sheetFormatPr defaultRowHeight="12.75" x14ac:dyDescent="0.2"/>
  <cols>
    <col min="1" max="1" width="3.28515625" style="152" customWidth="1"/>
    <col min="2" max="2" width="34" style="152" customWidth="1"/>
    <col min="3" max="10" width="6.7109375" style="152" customWidth="1"/>
    <col min="11" max="16384" width="9.140625" style="152"/>
  </cols>
  <sheetData>
    <row r="1" spans="1:12" x14ac:dyDescent="0.2">
      <c r="A1" s="151" t="str">
        <f>UPPER((Kalend!E24)&amp;" - "&amp;(Kalend!C24)&amp;" - "&amp;(Kalend!D24))</f>
        <v>M3 - MÄETAGUSE 8. KV 3. ETAPP - DUO</v>
      </c>
      <c r="F1" s="113" t="str">
        <f>HYPERLINK("#Kalend!I1","Kalender")</f>
        <v>Kalender</v>
      </c>
      <c r="G1" s="2"/>
      <c r="H1" s="113" t="str">
        <f>HYPERLINK("#Reit!G1","Reiting")</f>
        <v>Reiting</v>
      </c>
      <c r="I1" s="2"/>
    </row>
    <row r="2" spans="1:12" x14ac:dyDescent="0.2">
      <c r="A2" s="2" t="str">
        <f>"Toimumisaeg: "&amp;(Kalend!A24)&amp;" kell "&amp;(Kalend!B24)</f>
        <v>Toimumisaeg: T, 04.07.2017 kell 18:00</v>
      </c>
    </row>
    <row r="3" spans="1:12" x14ac:dyDescent="0.2">
      <c r="A3" s="2" t="str">
        <f>"Toimumiskoht: "&amp;(Kalend!F24)</f>
        <v>Toimumiskoht: Mäetaguse parkla</v>
      </c>
    </row>
    <row r="4" spans="1:12" x14ac:dyDescent="0.2">
      <c r="A4" s="2" t="str">
        <f>"Korraldaja: "&amp;(Kalend!G24)</f>
        <v>Korraldaja: Mäetaguse SK, Taavi Toomel</v>
      </c>
    </row>
    <row r="5" spans="1:12" x14ac:dyDescent="0.2">
      <c r="A5" s="2"/>
    </row>
    <row r="6" spans="1:12" x14ac:dyDescent="0.2">
      <c r="A6" s="194" t="s">
        <v>522</v>
      </c>
      <c r="K6"/>
      <c r="L6"/>
    </row>
    <row r="7" spans="1:12" x14ac:dyDescent="0.2">
      <c r="A7" s="2"/>
      <c r="K7"/>
      <c r="L7"/>
    </row>
    <row r="8" spans="1:12" x14ac:dyDescent="0.2">
      <c r="A8" s="832" t="s">
        <v>263</v>
      </c>
      <c r="B8" s="832"/>
      <c r="C8" s="827">
        <v>1</v>
      </c>
      <c r="D8" s="827">
        <v>2</v>
      </c>
      <c r="E8" s="827">
        <v>3</v>
      </c>
      <c r="F8" s="827">
        <v>4</v>
      </c>
      <c r="G8" s="827">
        <v>5</v>
      </c>
      <c r="H8" s="827">
        <v>6</v>
      </c>
      <c r="I8" s="827" t="s">
        <v>264</v>
      </c>
      <c r="J8" s="827" t="s">
        <v>83</v>
      </c>
      <c r="K8"/>
      <c r="L8"/>
    </row>
    <row r="9" spans="1:12" x14ac:dyDescent="0.2">
      <c r="A9" s="832">
        <v>1</v>
      </c>
      <c r="B9" s="833" t="s">
        <v>521</v>
      </c>
      <c r="C9" s="829"/>
      <c r="D9" s="828">
        <v>13</v>
      </c>
      <c r="E9" s="828">
        <v>10</v>
      </c>
      <c r="F9" s="828">
        <v>13</v>
      </c>
      <c r="G9" s="828">
        <v>13</v>
      </c>
      <c r="H9" s="828">
        <v>9</v>
      </c>
      <c r="I9" s="834" t="s">
        <v>554</v>
      </c>
      <c r="J9" s="835" t="s">
        <v>266</v>
      </c>
      <c r="K9"/>
      <c r="L9"/>
    </row>
    <row r="10" spans="1:12" x14ac:dyDescent="0.2">
      <c r="A10" s="832">
        <v>2</v>
      </c>
      <c r="B10" s="836" t="s">
        <v>363</v>
      </c>
      <c r="C10" s="828">
        <v>11</v>
      </c>
      <c r="D10" s="829"/>
      <c r="E10" s="828">
        <v>1</v>
      </c>
      <c r="F10" s="828">
        <v>13</v>
      </c>
      <c r="G10" s="871">
        <v>10</v>
      </c>
      <c r="H10" s="828">
        <v>13</v>
      </c>
      <c r="I10" s="834" t="s">
        <v>555</v>
      </c>
      <c r="J10" s="835" t="s">
        <v>120</v>
      </c>
      <c r="K10"/>
      <c r="L10"/>
    </row>
    <row r="11" spans="1:12" x14ac:dyDescent="0.2">
      <c r="A11" s="832">
        <v>3</v>
      </c>
      <c r="B11" s="833" t="s">
        <v>364</v>
      </c>
      <c r="C11" s="827">
        <v>11</v>
      </c>
      <c r="D11" s="828">
        <v>13</v>
      </c>
      <c r="E11" s="829"/>
      <c r="F11" s="830">
        <v>13</v>
      </c>
      <c r="G11" s="828">
        <v>9</v>
      </c>
      <c r="H11" s="828">
        <v>11</v>
      </c>
      <c r="I11" s="834" t="s">
        <v>554</v>
      </c>
      <c r="J11" s="835" t="s">
        <v>267</v>
      </c>
      <c r="K11"/>
      <c r="L11"/>
    </row>
    <row r="12" spans="1:12" x14ac:dyDescent="0.2">
      <c r="A12" s="832">
        <v>4</v>
      </c>
      <c r="B12" s="833" t="s">
        <v>553</v>
      </c>
      <c r="C12" s="828">
        <v>0</v>
      </c>
      <c r="D12" s="828">
        <v>3</v>
      </c>
      <c r="E12" s="830">
        <v>4</v>
      </c>
      <c r="F12" s="829"/>
      <c r="G12" s="828">
        <v>8</v>
      </c>
      <c r="H12" s="828">
        <v>13</v>
      </c>
      <c r="I12" s="834" t="s">
        <v>276</v>
      </c>
      <c r="J12" s="835" t="s">
        <v>557</v>
      </c>
      <c r="K12"/>
      <c r="L12"/>
    </row>
    <row r="13" spans="1:12" x14ac:dyDescent="0.2">
      <c r="A13" s="832">
        <v>5</v>
      </c>
      <c r="B13" s="837" t="s">
        <v>373</v>
      </c>
      <c r="C13" s="828">
        <v>6</v>
      </c>
      <c r="D13" s="871">
        <v>10</v>
      </c>
      <c r="E13" s="827">
        <v>11</v>
      </c>
      <c r="F13" s="828">
        <v>13</v>
      </c>
      <c r="G13" s="829"/>
      <c r="H13" s="866">
        <v>12</v>
      </c>
      <c r="I13" s="834" t="s">
        <v>556</v>
      </c>
      <c r="J13" s="835" t="s">
        <v>269</v>
      </c>
      <c r="K13"/>
      <c r="L13"/>
    </row>
    <row r="14" spans="1:12" x14ac:dyDescent="0.2">
      <c r="A14" s="832">
        <v>6</v>
      </c>
      <c r="B14" s="825" t="s">
        <v>541</v>
      </c>
      <c r="C14" s="867">
        <v>13</v>
      </c>
      <c r="D14" s="867">
        <v>4</v>
      </c>
      <c r="E14" s="868">
        <v>13</v>
      </c>
      <c r="F14" s="868">
        <v>5</v>
      </c>
      <c r="G14" s="868">
        <v>7</v>
      </c>
      <c r="H14" s="869"/>
      <c r="I14" s="872" t="s">
        <v>277</v>
      </c>
      <c r="J14" s="870" t="s">
        <v>372</v>
      </c>
      <c r="K14"/>
      <c r="L14"/>
    </row>
    <row r="15" spans="1:12" x14ac:dyDescent="0.2">
      <c r="A15" s="526"/>
      <c r="B15" s="258"/>
      <c r="C15" s="258"/>
      <c r="D15" s="258"/>
      <c r="E15" s="838"/>
      <c r="F15" s="838"/>
      <c r="G15" s="838"/>
      <c r="H15" s="838"/>
      <c r="I15" s="838"/>
      <c r="J15" s="838"/>
      <c r="K15"/>
      <c r="L15"/>
    </row>
    <row r="16" spans="1:12" x14ac:dyDescent="0.2">
      <c r="A16" s="526"/>
      <c r="B16" s="441" t="s">
        <v>114</v>
      </c>
      <c r="C16" s="873" t="s">
        <v>527</v>
      </c>
      <c r="D16" s="873" t="s">
        <v>361</v>
      </c>
      <c r="E16" s="873" t="s">
        <v>280</v>
      </c>
      <c r="F16"/>
      <c r="G16"/>
      <c r="H16" s="831"/>
      <c r="I16"/>
      <c r="J16"/>
      <c r="K16"/>
      <c r="L16"/>
    </row>
    <row r="17" spans="1:12" x14ac:dyDescent="0.2">
      <c r="A17"/>
      <c r="B17" s="441" t="s">
        <v>115</v>
      </c>
      <c r="C17" s="873" t="s">
        <v>265</v>
      </c>
      <c r="D17" s="873" t="s">
        <v>362</v>
      </c>
      <c r="E17" s="873" t="s">
        <v>531</v>
      </c>
      <c r="I17"/>
      <c r="J17"/>
      <c r="K17"/>
      <c r="L17"/>
    </row>
    <row r="18" spans="1:12" x14ac:dyDescent="0.2">
      <c r="A18"/>
      <c r="B18" s="441" t="s">
        <v>116</v>
      </c>
      <c r="C18" s="873" t="s">
        <v>278</v>
      </c>
      <c r="D18" s="873" t="s">
        <v>530</v>
      </c>
      <c r="E18" s="873" t="s">
        <v>360</v>
      </c>
      <c r="F18"/>
      <c r="G18"/>
      <c r="H18"/>
      <c r="I18"/>
      <c r="J18"/>
      <c r="K18"/>
      <c r="L18"/>
    </row>
    <row r="19" spans="1:12" x14ac:dyDescent="0.2">
      <c r="A19"/>
      <c r="B19" s="441" t="s">
        <v>117</v>
      </c>
      <c r="C19" s="873" t="s">
        <v>276</v>
      </c>
      <c r="D19" s="873" t="s">
        <v>277</v>
      </c>
      <c r="E19" s="873" t="s">
        <v>529</v>
      </c>
      <c r="F19"/>
      <c r="G19"/>
      <c r="H19"/>
      <c r="I19"/>
      <c r="J19"/>
      <c r="K19"/>
      <c r="L19"/>
    </row>
    <row r="20" spans="1:12" s="154" customFormat="1" x14ac:dyDescent="0.2">
      <c r="A20"/>
      <c r="B20" s="441" t="s">
        <v>118</v>
      </c>
      <c r="C20" s="873" t="s">
        <v>359</v>
      </c>
      <c r="D20" s="873" t="s">
        <v>279</v>
      </c>
      <c r="E20" s="873" t="s">
        <v>528</v>
      </c>
      <c r="F20"/>
      <c r="G20"/>
      <c r="H20"/>
      <c r="I20"/>
      <c r="J20"/>
      <c r="K20"/>
      <c r="L20"/>
    </row>
    <row r="21" spans="1:12" s="154" customFormat="1" x14ac:dyDescent="0.2">
      <c r="A21"/>
      <c r="B21"/>
      <c r="F21"/>
      <c r="G21"/>
      <c r="H21"/>
      <c r="I21"/>
      <c r="J21"/>
      <c r="K21"/>
      <c r="L21"/>
    </row>
    <row r="22" spans="1:12" s="154" customFormat="1" x14ac:dyDescent="0.2">
      <c r="A22" s="435">
        <v>1</v>
      </c>
      <c r="B22" s="224" t="s">
        <v>373</v>
      </c>
      <c r="F22"/>
      <c r="G22"/>
      <c r="H22"/>
      <c r="I22"/>
      <c r="J22"/>
      <c r="K22"/>
      <c r="L22"/>
    </row>
    <row r="23" spans="1:12" s="154" customFormat="1" x14ac:dyDescent="0.2">
      <c r="A23" s="435">
        <v>2</v>
      </c>
      <c r="B23" s="535" t="s">
        <v>364</v>
      </c>
      <c r="C23"/>
      <c r="D23"/>
      <c r="E23"/>
      <c r="F23"/>
      <c r="G23"/>
      <c r="H23"/>
      <c r="I23"/>
      <c r="J23"/>
      <c r="K23"/>
      <c r="L23"/>
    </row>
    <row r="24" spans="1:12" x14ac:dyDescent="0.2">
      <c r="A24" s="435">
        <v>3</v>
      </c>
      <c r="B24" s="536" t="s">
        <v>521</v>
      </c>
      <c r="C24"/>
      <c r="D24"/>
      <c r="E24"/>
      <c r="F24"/>
      <c r="G24"/>
      <c r="H24"/>
      <c r="I24"/>
      <c r="J24"/>
      <c r="K24"/>
      <c r="L24"/>
    </row>
    <row r="25" spans="1:12" x14ac:dyDescent="0.2">
      <c r="A25" s="435">
        <v>4</v>
      </c>
      <c r="B25" s="836" t="s">
        <v>363</v>
      </c>
      <c r="C25"/>
      <c r="D25"/>
      <c r="E25"/>
      <c r="F25"/>
      <c r="G25"/>
      <c r="H25"/>
      <c r="I25"/>
      <c r="J25"/>
      <c r="K25"/>
      <c r="L25"/>
    </row>
    <row r="26" spans="1:12" x14ac:dyDescent="0.2">
      <c r="A26" s="435">
        <v>5</v>
      </c>
      <c r="B26" s="825" t="s">
        <v>541</v>
      </c>
      <c r="C26"/>
      <c r="D26"/>
      <c r="E26"/>
      <c r="F26"/>
      <c r="G26"/>
      <c r="H26"/>
      <c r="I26"/>
      <c r="J26"/>
      <c r="K26"/>
      <c r="L26"/>
    </row>
    <row r="27" spans="1:12" x14ac:dyDescent="0.2">
      <c r="A27" s="435">
        <v>6</v>
      </c>
      <c r="B27" s="833" t="s">
        <v>553</v>
      </c>
      <c r="C27"/>
      <c r="D27"/>
      <c r="E27"/>
      <c r="F27"/>
      <c r="G27"/>
      <c r="H27"/>
      <c r="I27"/>
      <c r="J27"/>
      <c r="K27"/>
      <c r="L27"/>
    </row>
    <row r="28" spans="1:12" x14ac:dyDescent="0.2">
      <c r="A28"/>
      <c r="B28"/>
      <c r="C28"/>
      <c r="D28"/>
      <c r="E28"/>
      <c r="F28"/>
      <c r="G28"/>
      <c r="H28"/>
      <c r="I28"/>
      <c r="J28"/>
      <c r="K28"/>
      <c r="L28"/>
    </row>
    <row r="29" spans="1:12" x14ac:dyDescent="0.2">
      <c r="A29"/>
      <c r="B29"/>
      <c r="C29"/>
      <c r="D29"/>
      <c r="E29"/>
      <c r="F29"/>
      <c r="G29"/>
      <c r="H29"/>
      <c r="I29"/>
      <c r="J29"/>
      <c r="K29"/>
      <c r="L29"/>
    </row>
    <row r="30" spans="1:12" x14ac:dyDescent="0.2">
      <c r="A30"/>
      <c r="B30"/>
      <c r="C30"/>
      <c r="D30"/>
      <c r="E30"/>
      <c r="F30"/>
      <c r="G30"/>
      <c r="H30"/>
      <c r="I30"/>
      <c r="J30"/>
      <c r="K30"/>
      <c r="L30"/>
    </row>
    <row r="31" spans="1:12" x14ac:dyDescent="0.2">
      <c r="A31"/>
      <c r="B31"/>
      <c r="C31"/>
      <c r="D31"/>
      <c r="E31"/>
      <c r="F31"/>
      <c r="G31"/>
      <c r="H31"/>
      <c r="I31"/>
      <c r="J31"/>
      <c r="K31"/>
      <c r="L31"/>
    </row>
    <row r="32" spans="1:12" x14ac:dyDescent="0.2">
      <c r="A32"/>
      <c r="B32"/>
      <c r="C32"/>
      <c r="D32"/>
      <c r="E32"/>
      <c r="F32"/>
      <c r="G32"/>
      <c r="H32"/>
      <c r="I32"/>
      <c r="J32"/>
      <c r="K32"/>
      <c r="L32"/>
    </row>
    <row r="33" spans="1:12" x14ac:dyDescent="0.2">
      <c r="A33"/>
      <c r="B33"/>
      <c r="C33"/>
      <c r="D33"/>
      <c r="E33"/>
      <c r="F33"/>
      <c r="G33"/>
      <c r="H33"/>
      <c r="I33"/>
      <c r="J33"/>
      <c r="K33"/>
      <c r="L33"/>
    </row>
    <row r="34" spans="1:12" x14ac:dyDescent="0.2">
      <c r="A34"/>
      <c r="B34"/>
      <c r="C34"/>
      <c r="D34"/>
      <c r="E34"/>
      <c r="F34"/>
      <c r="G34"/>
      <c r="H34"/>
      <c r="I34"/>
      <c r="J34"/>
      <c r="K34"/>
      <c r="L34"/>
    </row>
    <row r="35" spans="1:12" x14ac:dyDescent="0.2">
      <c r="A35"/>
      <c r="B35"/>
      <c r="C35"/>
      <c r="D35"/>
      <c r="E35"/>
      <c r="F35"/>
      <c r="G35"/>
      <c r="H35"/>
      <c r="I35"/>
      <c r="J35"/>
      <c r="K35"/>
      <c r="L35"/>
    </row>
    <row r="36" spans="1:12" x14ac:dyDescent="0.2">
      <c r="A36"/>
      <c r="B36"/>
      <c r="C36"/>
      <c r="D36"/>
      <c r="E36"/>
      <c r="F36"/>
      <c r="G36"/>
      <c r="H36"/>
      <c r="I36"/>
      <c r="J36"/>
      <c r="K36"/>
      <c r="L36"/>
    </row>
    <row r="37" spans="1:12" x14ac:dyDescent="0.2">
      <c r="A37"/>
      <c r="B37"/>
      <c r="C37"/>
      <c r="D37"/>
      <c r="E37"/>
      <c r="F37"/>
      <c r="G37"/>
      <c r="H37"/>
      <c r="I37"/>
      <c r="J37"/>
      <c r="K37"/>
      <c r="L37"/>
    </row>
    <row r="38" spans="1:12" x14ac:dyDescent="0.2">
      <c r="A38"/>
      <c r="B38"/>
      <c r="C38"/>
      <c r="D38"/>
      <c r="E38"/>
      <c r="F38"/>
      <c r="G38"/>
      <c r="H38"/>
      <c r="I38"/>
      <c r="J38"/>
      <c r="K38"/>
      <c r="L38"/>
    </row>
    <row r="39" spans="1:12" x14ac:dyDescent="0.2">
      <c r="A39"/>
      <c r="B39"/>
      <c r="C39"/>
      <c r="D39"/>
      <c r="E39"/>
      <c r="F39"/>
      <c r="G39"/>
      <c r="H39"/>
      <c r="I39"/>
      <c r="J39"/>
      <c r="K39"/>
      <c r="L39"/>
    </row>
    <row r="40" spans="1:12" x14ac:dyDescent="0.2">
      <c r="A40"/>
      <c r="B40"/>
      <c r="C40"/>
      <c r="D40"/>
      <c r="E40"/>
      <c r="F40"/>
      <c r="G40"/>
      <c r="H40"/>
      <c r="I40"/>
      <c r="J40"/>
      <c r="K40"/>
      <c r="L40"/>
    </row>
    <row r="41" spans="1:12" x14ac:dyDescent="0.2">
      <c r="A41"/>
      <c r="B41"/>
      <c r="C41"/>
      <c r="D41"/>
      <c r="E41"/>
      <c r="F41"/>
      <c r="G41"/>
      <c r="H41"/>
      <c r="I41"/>
      <c r="J41"/>
      <c r="K41"/>
      <c r="L41"/>
    </row>
    <row r="42" spans="1:12" x14ac:dyDescent="0.2">
      <c r="A42"/>
      <c r="B42"/>
      <c r="C42"/>
      <c r="D42"/>
      <c r="E42"/>
      <c r="F42"/>
      <c r="G42"/>
      <c r="H42"/>
      <c r="I42"/>
      <c r="J42"/>
      <c r="K42"/>
      <c r="L42"/>
    </row>
    <row r="43" spans="1:12" x14ac:dyDescent="0.2">
      <c r="A43"/>
      <c r="B43"/>
      <c r="C43"/>
      <c r="D43"/>
      <c r="E43"/>
      <c r="F43"/>
      <c r="G43"/>
      <c r="H43"/>
      <c r="I43"/>
      <c r="J43"/>
      <c r="K43"/>
      <c r="L43"/>
    </row>
    <row r="44" spans="1:12" x14ac:dyDescent="0.2">
      <c r="A44"/>
      <c r="B44"/>
      <c r="C44"/>
      <c r="D44"/>
      <c r="E44"/>
      <c r="F44"/>
      <c r="G44"/>
      <c r="H44"/>
      <c r="I44"/>
      <c r="J44"/>
      <c r="K44"/>
      <c r="L44"/>
    </row>
    <row r="45" spans="1:12" x14ac:dyDescent="0.2">
      <c r="A45"/>
      <c r="B45"/>
      <c r="C45"/>
      <c r="D45"/>
      <c r="E45"/>
      <c r="F45"/>
      <c r="G45"/>
      <c r="H45"/>
      <c r="I45"/>
      <c r="J45"/>
      <c r="K45"/>
      <c r="L45"/>
    </row>
    <row r="46" spans="1:12" x14ac:dyDescent="0.2">
      <c r="A46"/>
      <c r="B46"/>
      <c r="C46"/>
      <c r="D46"/>
      <c r="E46"/>
      <c r="F46"/>
      <c r="G46"/>
      <c r="H46"/>
      <c r="I46"/>
      <c r="J46"/>
      <c r="K46"/>
      <c r="L46"/>
    </row>
    <row r="47" spans="1:12" x14ac:dyDescent="0.2">
      <c r="A47"/>
      <c r="B47"/>
      <c r="C47"/>
      <c r="D47"/>
      <c r="E47"/>
      <c r="F47"/>
      <c r="G47"/>
      <c r="H47"/>
      <c r="I47"/>
      <c r="J47"/>
      <c r="K47"/>
      <c r="L47"/>
    </row>
    <row r="48" spans="1:12" x14ac:dyDescent="0.2">
      <c r="A48"/>
      <c r="B48"/>
      <c r="C48"/>
      <c r="D48"/>
      <c r="E48"/>
      <c r="F48"/>
      <c r="G48"/>
      <c r="H48"/>
      <c r="I48"/>
      <c r="J48"/>
      <c r="K48"/>
      <c r="L48"/>
    </row>
    <row r="49" spans="1:12" x14ac:dyDescent="0.2">
      <c r="A49"/>
      <c r="B49"/>
      <c r="C49"/>
      <c r="D49"/>
      <c r="E49"/>
      <c r="F49"/>
      <c r="G49"/>
      <c r="H49"/>
      <c r="I49"/>
      <c r="J49"/>
      <c r="K49"/>
      <c r="L49"/>
    </row>
    <row r="50" spans="1:12" x14ac:dyDescent="0.2">
      <c r="A50"/>
      <c r="B50"/>
      <c r="C50"/>
      <c r="D50"/>
      <c r="E50"/>
      <c r="F50"/>
      <c r="G50"/>
      <c r="H50"/>
      <c r="I50"/>
      <c r="J50"/>
      <c r="K50"/>
      <c r="L50"/>
    </row>
    <row r="51" spans="1:12" x14ac:dyDescent="0.2">
      <c r="A51"/>
      <c r="B51"/>
      <c r="C51"/>
      <c r="D51"/>
      <c r="E51"/>
      <c r="F51"/>
      <c r="G51"/>
      <c r="H51"/>
      <c r="I51"/>
      <c r="J51"/>
      <c r="K51"/>
      <c r="L51"/>
    </row>
    <row r="52" spans="1:12" x14ac:dyDescent="0.2">
      <c r="A52"/>
      <c r="B52"/>
      <c r="C52"/>
      <c r="D52"/>
      <c r="E52"/>
      <c r="F52"/>
      <c r="G52"/>
      <c r="H52"/>
      <c r="I52"/>
      <c r="J52"/>
      <c r="K52"/>
      <c r="L52"/>
    </row>
    <row r="53" spans="1:12" x14ac:dyDescent="0.2">
      <c r="A53"/>
      <c r="B53"/>
      <c r="C53"/>
      <c r="D53"/>
      <c r="E53"/>
      <c r="F53"/>
      <c r="G53"/>
      <c r="H53"/>
      <c r="I53"/>
      <c r="J53"/>
      <c r="K53"/>
      <c r="L53"/>
    </row>
    <row r="54" spans="1:12" x14ac:dyDescent="0.2">
      <c r="A54"/>
      <c r="B54"/>
      <c r="C54"/>
      <c r="D54"/>
      <c r="E54"/>
      <c r="F54"/>
      <c r="G54"/>
      <c r="H54"/>
      <c r="I54"/>
      <c r="J54"/>
      <c r="K54"/>
      <c r="L54"/>
    </row>
    <row r="55" spans="1:12" x14ac:dyDescent="0.2">
      <c r="A55"/>
      <c r="B55"/>
      <c r="C55"/>
      <c r="D55"/>
      <c r="E55"/>
      <c r="F55"/>
      <c r="G55"/>
      <c r="H55"/>
      <c r="I55"/>
      <c r="J55"/>
      <c r="K55"/>
      <c r="L55"/>
    </row>
    <row r="56" spans="1:12" x14ac:dyDescent="0.2">
      <c r="A56"/>
      <c r="B56"/>
      <c r="C56"/>
      <c r="D56"/>
      <c r="E56"/>
      <c r="F56"/>
      <c r="G56"/>
      <c r="H56"/>
      <c r="I56"/>
      <c r="J56"/>
      <c r="K56"/>
      <c r="L56"/>
    </row>
    <row r="57" spans="1:12" x14ac:dyDescent="0.2">
      <c r="A57"/>
      <c r="B57"/>
      <c r="C57"/>
      <c r="D57"/>
      <c r="E57"/>
      <c r="F57"/>
      <c r="G57"/>
      <c r="H57"/>
      <c r="I57"/>
      <c r="J57"/>
      <c r="K57"/>
      <c r="L57"/>
    </row>
    <row r="58" spans="1:12" x14ac:dyDescent="0.2">
      <c r="A58"/>
      <c r="B58"/>
      <c r="C58"/>
      <c r="D58"/>
      <c r="E58"/>
      <c r="F58"/>
      <c r="G58"/>
      <c r="H58"/>
      <c r="I58"/>
      <c r="J58"/>
      <c r="K58"/>
      <c r="L58"/>
    </row>
    <row r="59" spans="1:12" x14ac:dyDescent="0.2">
      <c r="A59"/>
      <c r="B59"/>
      <c r="C59"/>
      <c r="D59"/>
      <c r="E59"/>
      <c r="F59"/>
      <c r="G59"/>
      <c r="H59"/>
      <c r="I59"/>
      <c r="J59"/>
      <c r="K59"/>
      <c r="L59"/>
    </row>
    <row r="60" spans="1:12" x14ac:dyDescent="0.2">
      <c r="A60"/>
      <c r="B60"/>
      <c r="C60"/>
      <c r="D60"/>
      <c r="E60"/>
      <c r="F60"/>
      <c r="G60"/>
      <c r="H60"/>
      <c r="I60"/>
      <c r="J60"/>
      <c r="K60"/>
      <c r="L60"/>
    </row>
    <row r="61" spans="1:12" x14ac:dyDescent="0.2">
      <c r="A61"/>
      <c r="B61"/>
      <c r="C61"/>
      <c r="D61"/>
      <c r="E61"/>
      <c r="F61"/>
      <c r="G61"/>
      <c r="H61"/>
      <c r="I61"/>
      <c r="J61"/>
      <c r="K61"/>
      <c r="L61"/>
    </row>
    <row r="62" spans="1:12" x14ac:dyDescent="0.2">
      <c r="A62"/>
      <c r="B62"/>
      <c r="C62"/>
      <c r="D62"/>
      <c r="E62"/>
      <c r="F62"/>
      <c r="G62"/>
      <c r="H62"/>
      <c r="I62"/>
      <c r="J62"/>
      <c r="K62"/>
      <c r="L62"/>
    </row>
    <row r="63" spans="1:12" x14ac:dyDescent="0.2">
      <c r="A63"/>
      <c r="B63"/>
      <c r="C63"/>
      <c r="D63"/>
      <c r="E63"/>
      <c r="F63"/>
      <c r="G63"/>
      <c r="H63"/>
      <c r="I63"/>
      <c r="J63"/>
      <c r="K63"/>
      <c r="L63"/>
    </row>
    <row r="64" spans="1:12" x14ac:dyDescent="0.2">
      <c r="A64"/>
      <c r="B64"/>
      <c r="C64"/>
      <c r="D64"/>
      <c r="E64"/>
      <c r="F64"/>
      <c r="G64"/>
      <c r="H64"/>
      <c r="I64"/>
      <c r="J64"/>
      <c r="K64"/>
      <c r="L64"/>
    </row>
    <row r="65" spans="1:12" x14ac:dyDescent="0.2">
      <c r="A65"/>
      <c r="B65"/>
      <c r="C65"/>
      <c r="D65"/>
      <c r="E65"/>
      <c r="F65"/>
      <c r="G65"/>
      <c r="H65"/>
      <c r="I65"/>
      <c r="J65"/>
      <c r="K65"/>
      <c r="L65"/>
    </row>
    <row r="66" spans="1:12" x14ac:dyDescent="0.2">
      <c r="A66"/>
      <c r="B66"/>
      <c r="C66"/>
      <c r="D66"/>
      <c r="E66"/>
      <c r="F66"/>
      <c r="G66"/>
      <c r="H66"/>
      <c r="I66"/>
      <c r="J66"/>
      <c r="K66"/>
      <c r="L66"/>
    </row>
    <row r="67" spans="1:12" x14ac:dyDescent="0.2">
      <c r="A67"/>
      <c r="B67"/>
      <c r="C67"/>
      <c r="D67"/>
      <c r="E67"/>
      <c r="F67"/>
      <c r="G67"/>
      <c r="H67"/>
      <c r="I67"/>
      <c r="J67"/>
      <c r="K67"/>
      <c r="L67"/>
    </row>
    <row r="68" spans="1:12" x14ac:dyDescent="0.2">
      <c r="A68"/>
      <c r="B68"/>
      <c r="C68"/>
      <c r="D68"/>
      <c r="E68"/>
      <c r="F68"/>
      <c r="G68"/>
      <c r="H68"/>
      <c r="I68"/>
      <c r="J68"/>
      <c r="K68"/>
      <c r="L68"/>
    </row>
    <row r="69" spans="1:12" x14ac:dyDescent="0.2">
      <c r="A69"/>
      <c r="B69"/>
      <c r="C69"/>
      <c r="D69"/>
      <c r="E69"/>
      <c r="F69"/>
      <c r="G69"/>
      <c r="H69"/>
      <c r="I69"/>
      <c r="J69"/>
      <c r="K69"/>
      <c r="L69"/>
    </row>
    <row r="70" spans="1:12" x14ac:dyDescent="0.2">
      <c r="A70"/>
      <c r="B70"/>
      <c r="C70"/>
      <c r="D70"/>
      <c r="E70"/>
      <c r="F70"/>
      <c r="G70"/>
      <c r="H70"/>
      <c r="I70"/>
      <c r="J70"/>
      <c r="K70"/>
      <c r="L70"/>
    </row>
    <row r="71" spans="1:12" x14ac:dyDescent="0.2">
      <c r="A71"/>
      <c r="B71"/>
      <c r="C71"/>
      <c r="D71"/>
      <c r="E71"/>
      <c r="F71"/>
      <c r="G71"/>
      <c r="H71"/>
      <c r="I71"/>
      <c r="J71"/>
      <c r="K71"/>
      <c r="L71"/>
    </row>
  </sheetData>
  <conditionalFormatting sqref="C29:F59 C28 E28:F28 C17:D18">
    <cfRule type="cellIs" dxfId="486" priority="8" operator="equal">
      <formula>13</formula>
    </cfRule>
  </conditionalFormatting>
  <conditionalFormatting sqref="B13">
    <cfRule type="duplicateValues" dxfId="485" priority="6"/>
  </conditionalFormatting>
  <conditionalFormatting sqref="B10">
    <cfRule type="duplicateValues" dxfId="484" priority="5"/>
  </conditionalFormatting>
  <conditionalFormatting sqref="C19:D19">
    <cfRule type="cellIs" dxfId="483" priority="4" operator="equal">
      <formula>13</formula>
    </cfRule>
  </conditionalFormatting>
  <conditionalFormatting sqref="C9:H14">
    <cfRule type="cellIs" dxfId="482" priority="2" operator="equal">
      <formula>13</formula>
    </cfRule>
  </conditionalFormatting>
  <conditionalFormatting sqref="B25">
    <cfRule type="duplicateValues" dxfId="481" priority="1"/>
  </conditionalFormatting>
  <pageMargins left="0.78740157480314965" right="0.39370078740157483" top="0.78740157480314965" bottom="0.39370078740157483" header="0.59055118110236227" footer="0"/>
  <pageSetup paperSize="9" fitToHeight="0" orientation="portrait" verticalDpi="1200" r:id="rId1"/>
  <headerFooter>
    <oddHeader>&amp;R&amp;"Arial,Regular"&amp;9Page &amp;P of &amp;N</oddHeader>
  </headerFooter>
  <rowBreaks count="1" manualBreakCount="1">
    <brk id="2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S30"/>
  <sheetViews>
    <sheetView showGridLines="0" showRowColHeaders="0" zoomScaleNormal="100" workbookViewId="0">
      <pane ySplit="2" topLeftCell="A3" activePane="bottomLeft" state="frozen"/>
      <selection activeCell="N1" sqref="N1"/>
      <selection pane="bottomLeft" activeCell="I1" sqref="I1"/>
    </sheetView>
  </sheetViews>
  <sheetFormatPr defaultRowHeight="12.75" x14ac:dyDescent="0.2"/>
  <cols>
    <col min="1" max="1" width="3.28515625" style="152" customWidth="1"/>
    <col min="2" max="2" width="43.28515625" style="152" bestFit="1" customWidth="1"/>
    <col min="3" max="10" width="6.5703125" style="152" customWidth="1"/>
    <col min="11" max="22" width="4.7109375" style="152" customWidth="1"/>
    <col min="23" max="16384" width="9.140625" style="152"/>
  </cols>
  <sheetData>
    <row r="1" spans="1:19" x14ac:dyDescent="0.2">
      <c r="A1" s="151" t="str">
        <f>UPPER((Kalend!E42)&amp;" - "&amp;(Kalend!C42)&amp;" - "&amp;(Kalend!D42))</f>
        <v>M4 - MÄETAGUSE 8. KV 4. ETAPP - TRIO</v>
      </c>
      <c r="E1" s="113" t="str">
        <f>HYPERLINK("#Kalend!I1","Kalender")</f>
        <v>Kalender</v>
      </c>
      <c r="F1" s="2"/>
      <c r="G1" s="113" t="str">
        <f>HYPERLINK("#Reit!G1","Reiting")</f>
        <v>Reiting</v>
      </c>
      <c r="H1" s="2"/>
      <c r="I1" s="2"/>
      <c r="S1"/>
    </row>
    <row r="2" spans="1:19" x14ac:dyDescent="0.2">
      <c r="A2" s="2" t="str">
        <f>"Toimumisaeg: "&amp;(Kalend!A42)&amp;" kell "&amp;(Kalend!B42)</f>
        <v>Toimumisaeg: L, 23.09.2017 kell 11:00</v>
      </c>
    </row>
    <row r="3" spans="1:19" x14ac:dyDescent="0.2">
      <c r="A3" s="2" t="str">
        <f>"Toimumiskoht: "&amp;(Kalend!F42)</f>
        <v>Toimumiskoht: Mäetaguse staadion</v>
      </c>
    </row>
    <row r="4" spans="1:19" x14ac:dyDescent="0.2">
      <c r="A4" s="2" t="str">
        <f>"Korraldaja: "&amp;(Kalend!G42)</f>
        <v>Korraldaja: Mäetaguse SK, Taavi Toomel</v>
      </c>
    </row>
    <row r="5" spans="1:19" x14ac:dyDescent="0.2">
      <c r="A5"/>
      <c r="B5"/>
      <c r="C5"/>
      <c r="D5"/>
      <c r="E5"/>
      <c r="F5"/>
      <c r="G5"/>
      <c r="H5"/>
      <c r="I5"/>
      <c r="J5"/>
    </row>
    <row r="6" spans="1:19" x14ac:dyDescent="0.2">
      <c r="A6" s="435" t="s">
        <v>263</v>
      </c>
      <c r="B6" s="435"/>
      <c r="C6" s="429">
        <v>1</v>
      </c>
      <c r="D6" s="429">
        <v>2</v>
      </c>
      <c r="E6" s="429">
        <v>3</v>
      </c>
      <c r="F6" s="429">
        <v>4</v>
      </c>
      <c r="G6" s="429" t="s">
        <v>264</v>
      </c>
      <c r="H6" s="429" t="s">
        <v>83</v>
      </c>
      <c r="J6"/>
    </row>
    <row r="7" spans="1:19" x14ac:dyDescent="0.2">
      <c r="A7" s="435">
        <v>1</v>
      </c>
      <c r="B7" s="470" t="s">
        <v>637</v>
      </c>
      <c r="C7" s="437"/>
      <c r="D7" s="438">
        <v>3</v>
      </c>
      <c r="E7" s="438">
        <v>13</v>
      </c>
      <c r="F7" s="438">
        <v>13</v>
      </c>
      <c r="G7" s="472" t="s">
        <v>119</v>
      </c>
      <c r="H7" s="469" t="s">
        <v>267</v>
      </c>
      <c r="J7"/>
    </row>
    <row r="8" spans="1:19" x14ac:dyDescent="0.2">
      <c r="A8" s="435">
        <v>2</v>
      </c>
      <c r="B8" s="483" t="s">
        <v>621</v>
      </c>
      <c r="C8" s="438">
        <v>13</v>
      </c>
      <c r="D8" s="437"/>
      <c r="E8" s="438">
        <v>13</v>
      </c>
      <c r="F8" s="438">
        <v>13</v>
      </c>
      <c r="G8" s="472" t="s">
        <v>268</v>
      </c>
      <c r="H8" s="469" t="s">
        <v>269</v>
      </c>
      <c r="J8"/>
    </row>
    <row r="9" spans="1:19" x14ac:dyDescent="0.2">
      <c r="A9" s="435">
        <v>3</v>
      </c>
      <c r="B9" s="470" t="s">
        <v>638</v>
      </c>
      <c r="C9" s="438">
        <v>11</v>
      </c>
      <c r="D9" s="438">
        <v>10</v>
      </c>
      <c r="E9" s="437"/>
      <c r="F9" s="434">
        <v>13</v>
      </c>
      <c r="G9" s="472" t="s">
        <v>265</v>
      </c>
      <c r="H9" s="469" t="s">
        <v>266</v>
      </c>
      <c r="J9"/>
    </row>
    <row r="10" spans="1:19" x14ac:dyDescent="0.2">
      <c r="A10" s="435">
        <v>4</v>
      </c>
      <c r="B10" s="470" t="s">
        <v>563</v>
      </c>
      <c r="C10" s="438">
        <v>12</v>
      </c>
      <c r="D10" s="438">
        <v>11</v>
      </c>
      <c r="E10" s="434">
        <v>10</v>
      </c>
      <c r="F10" s="437"/>
      <c r="G10" s="472" t="s">
        <v>270</v>
      </c>
      <c r="H10" s="469" t="s">
        <v>120</v>
      </c>
      <c r="J10"/>
    </row>
    <row r="11" spans="1:19" x14ac:dyDescent="0.2">
      <c r="A11" s="840"/>
      <c r="B11" s="840"/>
      <c r="C11" s="840"/>
      <c r="D11" s="840"/>
      <c r="E11" s="840"/>
      <c r="F11" s="840"/>
      <c r="G11" s="840"/>
      <c r="H11" s="840"/>
      <c r="I11" s="840"/>
      <c r="J11"/>
    </row>
    <row r="12" spans="1:19" x14ac:dyDescent="0.2">
      <c r="A12" s="840"/>
      <c r="B12" s="441" t="s">
        <v>114</v>
      </c>
      <c r="C12" s="780" t="s">
        <v>276</v>
      </c>
      <c r="D12" s="780" t="s">
        <v>277</v>
      </c>
      <c r="E12" s="840"/>
      <c r="F12" s="840"/>
      <c r="G12" s="840"/>
      <c r="H12" s="840"/>
      <c r="I12" s="840"/>
      <c r="J12"/>
    </row>
    <row r="13" spans="1:19" x14ac:dyDescent="0.2">
      <c r="A13" s="840"/>
      <c r="B13" s="441" t="s">
        <v>115</v>
      </c>
      <c r="C13" s="780" t="s">
        <v>278</v>
      </c>
      <c r="D13" s="944" t="s">
        <v>279</v>
      </c>
      <c r="F13" s="840"/>
      <c r="G13" s="840"/>
      <c r="H13" s="840"/>
      <c r="I13" s="840"/>
      <c r="J13"/>
    </row>
    <row r="14" spans="1:19" x14ac:dyDescent="0.2">
      <c r="A14" s="840"/>
      <c r="B14" s="441" t="s">
        <v>116</v>
      </c>
      <c r="C14" s="780" t="s">
        <v>265</v>
      </c>
      <c r="D14" s="442" t="s">
        <v>280</v>
      </c>
      <c r="E14" s="840"/>
      <c r="F14" s="840"/>
      <c r="G14" s="840"/>
      <c r="H14" s="840"/>
      <c r="I14" s="840"/>
      <c r="J14"/>
    </row>
    <row r="15" spans="1:19" x14ac:dyDescent="0.2">
      <c r="A15" s="840"/>
      <c r="B15" s="840"/>
      <c r="C15" s="840"/>
      <c r="D15" s="840"/>
      <c r="E15" s="840"/>
      <c r="F15" s="840"/>
      <c r="G15" s="840"/>
      <c r="H15" s="840"/>
      <c r="I15" s="840"/>
      <c r="J15"/>
    </row>
    <row r="16" spans="1:19" x14ac:dyDescent="0.2">
      <c r="A16" s="435">
        <v>1</v>
      </c>
      <c r="B16" s="224" t="s">
        <v>621</v>
      </c>
      <c r="C16" s="840"/>
      <c r="D16" s="840"/>
      <c r="E16" s="840"/>
      <c r="F16" s="840"/>
      <c r="G16" s="840"/>
      <c r="H16" s="840"/>
      <c r="I16" s="840"/>
      <c r="J16"/>
    </row>
    <row r="17" spans="1:10" x14ac:dyDescent="0.2">
      <c r="A17" s="435">
        <v>2</v>
      </c>
      <c r="B17" s="535" t="s">
        <v>637</v>
      </c>
      <c r="C17" s="840"/>
      <c r="D17" s="840"/>
      <c r="E17" s="840"/>
      <c r="F17" s="840"/>
      <c r="G17" s="840"/>
      <c r="H17" s="840"/>
      <c r="I17" s="840"/>
      <c r="J17"/>
    </row>
    <row r="18" spans="1:10" x14ac:dyDescent="0.2">
      <c r="A18" s="435">
        <v>3</v>
      </c>
      <c r="B18" s="536" t="s">
        <v>638</v>
      </c>
      <c r="C18" s="840"/>
      <c r="D18" s="840"/>
      <c r="E18" s="840"/>
      <c r="F18" s="840"/>
      <c r="G18" s="840"/>
      <c r="H18" s="840"/>
      <c r="I18" s="840"/>
      <c r="J18"/>
    </row>
    <row r="19" spans="1:10" x14ac:dyDescent="0.2">
      <c r="A19" s="435">
        <v>4</v>
      </c>
      <c r="B19" s="470" t="s">
        <v>563</v>
      </c>
      <c r="C19" s="840"/>
      <c r="D19" s="840"/>
      <c r="E19" s="840"/>
      <c r="F19" s="840"/>
      <c r="G19" s="840"/>
      <c r="H19" s="840"/>
      <c r="I19" s="840"/>
      <c r="J19"/>
    </row>
    <row r="20" spans="1:10" x14ac:dyDescent="0.2">
      <c r="A20"/>
      <c r="B20"/>
      <c r="C20"/>
      <c r="D20"/>
      <c r="E20"/>
      <c r="F20"/>
      <c r="G20"/>
      <c r="H20"/>
      <c r="I20"/>
      <c r="J20"/>
    </row>
    <row r="21" spans="1:10" x14ac:dyDescent="0.2">
      <c r="A21"/>
      <c r="B21"/>
      <c r="C21"/>
      <c r="D21"/>
      <c r="E21"/>
      <c r="F21"/>
      <c r="G21"/>
      <c r="H21"/>
      <c r="I21"/>
      <c r="J21"/>
    </row>
    <row r="22" spans="1:10" x14ac:dyDescent="0.2">
      <c r="A22"/>
      <c r="B22"/>
      <c r="C22"/>
      <c r="D22"/>
      <c r="E22"/>
      <c r="F22"/>
      <c r="G22"/>
      <c r="H22"/>
      <c r="I22"/>
      <c r="J22"/>
    </row>
    <row r="23" spans="1:10" x14ac:dyDescent="0.2">
      <c r="A23"/>
      <c r="B23"/>
      <c r="C23"/>
      <c r="D23"/>
      <c r="E23"/>
      <c r="F23"/>
      <c r="G23"/>
      <c r="H23"/>
      <c r="I23"/>
      <c r="J23"/>
    </row>
    <row r="24" spans="1:10" x14ac:dyDescent="0.2">
      <c r="A24"/>
      <c r="B24"/>
      <c r="C24"/>
      <c r="D24"/>
      <c r="E24"/>
      <c r="F24"/>
      <c r="G24"/>
      <c r="H24"/>
      <c r="I24"/>
      <c r="J24"/>
    </row>
    <row r="25" spans="1:10" x14ac:dyDescent="0.2">
      <c r="A25"/>
      <c r="B25"/>
      <c r="C25"/>
      <c r="D25"/>
      <c r="E25"/>
      <c r="F25"/>
      <c r="G25"/>
      <c r="H25"/>
      <c r="I25"/>
      <c r="J25"/>
    </row>
    <row r="26" spans="1:10" x14ac:dyDescent="0.2">
      <c r="A26"/>
      <c r="B26"/>
      <c r="C26"/>
      <c r="D26"/>
      <c r="E26"/>
      <c r="F26"/>
      <c r="G26"/>
      <c r="H26"/>
      <c r="I26"/>
      <c r="J26"/>
    </row>
    <row r="27" spans="1:10" x14ac:dyDescent="0.2">
      <c r="A27"/>
      <c r="B27"/>
      <c r="C27"/>
      <c r="D27"/>
      <c r="E27"/>
      <c r="F27"/>
      <c r="G27"/>
      <c r="H27"/>
      <c r="I27"/>
      <c r="J27"/>
    </row>
    <row r="28" spans="1:10" x14ac:dyDescent="0.2">
      <c r="A28"/>
      <c r="B28"/>
      <c r="C28"/>
      <c r="D28"/>
      <c r="E28"/>
      <c r="F28"/>
      <c r="G28"/>
      <c r="H28"/>
      <c r="I28"/>
      <c r="J28"/>
    </row>
    <row r="29" spans="1:10" x14ac:dyDescent="0.2">
      <c r="A29"/>
      <c r="B29"/>
      <c r="C29"/>
      <c r="D29"/>
      <c r="E29"/>
      <c r="F29"/>
      <c r="G29"/>
      <c r="H29"/>
      <c r="I29"/>
      <c r="J29"/>
    </row>
    <row r="30" spans="1:10" x14ac:dyDescent="0.2">
      <c r="A30"/>
      <c r="B30"/>
      <c r="C30"/>
      <c r="D30"/>
      <c r="E30"/>
      <c r="F30"/>
      <c r="G30"/>
      <c r="H30"/>
      <c r="I30"/>
      <c r="J30"/>
    </row>
  </sheetData>
  <conditionalFormatting sqref="C12:D12 D14 C13:C14">
    <cfRule type="cellIs" dxfId="480" priority="2" operator="equal">
      <formula>13</formula>
    </cfRule>
  </conditionalFormatting>
  <conditionalFormatting sqref="C7:F10">
    <cfRule type="cellIs" dxfId="479" priority="6" operator="equal">
      <formula>13</formula>
    </cfRule>
  </conditionalFormatting>
  <conditionalFormatting sqref="B8">
    <cfRule type="duplicateValues" dxfId="478" priority="4"/>
  </conditionalFormatting>
  <conditionalFormatting sqref="D13">
    <cfRule type="cellIs" dxfId="477" priority="1" operator="equal">
      <formula>13</formula>
    </cfRule>
  </conditionalFormatting>
  <pageMargins left="0.78740157480314965" right="0.39370078740157483" top="0.78740157480314965" bottom="0.39370078740157483" header="0.59055118110236227" footer="0"/>
  <pageSetup paperSize="9" fitToHeight="0" orientation="portrait" verticalDpi="1200" r:id="rId1"/>
  <headerFooter>
    <oddHeader>&amp;R&amp;"Arial,Regular"&amp;9Page &amp;P of &amp;N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K96"/>
  <sheetViews>
    <sheetView showGridLines="0" showRowColHeaders="0" zoomScaleNormal="100" workbookViewId="0">
      <pane ySplit="2" topLeftCell="A3" activePane="bottomLeft" state="frozen"/>
      <selection activeCell="N1" sqref="N1"/>
      <selection pane="bottomLeft" activeCell="N1" sqref="N1"/>
    </sheetView>
  </sheetViews>
  <sheetFormatPr defaultRowHeight="12.75" x14ac:dyDescent="0.2"/>
  <cols>
    <col min="1" max="1" width="3.28515625" style="152" customWidth="1"/>
    <col min="2" max="2" width="18.7109375" style="152" bestFit="1" customWidth="1"/>
    <col min="3" max="8" width="6.7109375" style="152" customWidth="1"/>
    <col min="9" max="9" width="4.7109375" style="152" customWidth="1"/>
    <col min="10" max="16" width="9.140625" style="152" customWidth="1"/>
    <col min="17" max="16384" width="9.140625" style="152"/>
  </cols>
  <sheetData>
    <row r="1" spans="1:11" x14ac:dyDescent="0.2">
      <c r="A1" s="151" t="str">
        <f>UPPER((Kalend!E46)&amp;" - "&amp;(Kalend!C46)&amp;" - "&amp;(Kalend!D46))</f>
        <v>M5 - MÄETAGUSE 8. KV 5. ETAPP - ÜKSIK</v>
      </c>
      <c r="F1" s="2"/>
      <c r="G1" s="113" t="str">
        <f>HYPERLINK("#Kalend!I1","Kalender")</f>
        <v>Kalender</v>
      </c>
      <c r="H1" s="2"/>
      <c r="I1" s="113" t="str">
        <f>HYPERLINK("#Reit!G1","Reiting")</f>
        <v>Reiting</v>
      </c>
      <c r="J1" s="2"/>
      <c r="K1" s="2"/>
    </row>
    <row r="2" spans="1:11" x14ac:dyDescent="0.2">
      <c r="A2" s="2" t="str">
        <f>"Toimumisaeg: "&amp;(Kalend!A46)&amp;" kell "&amp;(Kalend!B46)</f>
        <v>Toimumisaeg: P, 01.10.2017 kell 10:00</v>
      </c>
    </row>
    <row r="3" spans="1:11" x14ac:dyDescent="0.2">
      <c r="A3" s="2" t="str">
        <f>"Toimumiskoht: "&amp;(Kalend!F46)</f>
        <v>Toimumiskoht: Mäetaguse staadion</v>
      </c>
    </row>
    <row r="4" spans="1:11" x14ac:dyDescent="0.2">
      <c r="A4" s="2" t="str">
        <f>"Korraldaja: "&amp;(Kalend!G46)</f>
        <v>Korraldaja: Mäetaguse SK, Taavi Toomel</v>
      </c>
    </row>
    <row r="6" spans="1:11" x14ac:dyDescent="0.2">
      <c r="A6" s="435" t="s">
        <v>263</v>
      </c>
      <c r="B6" s="435"/>
      <c r="C6" s="429">
        <v>1</v>
      </c>
      <c r="D6" s="429">
        <v>2</v>
      </c>
      <c r="E6" s="429">
        <v>3</v>
      </c>
      <c r="F6" s="429" t="s">
        <v>264</v>
      </c>
      <c r="G6" s="429" t="s">
        <v>83</v>
      </c>
    </row>
    <row r="7" spans="1:11" x14ac:dyDescent="0.2">
      <c r="A7" s="435">
        <v>1</v>
      </c>
      <c r="B7" s="470" t="s">
        <v>167</v>
      </c>
      <c r="C7" s="437"/>
      <c r="D7" s="438">
        <v>13</v>
      </c>
      <c r="E7" s="438">
        <v>13</v>
      </c>
      <c r="F7" s="472" t="s">
        <v>317</v>
      </c>
      <c r="G7" s="469" t="s">
        <v>269</v>
      </c>
    </row>
    <row r="8" spans="1:11" x14ac:dyDescent="0.2">
      <c r="A8" s="435">
        <v>2</v>
      </c>
      <c r="B8" s="470" t="s">
        <v>177</v>
      </c>
      <c r="C8" s="438">
        <v>11</v>
      </c>
      <c r="D8" s="437"/>
      <c r="E8" s="438">
        <v>2</v>
      </c>
      <c r="F8" s="472" t="s">
        <v>316</v>
      </c>
      <c r="G8" s="469" t="s">
        <v>266</v>
      </c>
    </row>
    <row r="9" spans="1:11" x14ac:dyDescent="0.2">
      <c r="A9" s="435">
        <v>3</v>
      </c>
      <c r="B9" s="470" t="s">
        <v>441</v>
      </c>
      <c r="C9" s="438">
        <v>8</v>
      </c>
      <c r="D9" s="438">
        <v>13</v>
      </c>
      <c r="E9" s="437"/>
      <c r="F9" s="472" t="s">
        <v>121</v>
      </c>
      <c r="G9" s="469" t="s">
        <v>267</v>
      </c>
    </row>
    <row r="10" spans="1:11" s="210" customFormat="1" x14ac:dyDescent="0.2">
      <c r="A10" s="959"/>
      <c r="B10" s="960"/>
      <c r="C10" s="486"/>
      <c r="D10" s="486"/>
      <c r="E10" s="486"/>
      <c r="F10" s="961"/>
      <c r="G10" s="962"/>
    </row>
    <row r="11" spans="1:11" x14ac:dyDescent="0.2">
      <c r="A11" s="435" t="s">
        <v>271</v>
      </c>
      <c r="B11" s="435"/>
      <c r="C11" s="429">
        <v>1</v>
      </c>
      <c r="D11" s="429">
        <v>2</v>
      </c>
      <c r="E11" s="429">
        <v>3</v>
      </c>
      <c r="F11" s="429" t="s">
        <v>264</v>
      </c>
      <c r="G11" s="429" t="s">
        <v>83</v>
      </c>
    </row>
    <row r="12" spans="1:11" x14ac:dyDescent="0.2">
      <c r="A12" s="435">
        <v>1</v>
      </c>
      <c r="B12" s="470" t="s">
        <v>158</v>
      </c>
      <c r="C12" s="437"/>
      <c r="D12" s="438">
        <v>13</v>
      </c>
      <c r="E12" s="438">
        <v>10</v>
      </c>
      <c r="F12" s="472" t="s">
        <v>121</v>
      </c>
      <c r="G12" s="469" t="s">
        <v>267</v>
      </c>
      <c r="K12" s="801"/>
    </row>
    <row r="13" spans="1:11" x14ac:dyDescent="0.2">
      <c r="A13" s="435">
        <v>2</v>
      </c>
      <c r="B13" s="470" t="s">
        <v>170</v>
      </c>
      <c r="C13" s="438">
        <v>9</v>
      </c>
      <c r="D13" s="437"/>
      <c r="E13" s="438">
        <v>7</v>
      </c>
      <c r="F13" s="472" t="s">
        <v>316</v>
      </c>
      <c r="G13" s="469" t="s">
        <v>266</v>
      </c>
    </row>
    <row r="14" spans="1:11" x14ac:dyDescent="0.2">
      <c r="A14" s="435">
        <v>3</v>
      </c>
      <c r="B14" s="470" t="s">
        <v>639</v>
      </c>
      <c r="C14" s="438">
        <v>13</v>
      </c>
      <c r="D14" s="438">
        <v>13</v>
      </c>
      <c r="E14" s="437"/>
      <c r="F14" s="472" t="s">
        <v>317</v>
      </c>
      <c r="G14" s="469" t="s">
        <v>269</v>
      </c>
    </row>
    <row r="15" spans="1:11" s="210" customFormat="1" x14ac:dyDescent="0.2">
      <c r="A15" s="959"/>
      <c r="B15" s="960"/>
      <c r="C15" s="486"/>
      <c r="D15" s="486"/>
      <c r="E15" s="486"/>
      <c r="F15" s="961"/>
      <c r="G15" s="962"/>
    </row>
    <row r="16" spans="1:11" s="210" customFormat="1" x14ac:dyDescent="0.2">
      <c r="A16" s="435" t="s">
        <v>272</v>
      </c>
      <c r="B16" s="435"/>
      <c r="C16" s="429">
        <v>1</v>
      </c>
      <c r="D16" s="429">
        <v>2</v>
      </c>
      <c r="E16" s="429">
        <v>3</v>
      </c>
      <c r="F16" s="429" t="s">
        <v>264</v>
      </c>
      <c r="G16" s="429" t="s">
        <v>83</v>
      </c>
    </row>
    <row r="17" spans="1:9" s="210" customFormat="1" x14ac:dyDescent="0.2">
      <c r="A17" s="435">
        <v>1</v>
      </c>
      <c r="B17" s="470" t="s">
        <v>159</v>
      </c>
      <c r="C17" s="437"/>
      <c r="D17" s="438">
        <v>7</v>
      </c>
      <c r="E17" s="438">
        <v>13</v>
      </c>
      <c r="F17" s="472" t="s">
        <v>121</v>
      </c>
      <c r="G17" s="469" t="s">
        <v>267</v>
      </c>
    </row>
    <row r="18" spans="1:9" s="210" customFormat="1" x14ac:dyDescent="0.2">
      <c r="A18" s="435">
        <v>2</v>
      </c>
      <c r="B18" s="470" t="s">
        <v>166</v>
      </c>
      <c r="C18" s="438">
        <v>13</v>
      </c>
      <c r="D18" s="437"/>
      <c r="E18" s="438">
        <v>13</v>
      </c>
      <c r="F18" s="472" t="s">
        <v>119</v>
      </c>
      <c r="G18" s="469" t="s">
        <v>269</v>
      </c>
    </row>
    <row r="19" spans="1:9" s="210" customFormat="1" x14ac:dyDescent="0.2">
      <c r="A19" s="435">
        <v>3</v>
      </c>
      <c r="B19" s="470" t="s">
        <v>173</v>
      </c>
      <c r="C19" s="438">
        <v>6</v>
      </c>
      <c r="D19" s="438">
        <v>6</v>
      </c>
      <c r="E19" s="437"/>
      <c r="F19" s="472" t="s">
        <v>316</v>
      </c>
      <c r="G19" s="469" t="s">
        <v>266</v>
      </c>
    </row>
    <row r="20" spans="1:9" s="210" customFormat="1" x14ac:dyDescent="0.2">
      <c r="A20" s="959"/>
      <c r="B20" s="960"/>
      <c r="C20" s="486"/>
      <c r="D20" s="486"/>
      <c r="E20" s="486"/>
      <c r="F20" s="961"/>
      <c r="G20" s="962"/>
    </row>
    <row r="21" spans="1:9" s="210" customFormat="1" x14ac:dyDescent="0.2">
      <c r="A21" s="435" t="s">
        <v>273</v>
      </c>
      <c r="B21" s="435"/>
      <c r="C21" s="429">
        <v>1</v>
      </c>
      <c r="D21" s="429">
        <v>2</v>
      </c>
      <c r="E21" s="429">
        <v>3</v>
      </c>
      <c r="F21" s="429" t="s">
        <v>264</v>
      </c>
      <c r="G21" s="429" t="s">
        <v>83</v>
      </c>
    </row>
    <row r="22" spans="1:9" s="210" customFormat="1" x14ac:dyDescent="0.2">
      <c r="A22" s="435">
        <v>1</v>
      </c>
      <c r="B22" s="470" t="s">
        <v>160</v>
      </c>
      <c r="C22" s="437"/>
      <c r="D22" s="438">
        <v>13</v>
      </c>
      <c r="E22" s="438">
        <v>13</v>
      </c>
      <c r="F22" s="472" t="s">
        <v>317</v>
      </c>
      <c r="G22" s="469" t="s">
        <v>269</v>
      </c>
    </row>
    <row r="23" spans="1:9" s="210" customFormat="1" x14ac:dyDescent="0.2">
      <c r="A23" s="435">
        <v>2</v>
      </c>
      <c r="B23" s="470" t="s">
        <v>162</v>
      </c>
      <c r="C23" s="438">
        <v>8</v>
      </c>
      <c r="D23" s="437"/>
      <c r="E23" s="438">
        <v>6</v>
      </c>
      <c r="F23" s="472" t="s">
        <v>316</v>
      </c>
      <c r="G23" s="469" t="s">
        <v>266</v>
      </c>
    </row>
    <row r="24" spans="1:9" s="210" customFormat="1" x14ac:dyDescent="0.2">
      <c r="A24" s="435">
        <v>3</v>
      </c>
      <c r="B24" s="470" t="s">
        <v>183</v>
      </c>
      <c r="C24" s="438">
        <v>6</v>
      </c>
      <c r="D24" s="438">
        <v>13</v>
      </c>
      <c r="E24" s="437"/>
      <c r="F24" s="472" t="s">
        <v>121</v>
      </c>
      <c r="G24" s="469" t="s">
        <v>267</v>
      </c>
    </row>
    <row r="25" spans="1:9" s="210" customFormat="1" x14ac:dyDescent="0.2">
      <c r="A25" s="24"/>
      <c r="B25" s="24"/>
      <c r="C25" s="24"/>
      <c r="D25" s="24"/>
      <c r="E25" s="24"/>
      <c r="F25" s="24"/>
      <c r="G25" s="24"/>
    </row>
    <row r="26" spans="1:9" s="210" customFormat="1" x14ac:dyDescent="0.2">
      <c r="A26" s="24"/>
      <c r="B26" s="963" t="s">
        <v>114</v>
      </c>
      <c r="C26" s="873" t="s">
        <v>277</v>
      </c>
      <c r="D26" s="873"/>
      <c r="E26" s="24"/>
      <c r="F26" s="24"/>
      <c r="G26" s="24"/>
    </row>
    <row r="27" spans="1:9" s="210" customFormat="1" x14ac:dyDescent="0.2">
      <c r="A27" s="24"/>
      <c r="B27" s="963" t="s">
        <v>115</v>
      </c>
      <c r="C27" s="873" t="s">
        <v>278</v>
      </c>
      <c r="D27" s="873"/>
      <c r="E27" s="24"/>
      <c r="F27" s="24"/>
      <c r="G27" s="24"/>
    </row>
    <row r="28" spans="1:9" s="210" customFormat="1" x14ac:dyDescent="0.2">
      <c r="A28" s="24"/>
      <c r="B28" s="963" t="s">
        <v>116</v>
      </c>
      <c r="C28" s="873" t="s">
        <v>119</v>
      </c>
      <c r="D28" s="873"/>
      <c r="E28" s="24"/>
      <c r="F28" s="24"/>
      <c r="G28" s="24"/>
    </row>
    <row r="30" spans="1:9" x14ac:dyDescent="0.2">
      <c r="A30" s="487" t="s">
        <v>281</v>
      </c>
      <c r="B30" s="488"/>
      <c r="D30" s="488"/>
      <c r="E30" s="488"/>
      <c r="F30" s="488"/>
      <c r="G30" s="488"/>
    </row>
    <row r="31" spans="1:9" x14ac:dyDescent="0.2">
      <c r="A31" s="487"/>
      <c r="B31" s="488"/>
      <c r="C31" s="488"/>
      <c r="D31" s="488"/>
      <c r="E31" s="488"/>
      <c r="F31" s="488"/>
      <c r="G31" s="488"/>
    </row>
    <row r="32" spans="1:9" x14ac:dyDescent="0.2">
      <c r="A32" s="489" t="s">
        <v>290</v>
      </c>
      <c r="B32" s="528" t="s">
        <v>167</v>
      </c>
      <c r="C32" s="490">
        <v>13</v>
      </c>
      <c r="D32" s="488"/>
      <c r="E32" s="488"/>
      <c r="F32" s="488"/>
      <c r="G32" s="488"/>
      <c r="H32" s="488"/>
      <c r="I32" s="488"/>
    </row>
    <row r="33" spans="1:11" x14ac:dyDescent="0.2">
      <c r="A33" s="491"/>
      <c r="B33" s="492"/>
      <c r="C33" s="502" t="s">
        <v>167</v>
      </c>
      <c r="E33" s="488"/>
      <c r="F33" s="490">
        <v>10</v>
      </c>
      <c r="G33" s="488"/>
      <c r="H33" s="488"/>
      <c r="I33" s="488"/>
      <c r="J33" s="488"/>
    </row>
    <row r="34" spans="1:11" x14ac:dyDescent="0.2">
      <c r="A34" s="489" t="s">
        <v>291</v>
      </c>
      <c r="B34" s="529" t="s">
        <v>159</v>
      </c>
      <c r="C34" s="504">
        <v>11</v>
      </c>
      <c r="D34" s="586"/>
      <c r="E34" s="497"/>
      <c r="F34" s="488"/>
      <c r="G34" s="488"/>
      <c r="H34" s="488"/>
      <c r="I34" s="488"/>
      <c r="J34" s="488"/>
    </row>
    <row r="35" spans="1:11" x14ac:dyDescent="0.2">
      <c r="A35" s="491"/>
      <c r="B35" s="488"/>
      <c r="C35" s="498"/>
      <c r="D35" s="258"/>
      <c r="E35" s="499"/>
      <c r="F35" s="488" t="s">
        <v>183</v>
      </c>
      <c r="H35" s="488"/>
      <c r="I35" s="490">
        <v>8</v>
      </c>
      <c r="J35" s="488"/>
      <c r="K35" s="488"/>
    </row>
    <row r="36" spans="1:11" x14ac:dyDescent="0.2">
      <c r="A36" s="489" t="s">
        <v>286</v>
      </c>
      <c r="B36" s="500" t="s">
        <v>639</v>
      </c>
      <c r="C36" s="501">
        <v>3</v>
      </c>
      <c r="D36" s="258"/>
      <c r="E36" s="499"/>
      <c r="F36" s="492"/>
      <c r="G36" s="586"/>
      <c r="H36" s="497"/>
      <c r="I36" s="488"/>
      <c r="J36" s="488"/>
      <c r="K36" s="488"/>
    </row>
    <row r="37" spans="1:11" x14ac:dyDescent="0.2">
      <c r="A37" s="491"/>
      <c r="B37" s="492"/>
      <c r="C37" s="493" t="s">
        <v>183</v>
      </c>
      <c r="D37" s="966"/>
      <c r="E37" s="967"/>
      <c r="F37" s="501">
        <v>13</v>
      </c>
      <c r="G37" s="258"/>
      <c r="H37" s="499"/>
      <c r="I37" s="488"/>
      <c r="J37" s="488"/>
      <c r="K37" s="488"/>
    </row>
    <row r="38" spans="1:11" x14ac:dyDescent="0.2">
      <c r="A38" s="489" t="s">
        <v>288</v>
      </c>
      <c r="B38" s="529" t="s">
        <v>183</v>
      </c>
      <c r="C38" s="496">
        <v>13</v>
      </c>
      <c r="E38" s="488"/>
      <c r="F38" s="498"/>
      <c r="G38" s="258"/>
      <c r="H38" s="499"/>
      <c r="I38" s="488"/>
      <c r="J38" s="488"/>
      <c r="K38" s="488"/>
    </row>
    <row r="39" spans="1:11" ht="13.5" thickBot="1" x14ac:dyDescent="0.25">
      <c r="A39" s="491"/>
      <c r="B39" s="488"/>
      <c r="C39" s="488"/>
      <c r="E39" s="488"/>
      <c r="F39" s="498"/>
      <c r="G39" s="258"/>
      <c r="H39" s="499"/>
      <c r="I39" s="488"/>
      <c r="J39" s="528" t="s">
        <v>158</v>
      </c>
      <c r="K39" s="488"/>
    </row>
    <row r="40" spans="1:11" x14ac:dyDescent="0.2">
      <c r="A40" s="489" t="s">
        <v>285</v>
      </c>
      <c r="B40" s="488" t="s">
        <v>441</v>
      </c>
      <c r="C40" s="490">
        <v>9</v>
      </c>
      <c r="E40" s="488"/>
      <c r="F40" s="498"/>
      <c r="G40" s="258"/>
      <c r="H40" s="499"/>
      <c r="I40" s="505"/>
      <c r="J40" s="506" t="s">
        <v>287</v>
      </c>
      <c r="K40" s="507"/>
    </row>
    <row r="41" spans="1:11" x14ac:dyDescent="0.2">
      <c r="A41" s="491"/>
      <c r="B41" s="492"/>
      <c r="C41" s="502" t="s">
        <v>166</v>
      </c>
      <c r="E41" s="488"/>
      <c r="F41" s="501">
        <v>7</v>
      </c>
      <c r="G41" s="258"/>
      <c r="H41" s="499"/>
      <c r="I41" s="488"/>
      <c r="J41" s="488"/>
      <c r="K41" s="488"/>
    </row>
    <row r="42" spans="1:11" ht="13.5" thickBot="1" x14ac:dyDescent="0.25">
      <c r="A42" s="489" t="s">
        <v>282</v>
      </c>
      <c r="B42" s="494" t="s">
        <v>166</v>
      </c>
      <c r="C42" s="504">
        <v>13</v>
      </c>
      <c r="D42" s="586"/>
      <c r="E42" s="497"/>
      <c r="F42" s="498"/>
      <c r="G42" s="258"/>
      <c r="H42" s="499"/>
      <c r="I42" s="488"/>
      <c r="J42" s="885" t="s">
        <v>183</v>
      </c>
      <c r="K42" s="508"/>
    </row>
    <row r="43" spans="1:11" x14ac:dyDescent="0.2">
      <c r="A43" s="491"/>
      <c r="B43" s="488"/>
      <c r="C43" s="498"/>
      <c r="D43" s="258"/>
      <c r="E43" s="499"/>
      <c r="F43" s="968" t="s">
        <v>158</v>
      </c>
      <c r="G43" s="966"/>
      <c r="H43" s="967"/>
      <c r="I43" s="490">
        <v>13</v>
      </c>
      <c r="J43" s="506" t="s">
        <v>289</v>
      </c>
      <c r="K43" s="488"/>
    </row>
    <row r="44" spans="1:11" x14ac:dyDescent="0.2">
      <c r="A44" s="489" t="s">
        <v>283</v>
      </c>
      <c r="B44" s="528" t="s">
        <v>158</v>
      </c>
      <c r="C44" s="501">
        <v>13</v>
      </c>
      <c r="D44" s="258"/>
      <c r="E44" s="499"/>
      <c r="F44" s="488"/>
      <c r="H44" s="488"/>
      <c r="I44" s="488"/>
      <c r="J44" s="488"/>
      <c r="K44" s="488"/>
    </row>
    <row r="45" spans="1:11" x14ac:dyDescent="0.2">
      <c r="A45" s="491"/>
      <c r="B45" s="492"/>
      <c r="C45" s="493" t="s">
        <v>158</v>
      </c>
      <c r="D45" s="966"/>
      <c r="E45" s="967"/>
      <c r="F45" s="490">
        <v>13</v>
      </c>
      <c r="H45" s="488"/>
      <c r="I45" s="488"/>
      <c r="J45" s="488"/>
      <c r="K45" s="488"/>
    </row>
    <row r="46" spans="1:11" x14ac:dyDescent="0.2">
      <c r="A46" s="489" t="s">
        <v>284</v>
      </c>
      <c r="B46" s="494" t="s">
        <v>160</v>
      </c>
      <c r="C46" s="496">
        <v>8</v>
      </c>
      <c r="E46" s="488"/>
      <c r="F46" s="488"/>
      <c r="H46" s="488"/>
      <c r="I46" s="488"/>
      <c r="J46" s="488"/>
      <c r="K46" s="488"/>
    </row>
    <row r="47" spans="1:11" x14ac:dyDescent="0.2">
      <c r="A47" s="488"/>
      <c r="B47" s="488"/>
      <c r="C47" s="488"/>
      <c r="E47" s="488"/>
      <c r="F47" s="488" t="s">
        <v>167</v>
      </c>
      <c r="H47" s="488"/>
      <c r="I47" s="501">
        <v>10</v>
      </c>
      <c r="J47" s="498"/>
      <c r="K47" s="498"/>
    </row>
    <row r="48" spans="1:11" ht="13.5" thickBot="1" x14ac:dyDescent="0.25">
      <c r="A48" s="488"/>
      <c r="B48" s="488"/>
      <c r="C48" s="488"/>
      <c r="E48" s="488"/>
      <c r="F48" s="492"/>
      <c r="G48" s="586"/>
      <c r="H48" s="497"/>
      <c r="I48" s="508"/>
      <c r="J48" s="885" t="s">
        <v>166</v>
      </c>
      <c r="K48" s="508"/>
    </row>
    <row r="49" spans="1:11" x14ac:dyDescent="0.2">
      <c r="A49" s="488"/>
      <c r="B49" s="488"/>
      <c r="C49" s="488"/>
      <c r="E49" s="488"/>
      <c r="F49" s="968" t="s">
        <v>166</v>
      </c>
      <c r="G49" s="966"/>
      <c r="H49" s="967"/>
      <c r="I49" s="490">
        <v>13</v>
      </c>
      <c r="J49" s="509" t="s">
        <v>292</v>
      </c>
      <c r="K49" s="498"/>
    </row>
    <row r="50" spans="1:11" x14ac:dyDescent="0.2">
      <c r="A50" s="488"/>
      <c r="B50" s="488"/>
      <c r="C50" s="488"/>
      <c r="E50" s="488"/>
      <c r="F50" s="488"/>
      <c r="H50" s="488"/>
      <c r="I50" s="488"/>
      <c r="J50" s="498"/>
      <c r="K50" s="498"/>
    </row>
    <row r="51" spans="1:11" ht="13.5" thickBot="1" x14ac:dyDescent="0.25">
      <c r="A51" s="488"/>
      <c r="B51" s="488"/>
      <c r="C51" s="488"/>
      <c r="E51" s="488"/>
      <c r="F51" s="488"/>
      <c r="H51" s="498"/>
      <c r="I51" s="488"/>
      <c r="J51" s="885" t="s">
        <v>167</v>
      </c>
      <c r="K51" s="508"/>
    </row>
    <row r="52" spans="1:11" x14ac:dyDescent="0.2">
      <c r="A52" s="488"/>
      <c r="B52" s="488"/>
      <c r="C52" s="488"/>
      <c r="E52" s="488"/>
      <c r="F52" s="488"/>
      <c r="H52" s="498"/>
      <c r="I52" s="488"/>
      <c r="J52" s="510" t="s">
        <v>293</v>
      </c>
      <c r="K52" s="498"/>
    </row>
    <row r="53" spans="1:11" x14ac:dyDescent="0.2">
      <c r="A53" s="488"/>
      <c r="B53" s="488"/>
      <c r="C53" s="488"/>
      <c r="E53" s="488"/>
      <c r="F53" s="488"/>
      <c r="H53" s="498"/>
      <c r="I53" s="488"/>
      <c r="J53" s="510"/>
      <c r="K53" s="498"/>
    </row>
    <row r="54" spans="1:11" x14ac:dyDescent="0.2">
      <c r="A54" s="487" t="s">
        <v>415</v>
      </c>
      <c r="B54" s="488"/>
      <c r="C54" s="488"/>
      <c r="E54" s="488"/>
      <c r="F54" s="488"/>
      <c r="H54" s="498"/>
      <c r="I54" s="488"/>
      <c r="J54" s="510"/>
      <c r="K54" s="498"/>
    </row>
    <row r="55" spans="1:11" x14ac:dyDescent="0.2">
      <c r="A55" s="487"/>
      <c r="B55" s="488"/>
      <c r="C55" s="488"/>
      <c r="E55" s="488"/>
      <c r="F55" s="488"/>
      <c r="H55" s="498"/>
      <c r="I55" s="488"/>
      <c r="J55" s="510"/>
      <c r="K55" s="498"/>
    </row>
    <row r="56" spans="1:11" x14ac:dyDescent="0.2">
      <c r="A56" s="488"/>
      <c r="B56" s="488"/>
      <c r="C56" s="528" t="s">
        <v>159</v>
      </c>
      <c r="E56" s="488"/>
      <c r="F56" s="490">
        <v>13</v>
      </c>
      <c r="H56" s="488"/>
      <c r="I56" s="488"/>
      <c r="K56" s="488"/>
    </row>
    <row r="57" spans="1:11" x14ac:dyDescent="0.2">
      <c r="A57" s="488"/>
      <c r="B57" s="488"/>
      <c r="C57" s="492"/>
      <c r="D57" s="586"/>
      <c r="E57" s="497"/>
      <c r="F57" s="493" t="s">
        <v>159</v>
      </c>
      <c r="H57" s="498"/>
      <c r="I57" s="490">
        <v>13</v>
      </c>
      <c r="J57" s="488"/>
      <c r="K57" s="488"/>
    </row>
    <row r="58" spans="1:11" x14ac:dyDescent="0.2">
      <c r="A58" s="488"/>
      <c r="B58" s="488"/>
      <c r="C58" s="968" t="s">
        <v>639</v>
      </c>
      <c r="D58" s="966"/>
      <c r="E58" s="967"/>
      <c r="F58" s="496">
        <v>6</v>
      </c>
      <c r="G58" s="586"/>
      <c r="H58" s="497"/>
      <c r="I58" s="488"/>
      <c r="J58" s="488"/>
      <c r="K58" s="488"/>
    </row>
    <row r="59" spans="1:11" ht="13.5" thickBot="1" x14ac:dyDescent="0.25">
      <c r="A59" s="488"/>
      <c r="B59" s="488"/>
      <c r="C59" s="488"/>
      <c r="E59" s="488"/>
      <c r="F59" s="498"/>
      <c r="G59" s="258"/>
      <c r="H59" s="499"/>
      <c r="I59" s="488"/>
      <c r="J59" s="488" t="s">
        <v>159</v>
      </c>
      <c r="K59" s="488"/>
    </row>
    <row r="60" spans="1:11" x14ac:dyDescent="0.2">
      <c r="A60" s="488"/>
      <c r="B60" s="488"/>
      <c r="C60" s="488" t="s">
        <v>441</v>
      </c>
      <c r="E60" s="488"/>
      <c r="F60" s="501">
        <v>4</v>
      </c>
      <c r="G60" s="258"/>
      <c r="H60" s="499"/>
      <c r="I60" s="505"/>
      <c r="J60" s="506" t="s">
        <v>294</v>
      </c>
      <c r="K60" s="507"/>
    </row>
    <row r="61" spans="1:11" x14ac:dyDescent="0.2">
      <c r="A61" s="488"/>
      <c r="B61" s="488"/>
      <c r="C61" s="492"/>
      <c r="D61" s="586"/>
      <c r="E61" s="497"/>
      <c r="F61" s="502" t="s">
        <v>160</v>
      </c>
      <c r="G61" s="966"/>
      <c r="H61" s="967"/>
      <c r="I61" s="501">
        <v>4</v>
      </c>
      <c r="J61" s="488"/>
      <c r="K61" s="488"/>
    </row>
    <row r="62" spans="1:11" ht="13.5" thickBot="1" x14ac:dyDescent="0.25">
      <c r="A62" s="488"/>
      <c r="B62" s="488"/>
      <c r="C62" s="965" t="s">
        <v>160</v>
      </c>
      <c r="D62" s="966"/>
      <c r="E62" s="967"/>
      <c r="F62" s="504">
        <v>13</v>
      </c>
      <c r="H62" s="488"/>
      <c r="I62" s="498"/>
      <c r="J62" s="498" t="s">
        <v>160</v>
      </c>
      <c r="K62" s="508"/>
    </row>
    <row r="63" spans="1:11" x14ac:dyDescent="0.2">
      <c r="A63" s="488"/>
      <c r="B63" s="488"/>
      <c r="C63" s="488"/>
      <c r="E63" s="488"/>
      <c r="F63" s="488"/>
      <c r="H63" s="488"/>
      <c r="I63" s="498"/>
      <c r="J63" s="506" t="s">
        <v>295</v>
      </c>
      <c r="K63" s="498"/>
    </row>
    <row r="64" spans="1:11" x14ac:dyDescent="0.2">
      <c r="A64" s="488"/>
      <c r="B64" s="488"/>
      <c r="C64" s="488"/>
      <c r="E64" s="488"/>
      <c r="F64" s="488" t="s">
        <v>639</v>
      </c>
      <c r="H64" s="488"/>
      <c r="I64" s="501">
        <v>13</v>
      </c>
      <c r="J64" s="498"/>
      <c r="K64" s="498"/>
    </row>
    <row r="65" spans="1:11" ht="13.5" thickBot="1" x14ac:dyDescent="0.25">
      <c r="A65" s="488"/>
      <c r="B65" s="488"/>
      <c r="C65" s="488"/>
      <c r="E65" s="488"/>
      <c r="F65" s="492"/>
      <c r="G65" s="586"/>
      <c r="H65" s="497"/>
      <c r="I65" s="508"/>
      <c r="J65" s="508" t="s">
        <v>639</v>
      </c>
      <c r="K65" s="508"/>
    </row>
    <row r="66" spans="1:11" x14ac:dyDescent="0.2">
      <c r="A66" s="488"/>
      <c r="B66" s="488"/>
      <c r="C66" s="488"/>
      <c r="E66" s="488"/>
      <c r="F66" s="968" t="s">
        <v>441</v>
      </c>
      <c r="G66" s="966"/>
      <c r="H66" s="967"/>
      <c r="I66" s="490">
        <v>2</v>
      </c>
      <c r="J66" s="506" t="s">
        <v>296</v>
      </c>
      <c r="K66" s="498"/>
    </row>
    <row r="67" spans="1:11" x14ac:dyDescent="0.2">
      <c r="A67" s="488"/>
      <c r="B67" s="488"/>
      <c r="C67" s="488"/>
      <c r="E67" s="488"/>
      <c r="F67" s="488"/>
      <c r="H67" s="488"/>
      <c r="I67" s="488"/>
      <c r="J67" s="498"/>
      <c r="K67" s="498"/>
    </row>
    <row r="68" spans="1:11" ht="13.5" thickBot="1" x14ac:dyDescent="0.25">
      <c r="A68" s="488"/>
      <c r="B68" s="488"/>
      <c r="C68" s="488"/>
      <c r="E68" s="488"/>
      <c r="F68" s="488"/>
      <c r="H68" s="498"/>
      <c r="I68" s="488"/>
      <c r="J68" s="508" t="s">
        <v>441</v>
      </c>
      <c r="K68" s="508"/>
    </row>
    <row r="69" spans="1:11" x14ac:dyDescent="0.2">
      <c r="A69" s="488"/>
      <c r="B69" s="488"/>
      <c r="C69" s="488"/>
      <c r="E69" s="488"/>
      <c r="F69" s="488"/>
      <c r="H69" s="498"/>
      <c r="I69" s="488"/>
      <c r="J69" s="506" t="s">
        <v>297</v>
      </c>
      <c r="K69" s="964"/>
    </row>
    <row r="71" spans="1:11" x14ac:dyDescent="0.2">
      <c r="A71" s="802" t="s">
        <v>329</v>
      </c>
    </row>
    <row r="73" spans="1:11" ht="13.5" thickBot="1" x14ac:dyDescent="0.25">
      <c r="A73" s="435"/>
      <c r="B73" s="435"/>
      <c r="C73" s="429">
        <v>1</v>
      </c>
      <c r="D73" s="429">
        <v>2</v>
      </c>
      <c r="E73" s="429">
        <v>3</v>
      </c>
      <c r="F73" s="429">
        <v>4</v>
      </c>
      <c r="G73" s="429" t="s">
        <v>264</v>
      </c>
      <c r="H73" s="429" t="s">
        <v>83</v>
      </c>
      <c r="J73" s="528" t="s">
        <v>177</v>
      </c>
      <c r="K73" s="488"/>
    </row>
    <row r="74" spans="1:11" x14ac:dyDescent="0.2">
      <c r="A74" s="435">
        <v>1</v>
      </c>
      <c r="B74" s="481" t="s">
        <v>177</v>
      </c>
      <c r="C74" s="437"/>
      <c r="D74" s="438">
        <v>13</v>
      </c>
      <c r="E74" s="438">
        <v>13</v>
      </c>
      <c r="F74" s="438">
        <v>13</v>
      </c>
      <c r="G74" s="472" t="s">
        <v>268</v>
      </c>
      <c r="H74" s="469" t="s">
        <v>269</v>
      </c>
      <c r="J74" s="506" t="s">
        <v>303</v>
      </c>
      <c r="K74" s="507"/>
    </row>
    <row r="75" spans="1:11" x14ac:dyDescent="0.2">
      <c r="A75" s="435">
        <v>2</v>
      </c>
      <c r="B75" s="480" t="s">
        <v>170</v>
      </c>
      <c r="C75" s="438">
        <v>9</v>
      </c>
      <c r="D75" s="437"/>
      <c r="E75" s="438">
        <v>13</v>
      </c>
      <c r="F75" s="438">
        <v>13</v>
      </c>
      <c r="G75" s="472" t="s">
        <v>119</v>
      </c>
      <c r="H75" s="469" t="s">
        <v>267</v>
      </c>
      <c r="J75" s="488"/>
      <c r="K75" s="488"/>
    </row>
    <row r="76" spans="1:11" ht="13.5" thickBot="1" x14ac:dyDescent="0.25">
      <c r="A76" s="435">
        <v>3</v>
      </c>
      <c r="B76" s="470" t="s">
        <v>173</v>
      </c>
      <c r="C76" s="438">
        <v>5</v>
      </c>
      <c r="D76" s="439">
        <v>8</v>
      </c>
      <c r="E76" s="437"/>
      <c r="F76" s="438">
        <v>13</v>
      </c>
      <c r="G76" s="472" t="s">
        <v>265</v>
      </c>
      <c r="H76" s="439" t="s">
        <v>266</v>
      </c>
      <c r="J76" s="498" t="s">
        <v>170</v>
      </c>
      <c r="K76" s="508"/>
    </row>
    <row r="77" spans="1:11" x14ac:dyDescent="0.2">
      <c r="A77" s="435">
        <v>4</v>
      </c>
      <c r="B77" s="470" t="s">
        <v>162</v>
      </c>
      <c r="C77" s="438">
        <v>0</v>
      </c>
      <c r="D77" s="438">
        <v>0</v>
      </c>
      <c r="E77" s="438">
        <v>0</v>
      </c>
      <c r="F77" s="437"/>
      <c r="G77" s="472" t="s">
        <v>270</v>
      </c>
      <c r="H77" s="469" t="s">
        <v>120</v>
      </c>
      <c r="J77" s="506" t="s">
        <v>304</v>
      </c>
      <c r="K77" s="498"/>
    </row>
    <row r="78" spans="1:11" x14ac:dyDescent="0.2">
      <c r="J78" s="498"/>
      <c r="K78" s="498"/>
    </row>
    <row r="79" spans="1:11" ht="13.5" thickBot="1" x14ac:dyDescent="0.25">
      <c r="B79" s="441" t="s">
        <v>114</v>
      </c>
      <c r="C79" s="442" t="s">
        <v>276</v>
      </c>
      <c r="D79" s="442" t="s">
        <v>277</v>
      </c>
      <c r="J79" s="508" t="s">
        <v>173</v>
      </c>
      <c r="K79" s="508"/>
    </row>
    <row r="80" spans="1:11" x14ac:dyDescent="0.2">
      <c r="B80" s="441" t="s">
        <v>115</v>
      </c>
      <c r="C80" s="442" t="s">
        <v>278</v>
      </c>
      <c r="D80" s="442" t="s">
        <v>279</v>
      </c>
      <c r="J80" s="506" t="s">
        <v>307</v>
      </c>
      <c r="K80" s="498"/>
    </row>
    <row r="81" spans="1:11" x14ac:dyDescent="0.2">
      <c r="B81" s="441" t="s">
        <v>116</v>
      </c>
      <c r="C81" s="442" t="s">
        <v>265</v>
      </c>
      <c r="D81" s="442" t="s">
        <v>280</v>
      </c>
      <c r="J81" s="498"/>
      <c r="K81" s="498"/>
    </row>
    <row r="82" spans="1:11" ht="13.5" thickBot="1" x14ac:dyDescent="0.25">
      <c r="J82" s="508" t="s">
        <v>162</v>
      </c>
      <c r="K82" s="508"/>
    </row>
    <row r="83" spans="1:11" x14ac:dyDescent="0.2">
      <c r="J83" s="506" t="s">
        <v>308</v>
      </c>
      <c r="K83" s="964"/>
    </row>
    <row r="85" spans="1:11" x14ac:dyDescent="0.2">
      <c r="A85" s="223">
        <v>1</v>
      </c>
      <c r="B85" s="224" t="s">
        <v>158</v>
      </c>
    </row>
    <row r="86" spans="1:11" x14ac:dyDescent="0.2">
      <c r="A86" s="223">
        <v>2</v>
      </c>
      <c r="B86" s="535" t="s">
        <v>183</v>
      </c>
    </row>
    <row r="87" spans="1:11" x14ac:dyDescent="0.2">
      <c r="A87" s="223">
        <v>3</v>
      </c>
      <c r="B87" s="536" t="s">
        <v>166</v>
      </c>
    </row>
    <row r="88" spans="1:11" x14ac:dyDescent="0.2">
      <c r="A88" s="223">
        <v>4</v>
      </c>
      <c r="B88" s="540" t="s">
        <v>167</v>
      </c>
    </row>
    <row r="89" spans="1:11" x14ac:dyDescent="0.2">
      <c r="A89" s="223">
        <v>5</v>
      </c>
      <c r="B89" s="540" t="s">
        <v>159</v>
      </c>
    </row>
    <row r="90" spans="1:11" x14ac:dyDescent="0.2">
      <c r="A90" s="223">
        <v>6</v>
      </c>
      <c r="B90" s="540" t="s">
        <v>160</v>
      </c>
    </row>
    <row r="91" spans="1:11" x14ac:dyDescent="0.2">
      <c r="A91" s="223">
        <v>7</v>
      </c>
      <c r="B91" s="540" t="s">
        <v>639</v>
      </c>
    </row>
    <row r="92" spans="1:11" x14ac:dyDescent="0.2">
      <c r="A92" s="223">
        <v>8</v>
      </c>
      <c r="B92" s="540" t="s">
        <v>441</v>
      </c>
    </row>
    <row r="93" spans="1:11" x14ac:dyDescent="0.2">
      <c r="A93" s="223">
        <v>9</v>
      </c>
      <c r="B93" s="540" t="s">
        <v>177</v>
      </c>
    </row>
    <row r="94" spans="1:11" x14ac:dyDescent="0.2">
      <c r="A94" s="223">
        <v>10</v>
      </c>
      <c r="B94" s="540" t="s">
        <v>170</v>
      </c>
    </row>
    <row r="95" spans="1:11" x14ac:dyDescent="0.2">
      <c r="A95" s="223">
        <v>11</v>
      </c>
      <c r="B95" s="540" t="s">
        <v>173</v>
      </c>
    </row>
    <row r="96" spans="1:11" x14ac:dyDescent="0.2">
      <c r="A96" s="223">
        <v>12</v>
      </c>
      <c r="B96" s="540" t="s">
        <v>162</v>
      </c>
    </row>
  </sheetData>
  <conditionalFormatting sqref="C6:E10 C25:G28 C15:E15 C20:E20">
    <cfRule type="cellIs" dxfId="476" priority="6" operator="equal">
      <formula>13</formula>
    </cfRule>
  </conditionalFormatting>
  <conditionalFormatting sqref="C11:E14">
    <cfRule type="cellIs" dxfId="475" priority="5" operator="equal">
      <formula>13</formula>
    </cfRule>
  </conditionalFormatting>
  <conditionalFormatting sqref="C16:E19">
    <cfRule type="cellIs" dxfId="474" priority="3" operator="equal">
      <formula>13</formula>
    </cfRule>
  </conditionalFormatting>
  <conditionalFormatting sqref="C21:E24">
    <cfRule type="cellIs" dxfId="473" priority="4" operator="equal">
      <formula>13</formula>
    </cfRule>
  </conditionalFormatting>
  <conditionalFormatting sqref="C74:G77">
    <cfRule type="cellIs" dxfId="472" priority="1" operator="equal">
      <formula>13</formula>
    </cfRule>
  </conditionalFormatting>
  <conditionalFormatting sqref="C30:I32 E33:I33 C33:C69 E34:H34 E35:F69 H35:I69">
    <cfRule type="cellIs" dxfId="471" priority="2" stopIfTrue="1" operator="equal">
      <formula>13</formula>
    </cfRule>
  </conditionalFormatting>
  <pageMargins left="0.78740157480314965" right="0.39370078740157483" top="0.78740157480314965" bottom="0.39370078740157483" header="0.78740157480314965" footer="0"/>
  <pageSetup paperSize="9" fitToHeight="0" orientation="portrait" verticalDpi="1200" r:id="rId1"/>
  <headerFooter>
    <oddHeader>&amp;R&amp;"Arial,Regular"&amp;9Page &amp;P of &amp;N</oddHeader>
  </headerFooter>
  <rowBreaks count="1" manualBreakCount="1">
    <brk id="52"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Z78"/>
  <sheetViews>
    <sheetView showGridLines="0" showRowColHeaders="0" zoomScaleNormal="100" workbookViewId="0">
      <pane ySplit="6" topLeftCell="A7" activePane="bottomLeft" state="frozen"/>
      <selection activeCell="P1" sqref="P1"/>
      <selection pane="bottomLeft" activeCell="L1" sqref="L1"/>
    </sheetView>
  </sheetViews>
  <sheetFormatPr defaultRowHeight="12.75" x14ac:dyDescent="0.2"/>
  <cols>
    <col min="1" max="1" width="3.42578125" style="173" customWidth="1"/>
    <col min="2" max="2" width="4.5703125" style="173" hidden="1" customWidth="1"/>
    <col min="3" max="3" width="8" style="173" hidden="1" customWidth="1"/>
    <col min="4" max="4" width="3.140625" style="173" hidden="1" customWidth="1"/>
    <col min="5" max="5" width="3.85546875" style="173" customWidth="1"/>
    <col min="6" max="6" width="18" style="172" customWidth="1"/>
    <col min="7" max="7" width="5" style="172" bestFit="1" customWidth="1"/>
    <col min="8" max="8" width="5" style="193" customWidth="1"/>
    <col min="9" max="9" width="2" style="193" customWidth="1"/>
    <col min="10" max="11" width="4" style="173" customWidth="1"/>
    <col min="12" max="12" width="4.7109375" style="173" customWidth="1"/>
    <col min="13" max="13" width="4" style="173" customWidth="1"/>
    <col min="14" max="14" width="4.85546875" style="173" customWidth="1"/>
    <col min="15" max="15" width="4" style="173" customWidth="1"/>
    <col min="16" max="19" width="4.85546875" style="173" customWidth="1"/>
    <col min="20" max="20" width="8" style="173" hidden="1" customWidth="1"/>
    <col min="21" max="21" width="4.85546875" style="173" hidden="1" customWidth="1"/>
    <col min="22" max="22" width="8" style="173" customWidth="1"/>
    <col min="23" max="23" width="5.42578125" style="173" bestFit="1" customWidth="1"/>
    <col min="24" max="24" width="3.28515625" style="172" bestFit="1" customWidth="1"/>
    <col min="25" max="26" width="3.28515625" style="172" customWidth="1"/>
    <col min="27" max="27" width="1.7109375" style="172" customWidth="1"/>
    <col min="28" max="16384" width="9.140625" style="172"/>
  </cols>
  <sheetData>
    <row r="1" spans="1:26" x14ac:dyDescent="0.2">
      <c r="F1" s="169" t="s">
        <v>383</v>
      </c>
      <c r="G1" s="169"/>
      <c r="H1" s="171"/>
      <c r="I1" s="171"/>
      <c r="J1" s="171"/>
      <c r="K1" s="171"/>
      <c r="L1" s="171"/>
      <c r="M1" s="171"/>
      <c r="N1" s="171"/>
      <c r="O1" s="171"/>
      <c r="P1" s="171"/>
      <c r="Q1" s="171"/>
      <c r="R1" s="172"/>
      <c r="S1" s="1108"/>
      <c r="T1" s="172"/>
      <c r="U1" s="975"/>
      <c r="V1" s="172"/>
      <c r="X1" s="174" t="s">
        <v>71</v>
      </c>
      <c r="Y1" s="174"/>
      <c r="Z1" s="175"/>
    </row>
    <row r="2" spans="1:26" x14ac:dyDescent="0.2">
      <c r="F2" s="176" t="s">
        <v>111</v>
      </c>
      <c r="G2" s="176"/>
      <c r="H2" s="171"/>
      <c r="I2" s="171"/>
      <c r="J2" s="171"/>
      <c r="K2" s="171"/>
      <c r="L2" s="171"/>
      <c r="M2" s="171"/>
      <c r="N2" s="171"/>
      <c r="O2" s="171"/>
      <c r="P2" s="171"/>
      <c r="Q2" s="171"/>
      <c r="R2" s="171"/>
      <c r="S2" s="171"/>
      <c r="T2" s="171"/>
      <c r="U2" s="171"/>
      <c r="V2" s="171"/>
      <c r="X2" s="177" t="s">
        <v>73</v>
      </c>
      <c r="Y2" s="177"/>
    </row>
    <row r="3" spans="1:26" x14ac:dyDescent="0.2">
      <c r="F3" s="176" t="s">
        <v>112</v>
      </c>
      <c r="G3" s="176"/>
      <c r="H3" s="171"/>
      <c r="I3" s="171"/>
      <c r="J3" s="171"/>
      <c r="K3" s="171"/>
      <c r="L3" s="171"/>
      <c r="M3" s="171"/>
      <c r="N3" s="171"/>
      <c r="O3" s="171"/>
      <c r="P3" s="171"/>
      <c r="Q3" s="171"/>
      <c r="R3" s="171"/>
      <c r="S3" s="171"/>
      <c r="T3" s="171"/>
      <c r="U3" s="171"/>
      <c r="V3" s="171"/>
      <c r="X3" s="178" t="s">
        <v>74</v>
      </c>
      <c r="Y3" s="178"/>
    </row>
    <row r="4" spans="1:26" ht="29.25" x14ac:dyDescent="0.2">
      <c r="A4" s="1147"/>
      <c r="B4" s="1141"/>
      <c r="C4" s="1141"/>
      <c r="D4" s="1147"/>
      <c r="E4" s="1146"/>
      <c r="F4" s="1140" t="s">
        <v>13</v>
      </c>
      <c r="G4" s="897" t="s">
        <v>13</v>
      </c>
      <c r="H4" s="179" t="s">
        <v>13</v>
      </c>
      <c r="I4" s="179"/>
      <c r="J4" s="180" t="str">
        <f>MID(Kalend!$A7,4,5)</f>
        <v>10.05</v>
      </c>
      <c r="K4" s="180" t="str">
        <f>MID(Kalend!$A10,4,5)</f>
        <v>24.05</v>
      </c>
      <c r="L4" s="180" t="str">
        <f>MID(Kalend!$A13,4,5)</f>
        <v>07.06</v>
      </c>
      <c r="M4" s="180" t="str">
        <f>MID(Kalend!$A21,4,5)</f>
        <v>21.06</v>
      </c>
      <c r="N4" s="180" t="str">
        <f>MID(Kalend!$A25,4,5)</f>
        <v>05.07</v>
      </c>
      <c r="O4" s="180" t="str">
        <f>MID(Kalend!$A28,4,5)</f>
        <v>19.07</v>
      </c>
      <c r="P4" s="180" t="str">
        <f>MID(Kalend!$A31,4,5)</f>
        <v>02.08</v>
      </c>
      <c r="Q4" s="180" t="str">
        <f>MID(Kalend!$A33,4,5)</f>
        <v>16.08</v>
      </c>
      <c r="R4" s="180" t="str">
        <f>MID(Kalend!$A39,4,5)</f>
        <v>06.09</v>
      </c>
      <c r="S4" s="180" t="str">
        <f>MID(Kalend!$A44,4,5)</f>
        <v>30.09</v>
      </c>
      <c r="T4" s="181"/>
      <c r="U4" s="180"/>
      <c r="V4" s="181"/>
      <c r="W4" s="1350" t="str">
        <f>MID(Kalend!$A47,4,5)</f>
        <v>08.10</v>
      </c>
      <c r="X4" s="1451" t="s">
        <v>75</v>
      </c>
      <c r="Y4" s="1451" t="s">
        <v>76</v>
      </c>
      <c r="Z4" s="1452" t="s">
        <v>77</v>
      </c>
    </row>
    <row r="5" spans="1:26" x14ac:dyDescent="0.2">
      <c r="A5" s="1344"/>
      <c r="B5" s="1142"/>
      <c r="C5" s="1142"/>
      <c r="D5" s="1139"/>
      <c r="E5" s="1345" t="s">
        <v>78</v>
      </c>
      <c r="F5" s="1154"/>
      <c r="G5" s="1155" t="s">
        <v>153</v>
      </c>
      <c r="H5" s="1156"/>
      <c r="I5" s="1157"/>
      <c r="J5" s="415" t="s">
        <v>87</v>
      </c>
      <c r="K5" s="415" t="s">
        <v>87</v>
      </c>
      <c r="L5" s="415" t="s">
        <v>87</v>
      </c>
      <c r="M5" s="415" t="s">
        <v>87</v>
      </c>
      <c r="N5" s="415" t="s">
        <v>87</v>
      </c>
      <c r="O5" s="415" t="s">
        <v>87</v>
      </c>
      <c r="P5" s="415" t="s">
        <v>87</v>
      </c>
      <c r="Q5" s="415" t="s">
        <v>87</v>
      </c>
      <c r="R5" s="415" t="s">
        <v>87</v>
      </c>
      <c r="S5" s="415" t="s">
        <v>87</v>
      </c>
      <c r="T5" s="970"/>
      <c r="U5" s="182"/>
      <c r="V5" s="1111" t="s">
        <v>653</v>
      </c>
      <c r="W5" s="415" t="s">
        <v>89</v>
      </c>
      <c r="X5" s="1451"/>
      <c r="Y5" s="1451"/>
      <c r="Z5" s="1452"/>
    </row>
    <row r="6" spans="1:26" x14ac:dyDescent="0.2">
      <c r="A6" s="1152" t="s">
        <v>552</v>
      </c>
      <c r="B6" s="1149" t="s">
        <v>79</v>
      </c>
      <c r="C6" s="1150" t="s">
        <v>407</v>
      </c>
      <c r="D6" s="1151" t="s">
        <v>79</v>
      </c>
      <c r="E6" s="1148" t="s">
        <v>375</v>
      </c>
      <c r="F6" s="1143" t="s">
        <v>84</v>
      </c>
      <c r="G6" s="626" t="s">
        <v>83</v>
      </c>
      <c r="H6" s="625" t="s">
        <v>79</v>
      </c>
      <c r="I6" s="625" t="s">
        <v>83</v>
      </c>
      <c r="J6" s="1158" t="str">
        <f>HYPERLINK("#V1!K1","V1")</f>
        <v>V1</v>
      </c>
      <c r="K6" s="182" t="str">
        <f>HYPERLINK("#V2!H1","V2")</f>
        <v>V2</v>
      </c>
      <c r="L6" s="182" t="str">
        <f>HYPERLINK("#V3!K1","V3")</f>
        <v>V3</v>
      </c>
      <c r="M6" s="182" t="str">
        <f>HYPERLINK("#V4!J1","V4")</f>
        <v>V4</v>
      </c>
      <c r="N6" s="182" t="str">
        <f>HYPERLINK("#V5!L1","V5")</f>
        <v>V5</v>
      </c>
      <c r="O6" s="182" t="str">
        <f>HYPERLINK("#V6!J1","V6")</f>
        <v>V6</v>
      </c>
      <c r="P6" s="182" t="str">
        <f>HYPERLINK("#V7!K1","V7")</f>
        <v>V7</v>
      </c>
      <c r="Q6" s="182" t="str">
        <f>HYPERLINK("#V8!J1","V8")</f>
        <v>V8</v>
      </c>
      <c r="R6" s="182" t="str">
        <f>HYPERLINK("#V9!L1","V9")</f>
        <v>V9</v>
      </c>
      <c r="S6" s="182" t="str">
        <f>HYPERLINK("#V10!I1","V10")</f>
        <v>V10</v>
      </c>
      <c r="T6" s="416"/>
      <c r="U6" s="415"/>
      <c r="V6" s="1112" t="s">
        <v>654</v>
      </c>
      <c r="W6" s="182" t="str">
        <f>HYPERLINK("#'V-Fin'!J1","V-Fin")</f>
        <v>V-Fin</v>
      </c>
      <c r="X6" s="887"/>
      <c r="Y6" s="887"/>
      <c r="Z6" s="183"/>
    </row>
    <row r="7" spans="1:26" x14ac:dyDescent="0.2">
      <c r="A7" s="1105">
        <v>1</v>
      </c>
      <c r="B7" s="1106">
        <f t="shared" ref="B7:B38" si="0">IF(I7="k",RANK(C7,C$7:C$72,0),"")</f>
        <v>1</v>
      </c>
      <c r="C7" s="1107">
        <f t="shared" ref="C7:C38" si="1">IF((I7="k"),H7+10000,0)</f>
        <v>10119</v>
      </c>
      <c r="D7" s="1104">
        <f t="shared" ref="D7:D38" si="2">RANK(H7,H$7:H$72,0)</f>
        <v>1</v>
      </c>
      <c r="E7" s="936">
        <v>1</v>
      </c>
      <c r="F7" s="928" t="s">
        <v>52</v>
      </c>
      <c r="G7" s="626">
        <v>119</v>
      </c>
      <c r="H7" s="1153">
        <f t="shared" ref="H7:H38" si="3">SUM(J7:S7)</f>
        <v>119</v>
      </c>
      <c r="I7" s="852" t="s">
        <v>406</v>
      </c>
      <c r="J7" s="1317">
        <v>8.5</v>
      </c>
      <c r="K7" s="1317">
        <v>10</v>
      </c>
      <c r="L7" s="1319">
        <v>13.5</v>
      </c>
      <c r="M7" s="1317">
        <v>11</v>
      </c>
      <c r="N7" s="1317">
        <v>16</v>
      </c>
      <c r="O7" s="1317">
        <v>8</v>
      </c>
      <c r="P7" s="1317">
        <v>15</v>
      </c>
      <c r="Q7" s="1317">
        <v>15.5</v>
      </c>
      <c r="R7" s="1317">
        <v>10</v>
      </c>
      <c r="S7" s="1317">
        <v>11.5</v>
      </c>
      <c r="T7" s="977">
        <f t="shared" ref="T7:T38" si="4">IF(COUNTIF(J7:S7,"&gt;0")&gt;=3,1,0)</f>
        <v>1</v>
      </c>
      <c r="U7" s="977">
        <f>IF(T7=1,H7,"")</f>
        <v>119</v>
      </c>
      <c r="V7" s="179" t="str">
        <f t="shared" ref="V7:V38" si="5">IFERROR("edasi "&amp;RANK(U7,U$7:U$72,0),E7)</f>
        <v>edasi 1</v>
      </c>
      <c r="W7" s="1349">
        <v>24</v>
      </c>
      <c r="X7" s="185">
        <f t="shared" ref="X7:X38" si="6">COUNTIF(J7:S7,"&gt;=0")</f>
        <v>10</v>
      </c>
      <c r="Y7" s="185">
        <v>5</v>
      </c>
      <c r="Z7" s="185">
        <f t="shared" ref="Z7:Z38" si="7">IF(J7=0,0,IF(J7=IFERROR(LARGE(J$9:J$72,1),0),1,0))+IF(K7=0,0,IF(K7=IFERROR(LARGE(K$9:K$72,1),0),1,0))+IF(L7=0,0,IF(L7=IFERROR(LARGE(L$9:L$72,1),0),1,0))+IF(M7=0,0,IF(M7=IFERROR(LARGE(M$9:M$72,1),0),1,0))+IF(N7=0,0,IF(N7=IFERROR(LARGE(N$9:N$72,1),0),1,0))+IF(O7=0,0,IF(O7=IFERROR(LARGE(O$9:O$72,1),0),1,0))+IF(P7=0,0,IF(P7=IFERROR(LARGE(P$9:P$72,1),0),1,0))+IF(Q7=0,0,IF(Q7=IFERROR(LARGE(Q$9:Q$72,1),0),1,0))+IF(R7=0,0,IF(R7=IFERROR(LARGE(R$9:R$72,1),0),1,0))+IF(S7=0,0,IF(S7=IFERROR(LARGE(S$9:S$72,1),0),1,0))</f>
        <v>1</v>
      </c>
    </row>
    <row r="8" spans="1:26" x14ac:dyDescent="0.2">
      <c r="A8" s="1105" t="s">
        <v>408</v>
      </c>
      <c r="B8" s="1106" t="str">
        <f t="shared" si="0"/>
        <v/>
      </c>
      <c r="C8" s="1107">
        <f t="shared" si="1"/>
        <v>0</v>
      </c>
      <c r="D8" s="1104">
        <f t="shared" si="2"/>
        <v>2</v>
      </c>
      <c r="E8" s="936">
        <v>2</v>
      </c>
      <c r="F8" s="1351" t="s">
        <v>162</v>
      </c>
      <c r="G8" s="626">
        <v>118</v>
      </c>
      <c r="H8" s="1153">
        <f t="shared" si="3"/>
        <v>118</v>
      </c>
      <c r="I8" s="852"/>
      <c r="J8" s="1317"/>
      <c r="K8" s="1317">
        <v>14</v>
      </c>
      <c r="L8" s="1317">
        <v>15</v>
      </c>
      <c r="M8" s="1317">
        <v>9.5</v>
      </c>
      <c r="N8" s="1317">
        <v>18</v>
      </c>
      <c r="O8" s="1317">
        <v>12</v>
      </c>
      <c r="P8" s="1317">
        <v>6.5</v>
      </c>
      <c r="Q8" s="1317">
        <v>18</v>
      </c>
      <c r="R8" s="1317">
        <v>15</v>
      </c>
      <c r="S8" s="1317">
        <v>10</v>
      </c>
      <c r="T8" s="977">
        <f t="shared" si="4"/>
        <v>1</v>
      </c>
      <c r="U8" s="977">
        <f t="shared" ref="U8:U39" si="8">IF(T8=1,H8,"")</f>
        <v>118</v>
      </c>
      <c r="V8" s="179" t="str">
        <f t="shared" si="5"/>
        <v>edasi 2</v>
      </c>
      <c r="W8" s="1358">
        <v>2</v>
      </c>
      <c r="X8" s="185">
        <f t="shared" si="6"/>
        <v>9</v>
      </c>
      <c r="Y8" s="185">
        <v>5</v>
      </c>
      <c r="Z8" s="185">
        <f t="shared" si="7"/>
        <v>4</v>
      </c>
    </row>
    <row r="9" spans="1:26" x14ac:dyDescent="0.2">
      <c r="A9" s="1105" t="s">
        <v>408</v>
      </c>
      <c r="B9" s="1106" t="str">
        <f t="shared" si="0"/>
        <v/>
      </c>
      <c r="C9" s="1107">
        <f t="shared" si="1"/>
        <v>0</v>
      </c>
      <c r="D9" s="1104">
        <f t="shared" si="2"/>
        <v>3</v>
      </c>
      <c r="E9" s="936">
        <v>3</v>
      </c>
      <c r="F9" s="1145" t="s">
        <v>160</v>
      </c>
      <c r="G9" s="626">
        <v>107</v>
      </c>
      <c r="H9" s="1153">
        <f t="shared" si="3"/>
        <v>107</v>
      </c>
      <c r="I9" s="852"/>
      <c r="J9" s="1317">
        <v>12</v>
      </c>
      <c r="K9" s="1317">
        <v>10</v>
      </c>
      <c r="L9" s="1317">
        <v>10.5</v>
      </c>
      <c r="M9" s="1317">
        <v>13</v>
      </c>
      <c r="N9" s="1317">
        <v>11.5</v>
      </c>
      <c r="O9" s="1317">
        <v>15</v>
      </c>
      <c r="P9" s="1317">
        <v>3</v>
      </c>
      <c r="Q9" s="1317">
        <v>12.5</v>
      </c>
      <c r="R9" s="1317">
        <v>6.5</v>
      </c>
      <c r="S9" s="1317">
        <v>13</v>
      </c>
      <c r="T9" s="977">
        <f t="shared" si="4"/>
        <v>1</v>
      </c>
      <c r="U9" s="977">
        <f t="shared" si="8"/>
        <v>107</v>
      </c>
      <c r="V9" s="179" t="str">
        <f t="shared" si="5"/>
        <v>edasi 3</v>
      </c>
      <c r="W9" s="1357">
        <v>9</v>
      </c>
      <c r="X9" s="185">
        <f t="shared" si="6"/>
        <v>10</v>
      </c>
      <c r="Y9" s="185">
        <v>4</v>
      </c>
      <c r="Z9" s="185">
        <f t="shared" si="7"/>
        <v>1</v>
      </c>
    </row>
    <row r="10" spans="1:26" x14ac:dyDescent="0.2">
      <c r="A10" s="1105" t="s">
        <v>408</v>
      </c>
      <c r="B10" s="1106" t="str">
        <f t="shared" si="0"/>
        <v/>
      </c>
      <c r="C10" s="1107">
        <f t="shared" si="1"/>
        <v>0</v>
      </c>
      <c r="D10" s="1104">
        <f t="shared" si="2"/>
        <v>4</v>
      </c>
      <c r="E10" s="936">
        <v>4</v>
      </c>
      <c r="F10" s="1352" t="s">
        <v>166</v>
      </c>
      <c r="G10" s="626">
        <v>104</v>
      </c>
      <c r="H10" s="1153">
        <f t="shared" si="3"/>
        <v>104</v>
      </c>
      <c r="I10" s="852"/>
      <c r="J10" s="1317"/>
      <c r="K10" s="1317"/>
      <c r="L10" s="1317">
        <v>15</v>
      </c>
      <c r="M10" s="1317">
        <v>9.5</v>
      </c>
      <c r="N10" s="1317">
        <v>18</v>
      </c>
      <c r="O10" s="1317">
        <v>12</v>
      </c>
      <c r="P10" s="1317">
        <v>6.5</v>
      </c>
      <c r="Q10" s="1317">
        <v>18</v>
      </c>
      <c r="R10" s="1317">
        <v>15</v>
      </c>
      <c r="S10" s="1317">
        <v>10</v>
      </c>
      <c r="T10" s="977">
        <f t="shared" si="4"/>
        <v>1</v>
      </c>
      <c r="U10" s="977">
        <f t="shared" si="8"/>
        <v>104</v>
      </c>
      <c r="V10" s="179" t="str">
        <f t="shared" si="5"/>
        <v>edasi 4</v>
      </c>
      <c r="W10" s="1359">
        <v>1</v>
      </c>
      <c r="X10" s="185">
        <f t="shared" si="6"/>
        <v>8</v>
      </c>
      <c r="Y10" s="185">
        <v>4</v>
      </c>
      <c r="Z10" s="185">
        <f t="shared" si="7"/>
        <v>4</v>
      </c>
    </row>
    <row r="11" spans="1:26" x14ac:dyDescent="0.2">
      <c r="A11" s="1105" t="s">
        <v>408</v>
      </c>
      <c r="B11" s="1106" t="str">
        <f t="shared" si="0"/>
        <v/>
      </c>
      <c r="C11" s="1107">
        <f t="shared" si="1"/>
        <v>0</v>
      </c>
      <c r="D11" s="1104">
        <f t="shared" si="2"/>
        <v>5</v>
      </c>
      <c r="E11" s="936">
        <v>5</v>
      </c>
      <c r="F11" s="1145" t="s">
        <v>161</v>
      </c>
      <c r="G11" s="626">
        <v>99.5</v>
      </c>
      <c r="H11" s="1153">
        <f t="shared" si="3"/>
        <v>99.5</v>
      </c>
      <c r="I11" s="852"/>
      <c r="J11" s="1317"/>
      <c r="K11" s="1317"/>
      <c r="L11" s="1318">
        <v>13.5</v>
      </c>
      <c r="M11" s="1317">
        <v>12</v>
      </c>
      <c r="N11" s="1317">
        <v>16</v>
      </c>
      <c r="O11" s="1317">
        <v>11</v>
      </c>
      <c r="P11" s="1317">
        <v>10</v>
      </c>
      <c r="Q11" s="1317">
        <v>12.5</v>
      </c>
      <c r="R11" s="1317">
        <v>13</v>
      </c>
      <c r="S11" s="1317">
        <v>11.5</v>
      </c>
      <c r="T11" s="977">
        <f t="shared" si="4"/>
        <v>1</v>
      </c>
      <c r="U11" s="977">
        <f t="shared" si="8"/>
        <v>99.5</v>
      </c>
      <c r="V11" s="179" t="str">
        <f t="shared" si="5"/>
        <v>edasi 5</v>
      </c>
      <c r="W11" s="1357"/>
      <c r="X11" s="185">
        <f t="shared" si="6"/>
        <v>8</v>
      </c>
      <c r="Y11" s="185">
        <v>4</v>
      </c>
      <c r="Z11" s="185">
        <f t="shared" si="7"/>
        <v>0</v>
      </c>
    </row>
    <row r="12" spans="1:26" x14ac:dyDescent="0.2">
      <c r="A12" s="1105" t="s">
        <v>408</v>
      </c>
      <c r="B12" s="1106" t="str">
        <f t="shared" si="0"/>
        <v/>
      </c>
      <c r="C12" s="1107">
        <f t="shared" si="1"/>
        <v>0</v>
      </c>
      <c r="D12" s="1104">
        <f t="shared" si="2"/>
        <v>5</v>
      </c>
      <c r="E12" s="936">
        <v>5</v>
      </c>
      <c r="F12" s="1144" t="s">
        <v>182</v>
      </c>
      <c r="G12" s="626">
        <v>99.5</v>
      </c>
      <c r="H12" s="1153">
        <f t="shared" si="3"/>
        <v>99.5</v>
      </c>
      <c r="I12" s="852"/>
      <c r="J12" s="1317"/>
      <c r="K12" s="1317"/>
      <c r="L12" s="1318">
        <v>13.5</v>
      </c>
      <c r="M12" s="1317">
        <v>12</v>
      </c>
      <c r="N12" s="1317">
        <v>16</v>
      </c>
      <c r="O12" s="1317">
        <v>11</v>
      </c>
      <c r="P12" s="1317">
        <v>10</v>
      </c>
      <c r="Q12" s="1317">
        <v>12.5</v>
      </c>
      <c r="R12" s="1317">
        <v>13</v>
      </c>
      <c r="S12" s="1317">
        <v>11.5</v>
      </c>
      <c r="T12" s="977">
        <f t="shared" si="4"/>
        <v>1</v>
      </c>
      <c r="U12" s="977">
        <f t="shared" si="8"/>
        <v>99.5</v>
      </c>
      <c r="V12" s="179" t="str">
        <f t="shared" si="5"/>
        <v>edasi 5</v>
      </c>
      <c r="W12" s="1357">
        <v>4</v>
      </c>
      <c r="X12" s="185">
        <f t="shared" si="6"/>
        <v>8</v>
      </c>
      <c r="Y12" s="185">
        <v>4</v>
      </c>
      <c r="Z12" s="185">
        <f t="shared" si="7"/>
        <v>0</v>
      </c>
    </row>
    <row r="13" spans="1:26" x14ac:dyDescent="0.2">
      <c r="A13" s="608" t="s">
        <v>408</v>
      </c>
      <c r="B13" s="624" t="str">
        <f t="shared" si="0"/>
        <v/>
      </c>
      <c r="C13" s="623">
        <f t="shared" si="1"/>
        <v>0</v>
      </c>
      <c r="D13" s="976">
        <f t="shared" si="2"/>
        <v>7</v>
      </c>
      <c r="E13" s="627">
        <v>7</v>
      </c>
      <c r="F13" s="184" t="s">
        <v>159</v>
      </c>
      <c r="G13" s="626">
        <v>97</v>
      </c>
      <c r="H13" s="1153">
        <f t="shared" si="3"/>
        <v>97</v>
      </c>
      <c r="I13" s="852"/>
      <c r="J13" s="1317">
        <v>12</v>
      </c>
      <c r="K13" s="1317">
        <v>10</v>
      </c>
      <c r="L13" s="1317">
        <v>10.5</v>
      </c>
      <c r="M13" s="1317">
        <v>13</v>
      </c>
      <c r="N13" s="1317">
        <v>11.5</v>
      </c>
      <c r="O13" s="1317">
        <v>15</v>
      </c>
      <c r="P13" s="1317">
        <v>3</v>
      </c>
      <c r="Q13" s="1317">
        <v>12.5</v>
      </c>
      <c r="R13" s="1317">
        <v>6.5</v>
      </c>
      <c r="S13" s="1317">
        <v>3</v>
      </c>
      <c r="T13" s="977">
        <f t="shared" si="4"/>
        <v>1</v>
      </c>
      <c r="U13" s="977">
        <f t="shared" si="8"/>
        <v>97</v>
      </c>
      <c r="V13" s="179" t="str">
        <f t="shared" si="5"/>
        <v>edasi 7</v>
      </c>
      <c r="W13" s="1357">
        <v>6</v>
      </c>
      <c r="X13" s="185">
        <f t="shared" si="6"/>
        <v>10</v>
      </c>
      <c r="Y13" s="185">
        <v>3</v>
      </c>
      <c r="Z13" s="185">
        <f t="shared" si="7"/>
        <v>1</v>
      </c>
    </row>
    <row r="14" spans="1:26" x14ac:dyDescent="0.2">
      <c r="A14" s="608" t="s">
        <v>408</v>
      </c>
      <c r="B14" s="624" t="str">
        <f t="shared" si="0"/>
        <v/>
      </c>
      <c r="C14" s="623">
        <f t="shared" si="1"/>
        <v>0</v>
      </c>
      <c r="D14" s="976">
        <f t="shared" si="2"/>
        <v>8</v>
      </c>
      <c r="E14" s="627">
        <v>8</v>
      </c>
      <c r="F14" s="545" t="s">
        <v>176</v>
      </c>
      <c r="G14" s="626">
        <v>93</v>
      </c>
      <c r="H14" s="1153">
        <f t="shared" si="3"/>
        <v>93</v>
      </c>
      <c r="I14" s="852"/>
      <c r="J14" s="1317"/>
      <c r="K14" s="1317">
        <v>10</v>
      </c>
      <c r="L14" s="1319">
        <v>13.5</v>
      </c>
      <c r="M14" s="1317">
        <v>6</v>
      </c>
      <c r="N14" s="1317">
        <v>11.5</v>
      </c>
      <c r="O14" s="1317"/>
      <c r="P14" s="1317">
        <v>14</v>
      </c>
      <c r="Q14" s="1317">
        <v>12.5</v>
      </c>
      <c r="R14" s="1317">
        <v>11.5</v>
      </c>
      <c r="S14" s="1317">
        <v>14</v>
      </c>
      <c r="T14" s="977">
        <f t="shared" si="4"/>
        <v>1</v>
      </c>
      <c r="U14" s="977">
        <f t="shared" si="8"/>
        <v>93</v>
      </c>
      <c r="V14" s="179" t="str">
        <f t="shared" si="5"/>
        <v>edasi 8</v>
      </c>
      <c r="W14" s="1357">
        <v>10</v>
      </c>
      <c r="X14" s="185">
        <f t="shared" si="6"/>
        <v>8</v>
      </c>
      <c r="Y14" s="185">
        <v>3</v>
      </c>
      <c r="Z14" s="185">
        <f t="shared" si="7"/>
        <v>1</v>
      </c>
    </row>
    <row r="15" spans="1:26" x14ac:dyDescent="0.2">
      <c r="A15" s="608" t="s">
        <v>408</v>
      </c>
      <c r="B15" s="624" t="str">
        <f t="shared" si="0"/>
        <v/>
      </c>
      <c r="C15" s="623">
        <f t="shared" si="1"/>
        <v>0</v>
      </c>
      <c r="D15" s="976">
        <f t="shared" si="2"/>
        <v>9</v>
      </c>
      <c r="E15" s="627">
        <v>9</v>
      </c>
      <c r="F15" s="1283" t="s">
        <v>156</v>
      </c>
      <c r="G15" s="626">
        <v>92.5</v>
      </c>
      <c r="H15" s="1153">
        <f t="shared" si="3"/>
        <v>92.5</v>
      </c>
      <c r="I15" s="852"/>
      <c r="J15" s="1317">
        <v>13</v>
      </c>
      <c r="K15" s="1317">
        <v>13</v>
      </c>
      <c r="L15" s="1317">
        <v>10.5</v>
      </c>
      <c r="M15" s="1317">
        <v>15</v>
      </c>
      <c r="N15" s="1317"/>
      <c r="O15" s="1317">
        <v>13</v>
      </c>
      <c r="P15" s="1317">
        <v>8</v>
      </c>
      <c r="Q15" s="1317">
        <v>6</v>
      </c>
      <c r="R15" s="1317">
        <v>14</v>
      </c>
      <c r="S15" s="1317"/>
      <c r="T15" s="977">
        <f t="shared" si="4"/>
        <v>1</v>
      </c>
      <c r="U15" s="977">
        <f t="shared" si="8"/>
        <v>92.5</v>
      </c>
      <c r="V15" s="179" t="str">
        <f t="shared" si="5"/>
        <v>edasi 9</v>
      </c>
      <c r="W15" s="1360">
        <v>3</v>
      </c>
      <c r="X15" s="185">
        <f t="shared" si="6"/>
        <v>8</v>
      </c>
      <c r="Y15" s="185">
        <v>5</v>
      </c>
      <c r="Z15" s="185">
        <f t="shared" si="7"/>
        <v>2</v>
      </c>
    </row>
    <row r="16" spans="1:26" x14ac:dyDescent="0.2">
      <c r="A16" s="608" t="s">
        <v>408</v>
      </c>
      <c r="B16" s="624" t="str">
        <f t="shared" si="0"/>
        <v/>
      </c>
      <c r="C16" s="623">
        <f t="shared" si="1"/>
        <v>0</v>
      </c>
      <c r="D16" s="976">
        <f t="shared" si="2"/>
        <v>10</v>
      </c>
      <c r="E16" s="627">
        <v>10</v>
      </c>
      <c r="F16" s="543" t="s">
        <v>313</v>
      </c>
      <c r="G16" s="626">
        <v>76.5</v>
      </c>
      <c r="H16" s="1153">
        <f t="shared" si="3"/>
        <v>76.5</v>
      </c>
      <c r="I16" s="852"/>
      <c r="J16" s="1318">
        <v>8.5</v>
      </c>
      <c r="K16" s="1317">
        <v>2</v>
      </c>
      <c r="L16" s="1317">
        <v>6</v>
      </c>
      <c r="M16" s="1317">
        <v>14</v>
      </c>
      <c r="N16" s="1317">
        <v>13.5</v>
      </c>
      <c r="O16" s="1317"/>
      <c r="P16" s="1317"/>
      <c r="Q16" s="1317">
        <v>17</v>
      </c>
      <c r="R16" s="1317">
        <v>6.5</v>
      </c>
      <c r="S16" s="1317">
        <v>9</v>
      </c>
      <c r="T16" s="977">
        <f t="shared" si="4"/>
        <v>1</v>
      </c>
      <c r="U16" s="977">
        <f t="shared" si="8"/>
        <v>76.5</v>
      </c>
      <c r="V16" s="179" t="str">
        <f t="shared" si="5"/>
        <v>edasi 10</v>
      </c>
      <c r="W16" s="1357">
        <v>27</v>
      </c>
      <c r="X16" s="185">
        <f t="shared" si="6"/>
        <v>8</v>
      </c>
      <c r="Y16" s="185">
        <v>3</v>
      </c>
      <c r="Z16" s="185">
        <f t="shared" si="7"/>
        <v>0</v>
      </c>
    </row>
    <row r="17" spans="1:26" x14ac:dyDescent="0.2">
      <c r="A17" s="608" t="s">
        <v>408</v>
      </c>
      <c r="B17" s="624" t="str">
        <f t="shared" si="0"/>
        <v/>
      </c>
      <c r="C17" s="623">
        <f t="shared" si="1"/>
        <v>0</v>
      </c>
      <c r="D17" s="976">
        <f t="shared" si="2"/>
        <v>10</v>
      </c>
      <c r="E17" s="627">
        <v>10</v>
      </c>
      <c r="F17" s="542" t="s">
        <v>314</v>
      </c>
      <c r="G17" s="626">
        <v>76.5</v>
      </c>
      <c r="H17" s="1153">
        <f t="shared" si="3"/>
        <v>76.5</v>
      </c>
      <c r="I17" s="852"/>
      <c r="J17" s="1318">
        <v>8.5</v>
      </c>
      <c r="K17" s="1317">
        <v>2</v>
      </c>
      <c r="L17" s="1317">
        <v>6</v>
      </c>
      <c r="M17" s="1317">
        <v>14</v>
      </c>
      <c r="N17" s="1317">
        <v>13.5</v>
      </c>
      <c r="O17" s="1317"/>
      <c r="P17" s="1317"/>
      <c r="Q17" s="1317">
        <v>17</v>
      </c>
      <c r="R17" s="1317">
        <v>6.5</v>
      </c>
      <c r="S17" s="1317">
        <v>9</v>
      </c>
      <c r="T17" s="977">
        <f t="shared" si="4"/>
        <v>1</v>
      </c>
      <c r="U17" s="977">
        <f t="shared" si="8"/>
        <v>76.5</v>
      </c>
      <c r="V17" s="179" t="str">
        <f t="shared" si="5"/>
        <v>edasi 10</v>
      </c>
      <c r="W17" s="1357">
        <v>5</v>
      </c>
      <c r="X17" s="185">
        <f t="shared" si="6"/>
        <v>8</v>
      </c>
      <c r="Y17" s="185">
        <v>3</v>
      </c>
      <c r="Z17" s="185">
        <f t="shared" si="7"/>
        <v>0</v>
      </c>
    </row>
    <row r="18" spans="1:26" x14ac:dyDescent="0.2">
      <c r="A18" s="608" t="s">
        <v>408</v>
      </c>
      <c r="B18" s="624" t="str">
        <f t="shared" si="0"/>
        <v/>
      </c>
      <c r="C18" s="623">
        <f t="shared" si="1"/>
        <v>0</v>
      </c>
      <c r="D18" s="976">
        <f t="shared" si="2"/>
        <v>12</v>
      </c>
      <c r="E18" s="627">
        <v>12</v>
      </c>
      <c r="F18" s="543" t="s">
        <v>178</v>
      </c>
      <c r="G18" s="626">
        <v>76</v>
      </c>
      <c r="H18" s="1153">
        <f t="shared" si="3"/>
        <v>76</v>
      </c>
      <c r="I18" s="852"/>
      <c r="J18" s="1317">
        <v>8.5</v>
      </c>
      <c r="K18" s="1317"/>
      <c r="L18" s="1317">
        <v>7</v>
      </c>
      <c r="M18" s="1317"/>
      <c r="N18" s="1317">
        <v>16</v>
      </c>
      <c r="O18" s="1317">
        <v>14</v>
      </c>
      <c r="P18" s="1317">
        <v>13</v>
      </c>
      <c r="Q18" s="1317">
        <v>12.5</v>
      </c>
      <c r="R18" s="1317">
        <v>5</v>
      </c>
      <c r="S18" s="1317"/>
      <c r="T18" s="977">
        <f t="shared" si="4"/>
        <v>1</v>
      </c>
      <c r="U18" s="977">
        <f t="shared" si="8"/>
        <v>76</v>
      </c>
      <c r="V18" s="179" t="str">
        <f t="shared" si="5"/>
        <v>edasi 12</v>
      </c>
      <c r="W18" s="1357">
        <v>18</v>
      </c>
      <c r="X18" s="185">
        <f t="shared" si="6"/>
        <v>7</v>
      </c>
      <c r="Y18" s="185">
        <v>3</v>
      </c>
      <c r="Z18" s="185">
        <f t="shared" si="7"/>
        <v>0</v>
      </c>
    </row>
    <row r="19" spans="1:26" x14ac:dyDescent="0.2">
      <c r="A19" s="608" t="s">
        <v>408</v>
      </c>
      <c r="B19" s="624" t="str">
        <f t="shared" si="0"/>
        <v/>
      </c>
      <c r="C19" s="623">
        <f t="shared" si="1"/>
        <v>0</v>
      </c>
      <c r="D19" s="976">
        <f t="shared" si="2"/>
        <v>12</v>
      </c>
      <c r="E19" s="627">
        <v>12</v>
      </c>
      <c r="F19" s="184" t="s">
        <v>163</v>
      </c>
      <c r="G19" s="626">
        <v>76</v>
      </c>
      <c r="H19" s="1153">
        <f t="shared" si="3"/>
        <v>76</v>
      </c>
      <c r="I19" s="852"/>
      <c r="J19" s="1317">
        <v>8.5</v>
      </c>
      <c r="K19" s="1317"/>
      <c r="L19" s="1317">
        <v>7</v>
      </c>
      <c r="M19" s="1317"/>
      <c r="N19" s="1317">
        <v>16</v>
      </c>
      <c r="O19" s="1317">
        <v>14</v>
      </c>
      <c r="P19" s="1317">
        <v>13</v>
      </c>
      <c r="Q19" s="1317">
        <v>12.5</v>
      </c>
      <c r="R19" s="1317">
        <v>5</v>
      </c>
      <c r="S19" s="1317"/>
      <c r="T19" s="977">
        <f t="shared" si="4"/>
        <v>1</v>
      </c>
      <c r="U19" s="977">
        <f t="shared" si="8"/>
        <v>76</v>
      </c>
      <c r="V19" s="179" t="str">
        <f t="shared" si="5"/>
        <v>edasi 12</v>
      </c>
      <c r="W19" s="1357"/>
      <c r="X19" s="185">
        <f t="shared" si="6"/>
        <v>7</v>
      </c>
      <c r="Y19" s="185">
        <v>3</v>
      </c>
      <c r="Z19" s="185">
        <f t="shared" si="7"/>
        <v>0</v>
      </c>
    </row>
    <row r="20" spans="1:26" x14ac:dyDescent="0.2">
      <c r="A20" s="608" t="s">
        <v>408</v>
      </c>
      <c r="B20" s="624" t="str">
        <f t="shared" si="0"/>
        <v/>
      </c>
      <c r="C20" s="623">
        <f t="shared" si="1"/>
        <v>0</v>
      </c>
      <c r="D20" s="976">
        <f t="shared" si="2"/>
        <v>14</v>
      </c>
      <c r="E20" s="627">
        <v>14</v>
      </c>
      <c r="F20" s="542" t="s">
        <v>183</v>
      </c>
      <c r="G20" s="626">
        <v>74</v>
      </c>
      <c r="H20" s="1153">
        <f t="shared" si="3"/>
        <v>74</v>
      </c>
      <c r="I20" s="852"/>
      <c r="J20" s="1317">
        <v>8.5</v>
      </c>
      <c r="K20" s="1317">
        <v>10</v>
      </c>
      <c r="L20" s="1317">
        <v>1</v>
      </c>
      <c r="M20" s="1317">
        <v>11</v>
      </c>
      <c r="N20" s="1317">
        <v>9</v>
      </c>
      <c r="O20" s="1317">
        <v>5</v>
      </c>
      <c r="P20" s="1317">
        <v>11.5</v>
      </c>
      <c r="Q20" s="1317"/>
      <c r="R20" s="1317">
        <v>14</v>
      </c>
      <c r="S20" s="1317">
        <v>4</v>
      </c>
      <c r="T20" s="977">
        <f t="shared" si="4"/>
        <v>1</v>
      </c>
      <c r="U20" s="977">
        <f t="shared" si="8"/>
        <v>74</v>
      </c>
      <c r="V20" s="179" t="str">
        <f t="shared" si="5"/>
        <v>edasi 14</v>
      </c>
      <c r="W20" s="1357">
        <v>14</v>
      </c>
      <c r="X20" s="185">
        <f t="shared" si="6"/>
        <v>9</v>
      </c>
      <c r="Y20" s="185">
        <v>1</v>
      </c>
      <c r="Z20" s="185">
        <f t="shared" si="7"/>
        <v>0</v>
      </c>
    </row>
    <row r="21" spans="1:26" x14ac:dyDescent="0.2">
      <c r="A21" s="608" t="s">
        <v>408</v>
      </c>
      <c r="B21" s="624" t="str">
        <f t="shared" si="0"/>
        <v/>
      </c>
      <c r="C21" s="623">
        <f t="shared" si="1"/>
        <v>0</v>
      </c>
      <c r="D21" s="976">
        <f t="shared" si="2"/>
        <v>15</v>
      </c>
      <c r="E21" s="627">
        <v>15</v>
      </c>
      <c r="F21" s="544" t="s">
        <v>347</v>
      </c>
      <c r="G21" s="626">
        <v>70.5</v>
      </c>
      <c r="H21" s="1153">
        <f t="shared" si="3"/>
        <v>70.5</v>
      </c>
      <c r="I21" s="852"/>
      <c r="J21" s="1317">
        <v>13</v>
      </c>
      <c r="K21" s="1317">
        <v>13</v>
      </c>
      <c r="L21" s="1317">
        <v>10.5</v>
      </c>
      <c r="M21" s="1317">
        <v>15</v>
      </c>
      <c r="N21" s="1317"/>
      <c r="O21" s="1317">
        <v>13</v>
      </c>
      <c r="P21" s="1317"/>
      <c r="Q21" s="1317">
        <v>6</v>
      </c>
      <c r="R21" s="1317"/>
      <c r="S21" s="1317"/>
      <c r="T21" s="977">
        <f t="shared" si="4"/>
        <v>1</v>
      </c>
      <c r="U21" s="977">
        <f t="shared" si="8"/>
        <v>70.5</v>
      </c>
      <c r="V21" s="179" t="str">
        <f t="shared" si="5"/>
        <v>edasi 15</v>
      </c>
      <c r="W21" s="1357"/>
      <c r="X21" s="185">
        <f t="shared" si="6"/>
        <v>6</v>
      </c>
      <c r="Y21" s="185">
        <v>4</v>
      </c>
      <c r="Z21" s="185">
        <f t="shared" si="7"/>
        <v>2</v>
      </c>
    </row>
    <row r="22" spans="1:26" x14ac:dyDescent="0.2">
      <c r="A22" s="608">
        <v>2</v>
      </c>
      <c r="B22" s="624">
        <f t="shared" si="0"/>
        <v>2</v>
      </c>
      <c r="C22" s="623">
        <f t="shared" si="1"/>
        <v>10068.5</v>
      </c>
      <c r="D22" s="976">
        <f t="shared" si="2"/>
        <v>16</v>
      </c>
      <c r="E22" s="627">
        <v>16</v>
      </c>
      <c r="F22" s="595" t="s">
        <v>404</v>
      </c>
      <c r="G22" s="626">
        <v>68.5</v>
      </c>
      <c r="H22" s="1153">
        <f t="shared" si="3"/>
        <v>68.5</v>
      </c>
      <c r="I22" s="852" t="s">
        <v>406</v>
      </c>
      <c r="J22" s="1317">
        <v>5</v>
      </c>
      <c r="K22" s="1317">
        <v>15</v>
      </c>
      <c r="L22" s="1317">
        <v>5</v>
      </c>
      <c r="M22" s="1317">
        <v>9.5</v>
      </c>
      <c r="N22" s="1317">
        <v>10</v>
      </c>
      <c r="O22" s="1317">
        <v>3.5</v>
      </c>
      <c r="P22" s="1317">
        <v>6.5</v>
      </c>
      <c r="Q22" s="1317">
        <v>6</v>
      </c>
      <c r="R22" s="1317">
        <v>2</v>
      </c>
      <c r="S22" s="1317">
        <v>6</v>
      </c>
      <c r="T22" s="977">
        <f t="shared" si="4"/>
        <v>1</v>
      </c>
      <c r="U22" s="977">
        <f t="shared" si="8"/>
        <v>68.5</v>
      </c>
      <c r="V22" s="179" t="str">
        <f t="shared" si="5"/>
        <v>edasi 16</v>
      </c>
      <c r="W22" s="1349">
        <v>26</v>
      </c>
      <c r="X22" s="185">
        <f t="shared" si="6"/>
        <v>10</v>
      </c>
      <c r="Y22" s="185">
        <v>1</v>
      </c>
      <c r="Z22" s="185">
        <f t="shared" si="7"/>
        <v>1</v>
      </c>
    </row>
    <row r="23" spans="1:26" x14ac:dyDescent="0.2">
      <c r="A23" s="608" t="s">
        <v>408</v>
      </c>
      <c r="B23" s="624" t="str">
        <f t="shared" si="0"/>
        <v/>
      </c>
      <c r="C23" s="623">
        <f t="shared" si="1"/>
        <v>0</v>
      </c>
      <c r="D23" s="976">
        <f t="shared" si="2"/>
        <v>17</v>
      </c>
      <c r="E23" s="627">
        <v>17</v>
      </c>
      <c r="F23" s="542" t="s">
        <v>164</v>
      </c>
      <c r="G23" s="626">
        <v>63.5</v>
      </c>
      <c r="H23" s="1153">
        <f t="shared" si="3"/>
        <v>63.5</v>
      </c>
      <c r="I23" s="852"/>
      <c r="J23" s="1317"/>
      <c r="K23" s="1317">
        <v>10</v>
      </c>
      <c r="L23" s="1317">
        <v>8</v>
      </c>
      <c r="M23" s="1317"/>
      <c r="N23" s="1317">
        <v>13.5</v>
      </c>
      <c r="O23" s="1317"/>
      <c r="P23" s="1317"/>
      <c r="Q23" s="1317">
        <v>15.5</v>
      </c>
      <c r="R23" s="1317">
        <v>11.5</v>
      </c>
      <c r="S23" s="1317">
        <v>5</v>
      </c>
      <c r="T23" s="977">
        <f t="shared" si="4"/>
        <v>1</v>
      </c>
      <c r="U23" s="977">
        <f t="shared" si="8"/>
        <v>63.5</v>
      </c>
      <c r="V23" s="179" t="str">
        <f t="shared" si="5"/>
        <v>edasi 17</v>
      </c>
      <c r="W23" s="1357">
        <v>7</v>
      </c>
      <c r="X23" s="185">
        <f t="shared" si="6"/>
        <v>6</v>
      </c>
      <c r="Y23" s="185">
        <v>1</v>
      </c>
      <c r="Z23" s="185">
        <f t="shared" si="7"/>
        <v>0</v>
      </c>
    </row>
    <row r="24" spans="1:26" x14ac:dyDescent="0.2">
      <c r="A24" s="608" t="s">
        <v>408</v>
      </c>
      <c r="B24" s="624" t="str">
        <f t="shared" si="0"/>
        <v/>
      </c>
      <c r="C24" s="623">
        <f t="shared" si="1"/>
        <v>0</v>
      </c>
      <c r="D24" s="976">
        <f t="shared" si="2"/>
        <v>17</v>
      </c>
      <c r="E24" s="627">
        <v>17</v>
      </c>
      <c r="F24" s="542" t="s">
        <v>174</v>
      </c>
      <c r="G24" s="626">
        <v>63.5</v>
      </c>
      <c r="H24" s="1153">
        <f t="shared" si="3"/>
        <v>63.5</v>
      </c>
      <c r="I24" s="852"/>
      <c r="J24" s="1317"/>
      <c r="K24" s="1317"/>
      <c r="L24" s="1317"/>
      <c r="M24" s="1317"/>
      <c r="N24" s="1317">
        <v>11.5</v>
      </c>
      <c r="O24" s="1317"/>
      <c r="P24" s="1317">
        <v>14</v>
      </c>
      <c r="Q24" s="1317">
        <v>12.5</v>
      </c>
      <c r="R24" s="1317">
        <v>11.5</v>
      </c>
      <c r="S24" s="1317">
        <v>14</v>
      </c>
      <c r="T24" s="977">
        <f t="shared" si="4"/>
        <v>1</v>
      </c>
      <c r="U24" s="977">
        <f t="shared" si="8"/>
        <v>63.5</v>
      </c>
      <c r="V24" s="179" t="str">
        <f t="shared" si="5"/>
        <v>edasi 17</v>
      </c>
      <c r="W24" s="1357"/>
      <c r="X24" s="187">
        <f t="shared" si="6"/>
        <v>5</v>
      </c>
      <c r="Y24" s="185">
        <v>2</v>
      </c>
      <c r="Z24" s="185">
        <f t="shared" si="7"/>
        <v>1</v>
      </c>
    </row>
    <row r="25" spans="1:26" x14ac:dyDescent="0.2">
      <c r="A25" s="608">
        <v>3</v>
      </c>
      <c r="B25" s="624">
        <f t="shared" si="0"/>
        <v>3</v>
      </c>
      <c r="C25" s="623">
        <f t="shared" si="1"/>
        <v>10060</v>
      </c>
      <c r="D25" s="976">
        <f t="shared" si="2"/>
        <v>19</v>
      </c>
      <c r="E25" s="627">
        <v>19</v>
      </c>
      <c r="F25" s="594" t="s">
        <v>350</v>
      </c>
      <c r="G25" s="626">
        <v>60</v>
      </c>
      <c r="H25" s="1153">
        <f t="shared" si="3"/>
        <v>60</v>
      </c>
      <c r="I25" s="852" t="s">
        <v>406</v>
      </c>
      <c r="J25" s="1317">
        <v>5</v>
      </c>
      <c r="K25" s="1317">
        <v>15</v>
      </c>
      <c r="L25" s="1317">
        <v>5</v>
      </c>
      <c r="M25" s="1317">
        <v>9.5</v>
      </c>
      <c r="N25" s="1317">
        <v>10</v>
      </c>
      <c r="O25" s="1317">
        <v>3.5</v>
      </c>
      <c r="P25" s="1317">
        <v>4</v>
      </c>
      <c r="Q25" s="1317">
        <v>6</v>
      </c>
      <c r="R25" s="1317">
        <v>2</v>
      </c>
      <c r="S25" s="1317"/>
      <c r="T25" s="977">
        <f t="shared" si="4"/>
        <v>1</v>
      </c>
      <c r="U25" s="977">
        <f t="shared" si="8"/>
        <v>60</v>
      </c>
      <c r="V25" s="179" t="str">
        <f t="shared" si="5"/>
        <v>edasi 19</v>
      </c>
      <c r="W25" s="1349"/>
      <c r="X25" s="185">
        <f t="shared" si="6"/>
        <v>9</v>
      </c>
      <c r="Y25" s="185">
        <v>1</v>
      </c>
      <c r="Z25" s="185">
        <f t="shared" si="7"/>
        <v>1</v>
      </c>
    </row>
    <row r="26" spans="1:26" x14ac:dyDescent="0.2">
      <c r="A26" s="608">
        <v>4</v>
      </c>
      <c r="B26" s="624">
        <f t="shared" si="0"/>
        <v>4</v>
      </c>
      <c r="C26" s="623">
        <f t="shared" si="1"/>
        <v>10053.5</v>
      </c>
      <c r="D26" s="976">
        <f t="shared" si="2"/>
        <v>20</v>
      </c>
      <c r="E26" s="627">
        <v>20</v>
      </c>
      <c r="F26" s="595" t="s">
        <v>354</v>
      </c>
      <c r="G26" s="626">
        <v>53.5</v>
      </c>
      <c r="H26" s="1153">
        <f t="shared" si="3"/>
        <v>53.5</v>
      </c>
      <c r="I26" s="852" t="s">
        <v>406</v>
      </c>
      <c r="J26" s="1317">
        <v>3.5</v>
      </c>
      <c r="K26" s="1317">
        <v>3.5</v>
      </c>
      <c r="L26" s="1317">
        <v>4</v>
      </c>
      <c r="M26" s="1317">
        <v>4</v>
      </c>
      <c r="N26" s="1317">
        <v>4</v>
      </c>
      <c r="O26" s="1317">
        <v>9.5</v>
      </c>
      <c r="P26" s="1317">
        <v>5</v>
      </c>
      <c r="Q26" s="1317">
        <v>10</v>
      </c>
      <c r="R26" s="1317">
        <v>9</v>
      </c>
      <c r="S26" s="1317">
        <v>1</v>
      </c>
      <c r="T26" s="977">
        <f t="shared" si="4"/>
        <v>1</v>
      </c>
      <c r="U26" s="977">
        <f t="shared" si="8"/>
        <v>53.5</v>
      </c>
      <c r="V26" s="179" t="str">
        <f t="shared" si="5"/>
        <v>edasi 20</v>
      </c>
      <c r="W26" s="1349">
        <v>15</v>
      </c>
      <c r="X26" s="185">
        <f t="shared" si="6"/>
        <v>10</v>
      </c>
      <c r="Y26" s="185"/>
      <c r="Z26" s="185">
        <f t="shared" si="7"/>
        <v>0</v>
      </c>
    </row>
    <row r="27" spans="1:26" x14ac:dyDescent="0.2">
      <c r="A27" s="608" t="s">
        <v>408</v>
      </c>
      <c r="B27" s="624" t="str">
        <f t="shared" si="0"/>
        <v/>
      </c>
      <c r="C27" s="623">
        <f t="shared" si="1"/>
        <v>0</v>
      </c>
      <c r="D27" s="976">
        <f t="shared" si="2"/>
        <v>21</v>
      </c>
      <c r="E27" s="627">
        <v>21</v>
      </c>
      <c r="F27" s="186" t="s">
        <v>170</v>
      </c>
      <c r="G27" s="626">
        <v>50</v>
      </c>
      <c r="H27" s="1153">
        <f t="shared" si="3"/>
        <v>50</v>
      </c>
      <c r="I27" s="852"/>
      <c r="J27" s="1317">
        <v>8.5</v>
      </c>
      <c r="K27" s="1317"/>
      <c r="L27" s="1317">
        <v>10.5</v>
      </c>
      <c r="M27" s="1317">
        <v>8</v>
      </c>
      <c r="N27" s="1317">
        <v>6</v>
      </c>
      <c r="O27" s="1317">
        <v>9.5</v>
      </c>
      <c r="P27" s="1317"/>
      <c r="Q27" s="1317"/>
      <c r="R27" s="1317"/>
      <c r="S27" s="1317">
        <v>7.5</v>
      </c>
      <c r="T27" s="977">
        <f t="shared" si="4"/>
        <v>1</v>
      </c>
      <c r="U27" s="977">
        <f t="shared" si="8"/>
        <v>50</v>
      </c>
      <c r="V27" s="179" t="str">
        <f t="shared" si="5"/>
        <v>edasi 21</v>
      </c>
      <c r="W27" s="1357">
        <v>11</v>
      </c>
      <c r="X27" s="185">
        <f t="shared" si="6"/>
        <v>6</v>
      </c>
      <c r="Y27" s="185"/>
      <c r="Z27" s="185">
        <f t="shared" si="7"/>
        <v>0</v>
      </c>
    </row>
    <row r="28" spans="1:26" x14ac:dyDescent="0.2">
      <c r="A28" s="608" t="s">
        <v>408</v>
      </c>
      <c r="B28" s="624" t="str">
        <f t="shared" si="0"/>
        <v/>
      </c>
      <c r="C28" s="623">
        <f t="shared" si="1"/>
        <v>0</v>
      </c>
      <c r="D28" s="976">
        <f t="shared" si="2"/>
        <v>22</v>
      </c>
      <c r="E28" s="627">
        <v>22</v>
      </c>
      <c r="F28" s="543" t="s">
        <v>332</v>
      </c>
      <c r="G28" s="626">
        <v>48</v>
      </c>
      <c r="H28" s="1153">
        <f t="shared" si="3"/>
        <v>48</v>
      </c>
      <c r="I28" s="852"/>
      <c r="J28" s="1317">
        <v>8.5</v>
      </c>
      <c r="K28" s="1317">
        <v>10</v>
      </c>
      <c r="L28" s="1317"/>
      <c r="M28" s="1317"/>
      <c r="N28" s="1317">
        <v>9</v>
      </c>
      <c r="O28" s="1317">
        <v>5</v>
      </c>
      <c r="P28" s="1317">
        <v>11.5</v>
      </c>
      <c r="Q28" s="1317"/>
      <c r="R28" s="1317"/>
      <c r="S28" s="1317">
        <v>4</v>
      </c>
      <c r="T28" s="977">
        <f t="shared" si="4"/>
        <v>1</v>
      </c>
      <c r="U28" s="977">
        <f t="shared" si="8"/>
        <v>48</v>
      </c>
      <c r="V28" s="179" t="str">
        <f t="shared" si="5"/>
        <v>edasi 22</v>
      </c>
      <c r="W28" s="1357">
        <v>13</v>
      </c>
      <c r="X28" s="185">
        <f t="shared" si="6"/>
        <v>6</v>
      </c>
      <c r="Y28" s="185"/>
      <c r="Z28" s="185">
        <f t="shared" si="7"/>
        <v>0</v>
      </c>
    </row>
    <row r="29" spans="1:26" x14ac:dyDescent="0.2">
      <c r="A29" s="608" t="s">
        <v>408</v>
      </c>
      <c r="B29" s="624" t="str">
        <f t="shared" si="0"/>
        <v/>
      </c>
      <c r="C29" s="623">
        <f t="shared" si="1"/>
        <v>0</v>
      </c>
      <c r="D29" s="976">
        <f t="shared" si="2"/>
        <v>22</v>
      </c>
      <c r="E29" s="627">
        <v>22</v>
      </c>
      <c r="F29" s="542" t="s">
        <v>167</v>
      </c>
      <c r="G29" s="626">
        <v>48</v>
      </c>
      <c r="H29" s="1153">
        <f t="shared" si="3"/>
        <v>48</v>
      </c>
      <c r="I29" s="852"/>
      <c r="J29" s="1317"/>
      <c r="K29" s="1317"/>
      <c r="L29" s="1317"/>
      <c r="M29" s="1317"/>
      <c r="N29" s="1317">
        <v>6</v>
      </c>
      <c r="O29" s="1317">
        <v>9.5</v>
      </c>
      <c r="P29" s="1317">
        <v>9</v>
      </c>
      <c r="Q29" s="1317">
        <v>8</v>
      </c>
      <c r="R29" s="1317">
        <v>8</v>
      </c>
      <c r="S29" s="1317">
        <v>7.5</v>
      </c>
      <c r="T29" s="977">
        <f t="shared" si="4"/>
        <v>1</v>
      </c>
      <c r="U29" s="977">
        <f t="shared" si="8"/>
        <v>48</v>
      </c>
      <c r="V29" s="179" t="str">
        <f t="shared" si="5"/>
        <v>edasi 22</v>
      </c>
      <c r="W29" s="1357">
        <v>17</v>
      </c>
      <c r="X29" s="187">
        <f t="shared" si="6"/>
        <v>6</v>
      </c>
      <c r="Y29" s="185"/>
      <c r="Z29" s="185">
        <f t="shared" si="7"/>
        <v>0</v>
      </c>
    </row>
    <row r="30" spans="1:26" x14ac:dyDescent="0.2">
      <c r="A30" s="608">
        <v>5</v>
      </c>
      <c r="B30" s="624">
        <f t="shared" si="0"/>
        <v>5</v>
      </c>
      <c r="C30" s="623">
        <f t="shared" si="1"/>
        <v>10047</v>
      </c>
      <c r="D30" s="976">
        <f t="shared" si="2"/>
        <v>24</v>
      </c>
      <c r="E30" s="627">
        <v>24</v>
      </c>
      <c r="F30" s="595" t="s">
        <v>355</v>
      </c>
      <c r="G30" s="626">
        <v>47</v>
      </c>
      <c r="H30" s="1153">
        <f t="shared" si="3"/>
        <v>47</v>
      </c>
      <c r="I30" s="852" t="s">
        <v>406</v>
      </c>
      <c r="J30" s="1317">
        <v>1.5</v>
      </c>
      <c r="K30" s="1317">
        <v>3.5</v>
      </c>
      <c r="L30" s="1317">
        <v>10.5</v>
      </c>
      <c r="M30" s="1317"/>
      <c r="N30" s="1317"/>
      <c r="O30" s="1317">
        <v>8</v>
      </c>
      <c r="P30" s="1317">
        <v>15</v>
      </c>
      <c r="Q30" s="1317"/>
      <c r="R30" s="1317">
        <v>1</v>
      </c>
      <c r="S30" s="1317">
        <v>7.5</v>
      </c>
      <c r="T30" s="977">
        <f t="shared" si="4"/>
        <v>1</v>
      </c>
      <c r="U30" s="977">
        <f t="shared" si="8"/>
        <v>47</v>
      </c>
      <c r="V30" s="179" t="str">
        <f t="shared" si="5"/>
        <v>edasi 24</v>
      </c>
      <c r="W30" s="1349">
        <v>27</v>
      </c>
      <c r="X30" s="185">
        <f t="shared" si="6"/>
        <v>7</v>
      </c>
      <c r="Y30" s="185">
        <v>1</v>
      </c>
      <c r="Z30" s="185">
        <f t="shared" si="7"/>
        <v>1</v>
      </c>
    </row>
    <row r="31" spans="1:26" x14ac:dyDescent="0.2">
      <c r="A31" s="608">
        <v>6</v>
      </c>
      <c r="B31" s="624">
        <f t="shared" si="0"/>
        <v>6</v>
      </c>
      <c r="C31" s="623">
        <f t="shared" si="1"/>
        <v>10045</v>
      </c>
      <c r="D31" s="976">
        <f t="shared" si="2"/>
        <v>25</v>
      </c>
      <c r="E31" s="627">
        <v>25</v>
      </c>
      <c r="F31" s="595" t="s">
        <v>397</v>
      </c>
      <c r="G31" s="626">
        <v>45</v>
      </c>
      <c r="H31" s="1153">
        <f t="shared" si="3"/>
        <v>45</v>
      </c>
      <c r="I31" s="852" t="s">
        <v>406</v>
      </c>
      <c r="J31" s="1317"/>
      <c r="K31" s="1317">
        <v>6.5</v>
      </c>
      <c r="L31" s="1317"/>
      <c r="M31" s="1317">
        <v>2</v>
      </c>
      <c r="N31" s="1317"/>
      <c r="O31" s="1317">
        <v>6</v>
      </c>
      <c r="P31" s="1317"/>
      <c r="Q31" s="1317">
        <v>10</v>
      </c>
      <c r="R31" s="1317">
        <v>9</v>
      </c>
      <c r="S31" s="1317">
        <v>11.5</v>
      </c>
      <c r="T31" s="977">
        <f t="shared" si="4"/>
        <v>1</v>
      </c>
      <c r="U31" s="977">
        <f t="shared" si="8"/>
        <v>45</v>
      </c>
      <c r="V31" s="179" t="str">
        <f t="shared" si="5"/>
        <v>edasi 25</v>
      </c>
      <c r="W31" s="1349">
        <v>21</v>
      </c>
      <c r="X31" s="185">
        <f t="shared" si="6"/>
        <v>6</v>
      </c>
      <c r="Y31" s="185">
        <v>1</v>
      </c>
      <c r="Z31" s="185">
        <f t="shared" si="7"/>
        <v>0</v>
      </c>
    </row>
    <row r="32" spans="1:26" x14ac:dyDescent="0.2">
      <c r="A32" s="608">
        <v>7</v>
      </c>
      <c r="B32" s="624">
        <f t="shared" si="0"/>
        <v>7</v>
      </c>
      <c r="C32" s="623">
        <f t="shared" si="1"/>
        <v>10043</v>
      </c>
      <c r="D32" s="976">
        <f t="shared" si="2"/>
        <v>26</v>
      </c>
      <c r="E32" s="627">
        <v>26</v>
      </c>
      <c r="F32" s="594" t="s">
        <v>348</v>
      </c>
      <c r="G32" s="626">
        <v>43</v>
      </c>
      <c r="H32" s="1153">
        <f t="shared" si="3"/>
        <v>43</v>
      </c>
      <c r="I32" s="852" t="s">
        <v>406</v>
      </c>
      <c r="J32" s="1317">
        <v>8.5</v>
      </c>
      <c r="K32" s="1317">
        <v>5</v>
      </c>
      <c r="L32" s="1317">
        <v>2.5</v>
      </c>
      <c r="M32" s="1317">
        <v>2</v>
      </c>
      <c r="N32" s="1317">
        <v>13.5</v>
      </c>
      <c r="O32" s="1317">
        <v>1.5</v>
      </c>
      <c r="P32" s="1317">
        <v>1</v>
      </c>
      <c r="Q32" s="1317">
        <v>4</v>
      </c>
      <c r="R32" s="1317">
        <v>3</v>
      </c>
      <c r="S32" s="1317">
        <v>2</v>
      </c>
      <c r="T32" s="977">
        <f t="shared" si="4"/>
        <v>1</v>
      </c>
      <c r="U32" s="977">
        <f t="shared" si="8"/>
        <v>43</v>
      </c>
      <c r="V32" s="179" t="str">
        <f t="shared" si="5"/>
        <v>edasi 26</v>
      </c>
      <c r="W32" s="1349">
        <v>30</v>
      </c>
      <c r="X32" s="185">
        <f t="shared" si="6"/>
        <v>10</v>
      </c>
      <c r="Y32" s="185"/>
      <c r="Z32" s="185">
        <f t="shared" si="7"/>
        <v>0</v>
      </c>
    </row>
    <row r="33" spans="1:26" x14ac:dyDescent="0.2">
      <c r="A33" s="608" t="s">
        <v>408</v>
      </c>
      <c r="B33" s="624" t="str">
        <f t="shared" si="0"/>
        <v/>
      </c>
      <c r="C33" s="623">
        <f t="shared" si="1"/>
        <v>0</v>
      </c>
      <c r="D33" s="976">
        <f t="shared" si="2"/>
        <v>26</v>
      </c>
      <c r="E33" s="627">
        <v>26</v>
      </c>
      <c r="F33" s="542" t="s">
        <v>175</v>
      </c>
      <c r="G33" s="626">
        <v>43</v>
      </c>
      <c r="H33" s="1153">
        <f t="shared" si="3"/>
        <v>43</v>
      </c>
      <c r="I33" s="852"/>
      <c r="J33" s="1317"/>
      <c r="K33" s="1317"/>
      <c r="L33" s="1317"/>
      <c r="M33" s="1317"/>
      <c r="N33" s="1317">
        <v>5</v>
      </c>
      <c r="O33" s="1317"/>
      <c r="P33" s="1317">
        <v>9</v>
      </c>
      <c r="Q33" s="1317">
        <v>8</v>
      </c>
      <c r="R33" s="1317">
        <v>8</v>
      </c>
      <c r="S33" s="1317">
        <v>13</v>
      </c>
      <c r="T33" s="977">
        <f t="shared" si="4"/>
        <v>1</v>
      </c>
      <c r="U33" s="977">
        <f t="shared" si="8"/>
        <v>43</v>
      </c>
      <c r="V33" s="179" t="str">
        <f t="shared" si="5"/>
        <v>edasi 26</v>
      </c>
      <c r="W33" s="1357"/>
      <c r="X33" s="187">
        <f t="shared" si="6"/>
        <v>5</v>
      </c>
      <c r="Y33" s="185">
        <v>1</v>
      </c>
      <c r="Z33" s="185">
        <f t="shared" si="7"/>
        <v>0</v>
      </c>
    </row>
    <row r="34" spans="1:26" x14ac:dyDescent="0.2">
      <c r="A34" s="608" t="s">
        <v>408</v>
      </c>
      <c r="B34" s="624" t="str">
        <f t="shared" si="0"/>
        <v/>
      </c>
      <c r="C34" s="623">
        <f t="shared" si="1"/>
        <v>0</v>
      </c>
      <c r="D34" s="976">
        <f t="shared" si="2"/>
        <v>28</v>
      </c>
      <c r="E34" s="627">
        <v>28</v>
      </c>
      <c r="F34" s="621" t="s">
        <v>171</v>
      </c>
      <c r="G34" s="626">
        <v>41.5</v>
      </c>
      <c r="H34" s="1153">
        <f t="shared" si="3"/>
        <v>41.5</v>
      </c>
      <c r="I34" s="852"/>
      <c r="J34" s="1317"/>
      <c r="K34" s="1317">
        <v>10</v>
      </c>
      <c r="L34" s="1317">
        <v>8</v>
      </c>
      <c r="M34" s="1317"/>
      <c r="N34" s="1317">
        <v>8</v>
      </c>
      <c r="O34" s="1317"/>
      <c r="P34" s="1317"/>
      <c r="Q34" s="1317">
        <v>15.5</v>
      </c>
      <c r="R34" s="1317"/>
      <c r="S34" s="1317"/>
      <c r="T34" s="977">
        <f t="shared" si="4"/>
        <v>1</v>
      </c>
      <c r="U34" s="977">
        <f t="shared" si="8"/>
        <v>41.5</v>
      </c>
      <c r="V34" s="179" t="str">
        <f t="shared" si="5"/>
        <v>edasi 28</v>
      </c>
      <c r="W34" s="1357"/>
      <c r="X34" s="185">
        <f t="shared" si="6"/>
        <v>4</v>
      </c>
      <c r="Y34" s="185">
        <v>1</v>
      </c>
      <c r="Z34" s="185">
        <f t="shared" si="7"/>
        <v>0</v>
      </c>
    </row>
    <row r="35" spans="1:26" x14ac:dyDescent="0.2">
      <c r="A35" s="608" t="s">
        <v>408</v>
      </c>
      <c r="B35" s="624" t="str">
        <f t="shared" si="0"/>
        <v/>
      </c>
      <c r="C35" s="623">
        <f t="shared" si="1"/>
        <v>0</v>
      </c>
      <c r="D35" s="976">
        <f t="shared" si="2"/>
        <v>29</v>
      </c>
      <c r="E35" s="627">
        <v>29</v>
      </c>
      <c r="F35" s="545" t="s">
        <v>168</v>
      </c>
      <c r="G35" s="626">
        <v>39</v>
      </c>
      <c r="H35" s="1153">
        <f t="shared" si="3"/>
        <v>39</v>
      </c>
      <c r="I35" s="852"/>
      <c r="J35" s="1317">
        <v>8.5</v>
      </c>
      <c r="K35" s="1317"/>
      <c r="L35" s="1317">
        <v>10.5</v>
      </c>
      <c r="M35" s="1317">
        <v>8</v>
      </c>
      <c r="N35" s="1317">
        <v>5</v>
      </c>
      <c r="O35" s="1317"/>
      <c r="P35" s="1317">
        <v>2</v>
      </c>
      <c r="Q35" s="1317">
        <v>1</v>
      </c>
      <c r="R35" s="1317">
        <v>4</v>
      </c>
      <c r="S35" s="1317"/>
      <c r="T35" s="977">
        <f t="shared" si="4"/>
        <v>1</v>
      </c>
      <c r="U35" s="977">
        <f t="shared" si="8"/>
        <v>39</v>
      </c>
      <c r="V35" s="179" t="str">
        <f t="shared" si="5"/>
        <v>edasi 29</v>
      </c>
      <c r="W35" s="1357"/>
      <c r="X35" s="185">
        <f t="shared" si="6"/>
        <v>7</v>
      </c>
      <c r="Y35" s="185"/>
      <c r="Z35" s="185">
        <f t="shared" si="7"/>
        <v>0</v>
      </c>
    </row>
    <row r="36" spans="1:26" x14ac:dyDescent="0.2">
      <c r="A36" s="608" t="s">
        <v>408</v>
      </c>
      <c r="B36" s="624" t="str">
        <f t="shared" si="0"/>
        <v/>
      </c>
      <c r="C36" s="623">
        <f t="shared" si="1"/>
        <v>0</v>
      </c>
      <c r="D36" s="976">
        <f t="shared" si="2"/>
        <v>30</v>
      </c>
      <c r="E36" s="627">
        <v>30</v>
      </c>
      <c r="F36" s="184" t="s">
        <v>169</v>
      </c>
      <c r="G36" s="626">
        <v>38.5</v>
      </c>
      <c r="H36" s="1153">
        <f t="shared" si="3"/>
        <v>38.5</v>
      </c>
      <c r="I36" s="852"/>
      <c r="J36" s="1317"/>
      <c r="K36" s="1317">
        <v>10</v>
      </c>
      <c r="L36" s="1317"/>
      <c r="M36" s="1317">
        <v>7</v>
      </c>
      <c r="N36" s="1317"/>
      <c r="O36" s="1317">
        <v>7</v>
      </c>
      <c r="P36" s="1317"/>
      <c r="Q36" s="1317">
        <v>3</v>
      </c>
      <c r="R36" s="1317">
        <v>11.5</v>
      </c>
      <c r="S36" s="1317"/>
      <c r="T36" s="977">
        <f t="shared" si="4"/>
        <v>1</v>
      </c>
      <c r="U36" s="977">
        <f t="shared" si="8"/>
        <v>38.5</v>
      </c>
      <c r="V36" s="179" t="str">
        <f t="shared" si="5"/>
        <v>edasi 30</v>
      </c>
      <c r="W36" s="1357">
        <v>16</v>
      </c>
      <c r="X36" s="185">
        <f t="shared" si="6"/>
        <v>5</v>
      </c>
      <c r="Y36" s="185"/>
      <c r="Z36" s="185">
        <f t="shared" si="7"/>
        <v>0</v>
      </c>
    </row>
    <row r="37" spans="1:26" x14ac:dyDescent="0.2">
      <c r="A37" s="608">
        <v>8</v>
      </c>
      <c r="B37" s="624">
        <f t="shared" si="0"/>
        <v>8</v>
      </c>
      <c r="C37" s="623">
        <f t="shared" si="1"/>
        <v>10037</v>
      </c>
      <c r="D37" s="976">
        <f t="shared" si="2"/>
        <v>31</v>
      </c>
      <c r="E37" s="627">
        <v>31</v>
      </c>
      <c r="F37" s="595" t="s">
        <v>614</v>
      </c>
      <c r="G37" s="626">
        <v>37</v>
      </c>
      <c r="H37" s="1153">
        <f t="shared" si="3"/>
        <v>37</v>
      </c>
      <c r="I37" s="852" t="s">
        <v>406</v>
      </c>
      <c r="J37" s="1317"/>
      <c r="K37" s="1317"/>
      <c r="L37" s="1317"/>
      <c r="M37" s="1317"/>
      <c r="N37" s="1317"/>
      <c r="O37" s="1317"/>
      <c r="P37" s="1317"/>
      <c r="Q37" s="1317">
        <v>15.5</v>
      </c>
      <c r="R37" s="1317">
        <v>10</v>
      </c>
      <c r="S37" s="1317">
        <v>11.5</v>
      </c>
      <c r="T37" s="977">
        <f t="shared" si="4"/>
        <v>1</v>
      </c>
      <c r="U37" s="977">
        <f t="shared" si="8"/>
        <v>37</v>
      </c>
      <c r="V37" s="179" t="str">
        <f t="shared" si="5"/>
        <v>edasi 31</v>
      </c>
      <c r="W37" s="1349">
        <v>8</v>
      </c>
      <c r="X37" s="187">
        <f t="shared" si="6"/>
        <v>3</v>
      </c>
      <c r="Y37" s="185">
        <v>2</v>
      </c>
      <c r="Z37" s="185">
        <f t="shared" si="7"/>
        <v>0</v>
      </c>
    </row>
    <row r="38" spans="1:26" x14ac:dyDescent="0.2">
      <c r="A38" s="608">
        <v>8</v>
      </c>
      <c r="B38" s="624">
        <f t="shared" si="0"/>
        <v>8</v>
      </c>
      <c r="C38" s="623">
        <f t="shared" si="1"/>
        <v>10037</v>
      </c>
      <c r="D38" s="976">
        <f t="shared" si="2"/>
        <v>31</v>
      </c>
      <c r="E38" s="627">
        <v>31</v>
      </c>
      <c r="F38" s="596" t="s">
        <v>351</v>
      </c>
      <c r="G38" s="626">
        <v>37</v>
      </c>
      <c r="H38" s="1153">
        <f t="shared" si="3"/>
        <v>37</v>
      </c>
      <c r="I38" s="852" t="s">
        <v>406</v>
      </c>
      <c r="J38" s="1317">
        <v>3.5</v>
      </c>
      <c r="K38" s="1317"/>
      <c r="L38" s="1317">
        <v>2.5</v>
      </c>
      <c r="M38" s="1317">
        <v>5</v>
      </c>
      <c r="N38" s="1317">
        <v>7</v>
      </c>
      <c r="O38" s="1317">
        <v>1.5</v>
      </c>
      <c r="P38" s="1317">
        <v>11.5</v>
      </c>
      <c r="Q38" s="1317">
        <v>2</v>
      </c>
      <c r="R38" s="1317">
        <v>1</v>
      </c>
      <c r="S38" s="1317">
        <v>3</v>
      </c>
      <c r="T38" s="977">
        <f t="shared" si="4"/>
        <v>1</v>
      </c>
      <c r="U38" s="977">
        <f t="shared" si="8"/>
        <v>37</v>
      </c>
      <c r="V38" s="179" t="str">
        <f t="shared" si="5"/>
        <v>edasi 31</v>
      </c>
      <c r="W38" s="1349">
        <v>19</v>
      </c>
      <c r="X38" s="185">
        <f t="shared" si="6"/>
        <v>9</v>
      </c>
      <c r="Y38" s="185"/>
      <c r="Z38" s="185">
        <f t="shared" si="7"/>
        <v>0</v>
      </c>
    </row>
    <row r="39" spans="1:26" x14ac:dyDescent="0.2">
      <c r="A39" s="608">
        <v>10</v>
      </c>
      <c r="B39" s="624">
        <f t="shared" ref="B39:B70" si="9">IF(I39="k",RANK(C39,C$7:C$72,0),"")</f>
        <v>10</v>
      </c>
      <c r="C39" s="623">
        <f t="shared" ref="C39:C72" si="10">IF((I39="k"),H39+10000,0)</f>
        <v>10034.5</v>
      </c>
      <c r="D39" s="976">
        <f t="shared" ref="D39:D72" si="11">RANK(H39,H$7:H$72,0)</f>
        <v>33</v>
      </c>
      <c r="E39" s="627">
        <v>33</v>
      </c>
      <c r="F39" s="594" t="s">
        <v>353</v>
      </c>
      <c r="G39" s="626">
        <v>34.5</v>
      </c>
      <c r="H39" s="1153">
        <f t="shared" ref="H39:H72" si="12">SUM(J39:S39)</f>
        <v>34.5</v>
      </c>
      <c r="I39" s="852" t="s">
        <v>406</v>
      </c>
      <c r="J39" s="1317">
        <v>3.5</v>
      </c>
      <c r="K39" s="1317">
        <v>3.5</v>
      </c>
      <c r="L39" s="1317">
        <v>4</v>
      </c>
      <c r="M39" s="1317">
        <v>4</v>
      </c>
      <c r="N39" s="1317">
        <v>4</v>
      </c>
      <c r="O39" s="1317">
        <v>9.5</v>
      </c>
      <c r="P39" s="1317">
        <v>5</v>
      </c>
      <c r="Q39" s="1317"/>
      <c r="R39" s="1317"/>
      <c r="S39" s="1317">
        <v>1</v>
      </c>
      <c r="T39" s="977">
        <f t="shared" ref="T39:T70" si="13">IF(COUNTIF(J39:S39,"&gt;0")&gt;=3,1,0)</f>
        <v>1</v>
      </c>
      <c r="U39" s="977">
        <f t="shared" si="8"/>
        <v>34.5</v>
      </c>
      <c r="V39" s="179" t="str">
        <f t="shared" ref="V39:V70" si="14">IFERROR("edasi "&amp;RANK(U39,U$7:U$72,0),E39)</f>
        <v>edasi 33</v>
      </c>
      <c r="W39" s="1349">
        <v>22</v>
      </c>
      <c r="X39" s="185">
        <f t="shared" ref="X39:X72" si="15">COUNTIF(J39:S39,"&gt;=0")</f>
        <v>8</v>
      </c>
      <c r="Y39" s="185"/>
      <c r="Z39" s="185">
        <f t="shared" ref="Z39:Z72" si="16">IF(J39=0,0,IF(J39=IFERROR(LARGE(J$9:J$72,1),0),1,0))+IF(K39=0,0,IF(K39=IFERROR(LARGE(K$9:K$72,1),0),1,0))+IF(L39=0,0,IF(L39=IFERROR(LARGE(L$9:L$72,1),0),1,0))+IF(M39=0,0,IF(M39=IFERROR(LARGE(M$9:M$72,1),0),1,0))+IF(N39=0,0,IF(N39=IFERROR(LARGE(N$9:N$72,1),0),1,0))+IF(O39=0,0,IF(O39=IFERROR(LARGE(O$9:O$72,1),0),1,0))+IF(P39=0,0,IF(P39=IFERROR(LARGE(P$9:P$72,1),0),1,0))+IF(Q39=0,0,IF(Q39=IFERROR(LARGE(Q$9:Q$72,1),0),1,0))+IF(R39=0,0,IF(R39=IFERROR(LARGE(R$9:R$72,1),0),1,0))+IF(S39=0,0,IF(S39=IFERROR(LARGE(S$9:S$72,1),0),1,0))</f>
        <v>0</v>
      </c>
    </row>
    <row r="40" spans="1:26" x14ac:dyDescent="0.2">
      <c r="A40" s="608">
        <v>11</v>
      </c>
      <c r="B40" s="624">
        <f t="shared" si="9"/>
        <v>11</v>
      </c>
      <c r="C40" s="623">
        <f t="shared" si="10"/>
        <v>10029.5</v>
      </c>
      <c r="D40" s="976">
        <f t="shared" si="11"/>
        <v>34</v>
      </c>
      <c r="E40" s="627">
        <v>34</v>
      </c>
      <c r="F40" s="622" t="s">
        <v>436</v>
      </c>
      <c r="G40" s="626">
        <v>29.5</v>
      </c>
      <c r="H40" s="1153">
        <f t="shared" si="12"/>
        <v>29.5</v>
      </c>
      <c r="I40" s="852" t="s">
        <v>406</v>
      </c>
      <c r="J40" s="1317"/>
      <c r="K40" s="1317"/>
      <c r="L40" s="1317">
        <v>2.5</v>
      </c>
      <c r="M40" s="1317">
        <v>5</v>
      </c>
      <c r="N40" s="1317">
        <v>7</v>
      </c>
      <c r="O40" s="1317">
        <v>1.5</v>
      </c>
      <c r="P40" s="1317">
        <v>11.5</v>
      </c>
      <c r="Q40" s="1317">
        <v>2</v>
      </c>
      <c r="R40" s="1317"/>
      <c r="S40" s="1317"/>
      <c r="T40" s="977">
        <f t="shared" si="13"/>
        <v>1</v>
      </c>
      <c r="U40" s="977">
        <f t="shared" ref="U40:U71" si="17">IF(T40=1,H40,"")</f>
        <v>29.5</v>
      </c>
      <c r="V40" s="179" t="str">
        <f t="shared" si="14"/>
        <v>edasi 34</v>
      </c>
      <c r="W40" s="1349">
        <v>31</v>
      </c>
      <c r="X40" s="185">
        <f t="shared" si="15"/>
        <v>6</v>
      </c>
      <c r="Y40" s="185"/>
      <c r="Z40" s="185">
        <f t="shared" si="16"/>
        <v>0</v>
      </c>
    </row>
    <row r="41" spans="1:26" x14ac:dyDescent="0.2">
      <c r="A41" s="608">
        <v>12</v>
      </c>
      <c r="B41" s="624">
        <f t="shared" si="9"/>
        <v>12</v>
      </c>
      <c r="C41" s="623">
        <f t="shared" si="10"/>
        <v>10028</v>
      </c>
      <c r="D41" s="976">
        <f t="shared" si="11"/>
        <v>35</v>
      </c>
      <c r="E41" s="627">
        <v>35</v>
      </c>
      <c r="F41" s="594" t="s">
        <v>349</v>
      </c>
      <c r="G41" s="626">
        <v>28</v>
      </c>
      <c r="H41" s="1153">
        <f t="shared" si="12"/>
        <v>28</v>
      </c>
      <c r="I41" s="852" t="s">
        <v>406</v>
      </c>
      <c r="J41" s="1317">
        <v>8.5</v>
      </c>
      <c r="K41" s="1317">
        <v>5</v>
      </c>
      <c r="L41" s="1317"/>
      <c r="M41" s="1317"/>
      <c r="N41" s="1317"/>
      <c r="O41" s="1317">
        <v>1.5</v>
      </c>
      <c r="P41" s="1317">
        <v>4</v>
      </c>
      <c r="Q41" s="1317">
        <v>4</v>
      </c>
      <c r="R41" s="1317">
        <v>3</v>
      </c>
      <c r="S41" s="1317">
        <v>2</v>
      </c>
      <c r="T41" s="977">
        <f t="shared" si="13"/>
        <v>1</v>
      </c>
      <c r="U41" s="977">
        <f t="shared" si="17"/>
        <v>28</v>
      </c>
      <c r="V41" s="179" t="str">
        <f t="shared" si="14"/>
        <v>edasi 35</v>
      </c>
      <c r="W41" s="1349">
        <v>29</v>
      </c>
      <c r="X41" s="185">
        <f t="shared" si="15"/>
        <v>7</v>
      </c>
      <c r="Y41" s="185"/>
      <c r="Z41" s="185">
        <f t="shared" si="16"/>
        <v>0</v>
      </c>
    </row>
    <row r="42" spans="1:26" x14ac:dyDescent="0.2">
      <c r="A42" s="608" t="s">
        <v>408</v>
      </c>
      <c r="B42" s="624" t="str">
        <f t="shared" si="9"/>
        <v/>
      </c>
      <c r="C42" s="623">
        <f t="shared" si="10"/>
        <v>0</v>
      </c>
      <c r="D42" s="976">
        <f t="shared" si="11"/>
        <v>36</v>
      </c>
      <c r="E42" s="627">
        <v>36</v>
      </c>
      <c r="F42" s="184" t="s">
        <v>158</v>
      </c>
      <c r="G42" s="626">
        <v>18.5</v>
      </c>
      <c r="H42" s="1153">
        <f t="shared" si="12"/>
        <v>18.5</v>
      </c>
      <c r="I42" s="852"/>
      <c r="J42" s="1317">
        <v>8.5</v>
      </c>
      <c r="K42" s="1317">
        <v>10</v>
      </c>
      <c r="L42" s="1317"/>
      <c r="M42" s="1317"/>
      <c r="N42" s="1317"/>
      <c r="O42" s="1317"/>
      <c r="P42" s="1317"/>
      <c r="Q42" s="1317"/>
      <c r="R42" s="1317"/>
      <c r="S42" s="1317"/>
      <c r="T42" s="977">
        <f t="shared" si="13"/>
        <v>0</v>
      </c>
      <c r="U42" s="977" t="str">
        <f t="shared" si="17"/>
        <v/>
      </c>
      <c r="V42" s="179">
        <f t="shared" si="14"/>
        <v>36</v>
      </c>
      <c r="W42" s="1357"/>
      <c r="X42" s="185">
        <f t="shared" si="15"/>
        <v>2</v>
      </c>
      <c r="Y42" s="185"/>
      <c r="Z42" s="185">
        <f t="shared" si="16"/>
        <v>0</v>
      </c>
    </row>
    <row r="43" spans="1:26" x14ac:dyDescent="0.2">
      <c r="A43" s="608" t="s">
        <v>408</v>
      </c>
      <c r="B43" s="624" t="str">
        <f t="shared" si="9"/>
        <v/>
      </c>
      <c r="C43" s="623">
        <f t="shared" si="10"/>
        <v>0</v>
      </c>
      <c r="D43" s="976">
        <f t="shared" si="11"/>
        <v>37</v>
      </c>
      <c r="E43" s="627">
        <v>37</v>
      </c>
      <c r="F43" s="545" t="s">
        <v>173</v>
      </c>
      <c r="G43" s="626">
        <v>17</v>
      </c>
      <c r="H43" s="1153">
        <f t="shared" si="12"/>
        <v>17</v>
      </c>
      <c r="I43" s="852"/>
      <c r="J43" s="1317"/>
      <c r="K43" s="1317"/>
      <c r="L43" s="1317"/>
      <c r="M43" s="1317">
        <v>7</v>
      </c>
      <c r="N43" s="1317"/>
      <c r="O43" s="1317">
        <v>7</v>
      </c>
      <c r="P43" s="1317"/>
      <c r="Q43" s="1317">
        <v>3</v>
      </c>
      <c r="R43" s="1317"/>
      <c r="S43" s="1317"/>
      <c r="T43" s="977">
        <f t="shared" si="13"/>
        <v>1</v>
      </c>
      <c r="U43" s="977">
        <f t="shared" si="17"/>
        <v>17</v>
      </c>
      <c r="V43" s="179" t="str">
        <f t="shared" si="14"/>
        <v>edasi 36</v>
      </c>
      <c r="W43" s="1357">
        <v>19</v>
      </c>
      <c r="X43" s="185">
        <f t="shared" si="15"/>
        <v>3</v>
      </c>
      <c r="Y43" s="185"/>
      <c r="Z43" s="185">
        <f t="shared" si="16"/>
        <v>0</v>
      </c>
    </row>
    <row r="44" spans="1:26" x14ac:dyDescent="0.2">
      <c r="A44" s="608" t="s">
        <v>408</v>
      </c>
      <c r="B44" s="624" t="str">
        <f t="shared" si="9"/>
        <v/>
      </c>
      <c r="C44" s="623">
        <f t="shared" si="10"/>
        <v>0</v>
      </c>
      <c r="D44" s="976">
        <f t="shared" si="11"/>
        <v>38</v>
      </c>
      <c r="E44" s="627">
        <v>38</v>
      </c>
      <c r="F44" s="483" t="s">
        <v>547</v>
      </c>
      <c r="G44" s="626">
        <v>16</v>
      </c>
      <c r="H44" s="1153">
        <f t="shared" si="12"/>
        <v>16</v>
      </c>
      <c r="I44" s="852"/>
      <c r="J44" s="1317"/>
      <c r="K44" s="1317"/>
      <c r="L44" s="1317"/>
      <c r="M44" s="1317"/>
      <c r="N44" s="1317">
        <v>16</v>
      </c>
      <c r="O44" s="1317"/>
      <c r="P44" s="1317"/>
      <c r="Q44" s="1317"/>
      <c r="R44" s="1317"/>
      <c r="S44" s="1317"/>
      <c r="T44" s="977">
        <f t="shared" si="13"/>
        <v>0</v>
      </c>
      <c r="U44" s="977" t="str">
        <f t="shared" si="17"/>
        <v/>
      </c>
      <c r="V44" s="179">
        <f t="shared" si="14"/>
        <v>38</v>
      </c>
      <c r="W44" s="1357"/>
      <c r="X44" s="187">
        <f t="shared" si="15"/>
        <v>1</v>
      </c>
      <c r="Y44" s="185">
        <v>1</v>
      </c>
      <c r="Z44" s="185">
        <f t="shared" si="16"/>
        <v>0</v>
      </c>
    </row>
    <row r="45" spans="1:26" x14ac:dyDescent="0.2">
      <c r="A45" s="608" t="s">
        <v>408</v>
      </c>
      <c r="B45" s="624" t="str">
        <f t="shared" si="9"/>
        <v/>
      </c>
      <c r="C45" s="623">
        <f t="shared" si="10"/>
        <v>0</v>
      </c>
      <c r="D45" s="976">
        <f t="shared" si="11"/>
        <v>39</v>
      </c>
      <c r="E45" s="627">
        <v>39</v>
      </c>
      <c r="F45" s="543" t="s">
        <v>184</v>
      </c>
      <c r="G45" s="626">
        <v>15.5</v>
      </c>
      <c r="H45" s="1153">
        <f t="shared" si="12"/>
        <v>15.5</v>
      </c>
      <c r="I45" s="852"/>
      <c r="J45" s="1317">
        <v>1.5</v>
      </c>
      <c r="K45" s="1317">
        <v>3.5</v>
      </c>
      <c r="L45" s="1317">
        <v>10.5</v>
      </c>
      <c r="M45" s="1317"/>
      <c r="N45" s="1317"/>
      <c r="O45" s="1317"/>
      <c r="P45" s="1317"/>
      <c r="Q45" s="1317"/>
      <c r="R45" s="1317"/>
      <c r="S45" s="1317"/>
      <c r="T45" s="977">
        <f t="shared" si="13"/>
        <v>1</v>
      </c>
      <c r="U45" s="977">
        <f t="shared" si="17"/>
        <v>15.5</v>
      </c>
      <c r="V45" s="179" t="str">
        <f t="shared" si="14"/>
        <v>edasi 37</v>
      </c>
      <c r="W45" s="1357">
        <v>23</v>
      </c>
      <c r="X45" s="185">
        <f t="shared" si="15"/>
        <v>3</v>
      </c>
      <c r="Y45" s="185"/>
      <c r="Z45" s="185">
        <f t="shared" si="16"/>
        <v>0</v>
      </c>
    </row>
    <row r="46" spans="1:26" x14ac:dyDescent="0.2">
      <c r="A46" s="608" t="s">
        <v>408</v>
      </c>
      <c r="B46" s="624" t="str">
        <f t="shared" si="9"/>
        <v/>
      </c>
      <c r="C46" s="623">
        <f t="shared" si="10"/>
        <v>0</v>
      </c>
      <c r="D46" s="976">
        <f t="shared" si="11"/>
        <v>39</v>
      </c>
      <c r="E46" s="627">
        <v>39</v>
      </c>
      <c r="F46" s="543" t="s">
        <v>387</v>
      </c>
      <c r="G46" s="626">
        <v>15.5</v>
      </c>
      <c r="H46" s="1153">
        <f t="shared" si="12"/>
        <v>15.5</v>
      </c>
      <c r="I46" s="852"/>
      <c r="J46" s="1317"/>
      <c r="K46" s="1317"/>
      <c r="L46" s="1317"/>
      <c r="M46" s="1317">
        <v>3</v>
      </c>
      <c r="N46" s="1317"/>
      <c r="O46" s="1317">
        <v>3.5</v>
      </c>
      <c r="P46" s="1317"/>
      <c r="Q46" s="1317">
        <v>9</v>
      </c>
      <c r="R46" s="1317"/>
      <c r="S46" s="1317"/>
      <c r="T46" s="977">
        <f t="shared" si="13"/>
        <v>1</v>
      </c>
      <c r="U46" s="977">
        <f t="shared" si="17"/>
        <v>15.5</v>
      </c>
      <c r="V46" s="179" t="str">
        <f t="shared" si="14"/>
        <v>edasi 37</v>
      </c>
      <c r="W46" s="1357"/>
      <c r="X46" s="187">
        <f t="shared" si="15"/>
        <v>3</v>
      </c>
      <c r="Y46" s="185"/>
      <c r="Z46" s="185">
        <f t="shared" si="16"/>
        <v>0</v>
      </c>
    </row>
    <row r="47" spans="1:26" x14ac:dyDescent="0.2">
      <c r="A47" s="608" t="s">
        <v>408</v>
      </c>
      <c r="B47" s="624" t="str">
        <f t="shared" si="9"/>
        <v/>
      </c>
      <c r="C47" s="623">
        <f t="shared" si="10"/>
        <v>0</v>
      </c>
      <c r="D47" s="976">
        <f t="shared" si="11"/>
        <v>39</v>
      </c>
      <c r="E47" s="627">
        <v>39</v>
      </c>
      <c r="F47" s="542" t="s">
        <v>179</v>
      </c>
      <c r="G47" s="626">
        <v>15.5</v>
      </c>
      <c r="H47" s="1153">
        <f t="shared" si="12"/>
        <v>15.5</v>
      </c>
      <c r="I47" s="852"/>
      <c r="J47" s="1317"/>
      <c r="K47" s="1317"/>
      <c r="L47" s="1317"/>
      <c r="M47" s="1317">
        <v>3</v>
      </c>
      <c r="N47" s="1317"/>
      <c r="O47" s="1317">
        <v>3.5</v>
      </c>
      <c r="P47" s="1317"/>
      <c r="Q47" s="1317">
        <v>9</v>
      </c>
      <c r="R47" s="1317"/>
      <c r="S47" s="1317"/>
      <c r="T47" s="977">
        <f t="shared" si="13"/>
        <v>1</v>
      </c>
      <c r="U47" s="977">
        <f t="shared" si="17"/>
        <v>15.5</v>
      </c>
      <c r="V47" s="179" t="str">
        <f t="shared" si="14"/>
        <v>edasi 37</v>
      </c>
      <c r="W47" s="1357">
        <v>12</v>
      </c>
      <c r="X47" s="187">
        <f t="shared" si="15"/>
        <v>3</v>
      </c>
      <c r="Y47" s="185"/>
      <c r="Z47" s="185">
        <f t="shared" si="16"/>
        <v>0</v>
      </c>
    </row>
    <row r="48" spans="1:26" x14ac:dyDescent="0.2">
      <c r="A48" s="608" t="s">
        <v>408</v>
      </c>
      <c r="B48" s="624" t="str">
        <f t="shared" si="9"/>
        <v/>
      </c>
      <c r="C48" s="623">
        <f t="shared" si="10"/>
        <v>0</v>
      </c>
      <c r="D48" s="976">
        <f t="shared" si="11"/>
        <v>42</v>
      </c>
      <c r="E48" s="627">
        <v>42</v>
      </c>
      <c r="F48" s="545" t="s">
        <v>177</v>
      </c>
      <c r="G48" s="626">
        <v>14</v>
      </c>
      <c r="H48" s="1153">
        <f t="shared" si="12"/>
        <v>14</v>
      </c>
      <c r="I48" s="852"/>
      <c r="J48" s="1317"/>
      <c r="K48" s="1317">
        <v>14</v>
      </c>
      <c r="L48" s="1317"/>
      <c r="M48" s="1317"/>
      <c r="N48" s="1317"/>
      <c r="O48" s="1317"/>
      <c r="P48" s="1317"/>
      <c r="Q48" s="1317"/>
      <c r="R48" s="1317"/>
      <c r="S48" s="1317"/>
      <c r="T48" s="977">
        <f t="shared" si="13"/>
        <v>0</v>
      </c>
      <c r="U48" s="977" t="str">
        <f t="shared" si="17"/>
        <v/>
      </c>
      <c r="V48" s="179">
        <f t="shared" si="14"/>
        <v>42</v>
      </c>
      <c r="W48" s="1357"/>
      <c r="X48" s="185">
        <f t="shared" si="15"/>
        <v>1</v>
      </c>
      <c r="Y48" s="185">
        <v>1</v>
      </c>
      <c r="Z48" s="185">
        <f t="shared" si="16"/>
        <v>0</v>
      </c>
    </row>
    <row r="49" spans="1:26" x14ac:dyDescent="0.2">
      <c r="A49" s="608" t="s">
        <v>408</v>
      </c>
      <c r="B49" s="624" t="str">
        <f t="shared" si="9"/>
        <v/>
      </c>
      <c r="C49" s="623">
        <f t="shared" si="10"/>
        <v>0</v>
      </c>
      <c r="D49" s="976">
        <f t="shared" si="11"/>
        <v>43</v>
      </c>
      <c r="E49" s="627">
        <v>43</v>
      </c>
      <c r="F49" s="545" t="s">
        <v>157</v>
      </c>
      <c r="G49" s="626">
        <v>13</v>
      </c>
      <c r="H49" s="1153">
        <f t="shared" si="12"/>
        <v>13</v>
      </c>
      <c r="I49" s="852"/>
      <c r="J49" s="1317"/>
      <c r="K49" s="1317"/>
      <c r="L49" s="1317"/>
      <c r="M49" s="1317"/>
      <c r="N49" s="1317"/>
      <c r="O49" s="1317"/>
      <c r="P49" s="1317">
        <v>8</v>
      </c>
      <c r="Q49" s="1317"/>
      <c r="R49" s="1317"/>
      <c r="S49" s="1317">
        <v>5</v>
      </c>
      <c r="T49" s="977">
        <f t="shared" si="13"/>
        <v>0</v>
      </c>
      <c r="U49" s="977" t="str">
        <f t="shared" si="17"/>
        <v/>
      </c>
      <c r="V49" s="179">
        <f t="shared" si="14"/>
        <v>43</v>
      </c>
      <c r="W49" s="1357"/>
      <c r="X49" s="187">
        <f t="shared" si="15"/>
        <v>2</v>
      </c>
      <c r="Y49" s="185"/>
      <c r="Z49" s="185">
        <f t="shared" si="16"/>
        <v>0</v>
      </c>
    </row>
    <row r="50" spans="1:26" x14ac:dyDescent="0.2">
      <c r="A50" s="608">
        <v>13</v>
      </c>
      <c r="B50" s="624">
        <f t="shared" si="9"/>
        <v>13</v>
      </c>
      <c r="C50" s="623">
        <f t="shared" si="10"/>
        <v>10013</v>
      </c>
      <c r="D50" s="976">
        <f t="shared" si="11"/>
        <v>43</v>
      </c>
      <c r="E50" s="627">
        <v>43</v>
      </c>
      <c r="F50" s="594" t="s">
        <v>445</v>
      </c>
      <c r="G50" s="626">
        <v>13</v>
      </c>
      <c r="H50" s="1153">
        <f t="shared" si="12"/>
        <v>13</v>
      </c>
      <c r="I50" s="852" t="s">
        <v>406</v>
      </c>
      <c r="J50" s="1317"/>
      <c r="K50" s="1317"/>
      <c r="L50" s="1317"/>
      <c r="M50" s="1317">
        <v>1</v>
      </c>
      <c r="N50" s="1317"/>
      <c r="O50" s="1317">
        <v>6</v>
      </c>
      <c r="P50" s="1317"/>
      <c r="Q50" s="1317"/>
      <c r="R50" s="1317"/>
      <c r="S50" s="1317">
        <v>6</v>
      </c>
      <c r="T50" s="977">
        <f t="shared" si="13"/>
        <v>1</v>
      </c>
      <c r="U50" s="977">
        <f t="shared" si="17"/>
        <v>13</v>
      </c>
      <c r="V50" s="179" t="str">
        <f t="shared" si="14"/>
        <v>edasi 40</v>
      </c>
      <c r="W50" s="1349">
        <v>25</v>
      </c>
      <c r="X50" s="187">
        <f t="shared" si="15"/>
        <v>3</v>
      </c>
      <c r="Y50" s="185"/>
      <c r="Z50" s="185">
        <f t="shared" si="16"/>
        <v>0</v>
      </c>
    </row>
    <row r="51" spans="1:26" x14ac:dyDescent="0.2">
      <c r="A51" s="608">
        <v>14</v>
      </c>
      <c r="B51" s="624">
        <f t="shared" si="9"/>
        <v>14</v>
      </c>
      <c r="C51" s="623">
        <f t="shared" si="10"/>
        <v>10009</v>
      </c>
      <c r="D51" s="976">
        <f t="shared" si="11"/>
        <v>45</v>
      </c>
      <c r="E51" s="627">
        <v>45</v>
      </c>
      <c r="F51" s="595" t="s">
        <v>396</v>
      </c>
      <c r="G51" s="626">
        <v>9</v>
      </c>
      <c r="H51" s="1153">
        <f t="shared" si="12"/>
        <v>9</v>
      </c>
      <c r="I51" s="852" t="s">
        <v>406</v>
      </c>
      <c r="J51" s="1317"/>
      <c r="K51" s="1317">
        <v>6.5</v>
      </c>
      <c r="L51" s="1317">
        <v>2.5</v>
      </c>
      <c r="M51" s="1317"/>
      <c r="N51" s="1317"/>
      <c r="O51" s="1317"/>
      <c r="P51" s="1317"/>
      <c r="Q51" s="1317"/>
      <c r="R51" s="1317"/>
      <c r="S51" s="1317"/>
      <c r="T51" s="977">
        <f t="shared" si="13"/>
        <v>0</v>
      </c>
      <c r="U51" s="977" t="str">
        <f t="shared" si="17"/>
        <v/>
      </c>
      <c r="V51" s="179">
        <f t="shared" si="14"/>
        <v>45</v>
      </c>
      <c r="W51" s="1357"/>
      <c r="X51" s="185">
        <f t="shared" si="15"/>
        <v>2</v>
      </c>
      <c r="Y51" s="185"/>
      <c r="Z51" s="185">
        <f t="shared" si="16"/>
        <v>0</v>
      </c>
    </row>
    <row r="52" spans="1:26" x14ac:dyDescent="0.2">
      <c r="A52" s="608" t="s">
        <v>408</v>
      </c>
      <c r="B52" s="624" t="str">
        <f t="shared" si="9"/>
        <v/>
      </c>
      <c r="C52" s="623">
        <f t="shared" si="10"/>
        <v>0</v>
      </c>
      <c r="D52" s="976">
        <f t="shared" si="11"/>
        <v>46</v>
      </c>
      <c r="E52" s="627">
        <v>46</v>
      </c>
      <c r="F52" s="543" t="s">
        <v>441</v>
      </c>
      <c r="G52" s="626">
        <v>8</v>
      </c>
      <c r="H52" s="1153">
        <f t="shared" si="12"/>
        <v>8</v>
      </c>
      <c r="I52" s="852"/>
      <c r="J52" s="1317"/>
      <c r="K52" s="1317"/>
      <c r="L52" s="1317"/>
      <c r="M52" s="1317"/>
      <c r="N52" s="1317">
        <v>8</v>
      </c>
      <c r="O52" s="1317"/>
      <c r="P52" s="1317"/>
      <c r="Q52" s="1317"/>
      <c r="R52" s="1317"/>
      <c r="S52" s="1317"/>
      <c r="T52" s="977">
        <f t="shared" si="13"/>
        <v>0</v>
      </c>
      <c r="U52" s="977" t="str">
        <f t="shared" si="17"/>
        <v/>
      </c>
      <c r="V52" s="179">
        <f t="shared" si="14"/>
        <v>46</v>
      </c>
      <c r="W52" s="1357"/>
      <c r="X52" s="187">
        <f t="shared" si="15"/>
        <v>1</v>
      </c>
      <c r="Y52" s="185"/>
      <c r="Z52" s="185">
        <f t="shared" si="16"/>
        <v>0</v>
      </c>
    </row>
    <row r="53" spans="1:26" x14ac:dyDescent="0.2">
      <c r="A53" s="608" t="s">
        <v>408</v>
      </c>
      <c r="B53" s="624" t="str">
        <f t="shared" si="9"/>
        <v/>
      </c>
      <c r="C53" s="623">
        <f t="shared" si="10"/>
        <v>0</v>
      </c>
      <c r="D53" s="976">
        <f t="shared" si="11"/>
        <v>48</v>
      </c>
      <c r="E53" s="627">
        <v>47</v>
      </c>
      <c r="F53" s="545" t="s">
        <v>598</v>
      </c>
      <c r="G53" s="626">
        <v>7</v>
      </c>
      <c r="H53" s="1153">
        <f t="shared" si="12"/>
        <v>7</v>
      </c>
      <c r="I53" s="852"/>
      <c r="J53" s="1317"/>
      <c r="K53" s="1317"/>
      <c r="L53" s="1317"/>
      <c r="M53" s="1317"/>
      <c r="N53" s="1317"/>
      <c r="O53" s="1317"/>
      <c r="P53" s="1317">
        <v>2</v>
      </c>
      <c r="Q53" s="1317">
        <v>1</v>
      </c>
      <c r="R53" s="1317">
        <v>4</v>
      </c>
      <c r="S53" s="1317"/>
      <c r="T53" s="977">
        <f t="shared" si="13"/>
        <v>1</v>
      </c>
      <c r="U53" s="977">
        <f t="shared" si="17"/>
        <v>7</v>
      </c>
      <c r="V53" s="179" t="str">
        <f t="shared" si="14"/>
        <v>edasi 41</v>
      </c>
      <c r="W53" s="1357"/>
      <c r="X53" s="187">
        <f t="shared" si="15"/>
        <v>3</v>
      </c>
      <c r="Y53" s="185"/>
      <c r="Z53" s="185">
        <f t="shared" si="16"/>
        <v>0</v>
      </c>
    </row>
    <row r="54" spans="1:26" x14ac:dyDescent="0.2">
      <c r="A54" s="608" t="s">
        <v>408</v>
      </c>
      <c r="B54" s="624" t="str">
        <f t="shared" si="9"/>
        <v/>
      </c>
      <c r="C54" s="623">
        <f t="shared" si="10"/>
        <v>0</v>
      </c>
      <c r="D54" s="976">
        <f t="shared" si="11"/>
        <v>47</v>
      </c>
      <c r="E54" s="627">
        <v>47</v>
      </c>
      <c r="F54" s="621" t="s">
        <v>626</v>
      </c>
      <c r="G54" s="626">
        <v>7.5</v>
      </c>
      <c r="H54" s="1153">
        <f t="shared" si="12"/>
        <v>7.5</v>
      </c>
      <c r="I54" s="852"/>
      <c r="J54" s="1317"/>
      <c r="K54" s="1317"/>
      <c r="L54" s="1317"/>
      <c r="M54" s="1317"/>
      <c r="N54" s="1317"/>
      <c r="O54" s="1317"/>
      <c r="P54" s="1317"/>
      <c r="Q54" s="1317"/>
      <c r="R54" s="1317"/>
      <c r="S54" s="1317">
        <v>7.5</v>
      </c>
      <c r="T54" s="977">
        <f t="shared" si="13"/>
        <v>0</v>
      </c>
      <c r="U54" s="977" t="str">
        <f t="shared" si="17"/>
        <v/>
      </c>
      <c r="V54" s="179">
        <f t="shared" si="14"/>
        <v>47</v>
      </c>
      <c r="W54" s="1357"/>
      <c r="X54" s="187">
        <f t="shared" si="15"/>
        <v>1</v>
      </c>
      <c r="Y54" s="185"/>
      <c r="Z54" s="185">
        <f t="shared" si="16"/>
        <v>0</v>
      </c>
    </row>
    <row r="55" spans="1:26" x14ac:dyDescent="0.2">
      <c r="A55" s="608">
        <v>15</v>
      </c>
      <c r="B55" s="624">
        <f t="shared" si="9"/>
        <v>15</v>
      </c>
      <c r="C55" s="623">
        <f t="shared" si="10"/>
        <v>10006.5</v>
      </c>
      <c r="D55" s="976">
        <f t="shared" si="11"/>
        <v>49</v>
      </c>
      <c r="E55" s="627">
        <v>49</v>
      </c>
      <c r="F55" s="594" t="s">
        <v>398</v>
      </c>
      <c r="G55" s="626">
        <v>6.5</v>
      </c>
      <c r="H55" s="1153">
        <f t="shared" si="12"/>
        <v>6.5</v>
      </c>
      <c r="I55" s="852" t="s">
        <v>406</v>
      </c>
      <c r="J55" s="1317"/>
      <c r="K55" s="1317">
        <v>6.5</v>
      </c>
      <c r="L55" s="1317"/>
      <c r="M55" s="1317"/>
      <c r="N55" s="1317"/>
      <c r="O55" s="1317"/>
      <c r="P55" s="1317"/>
      <c r="Q55" s="1317"/>
      <c r="R55" s="1317"/>
      <c r="S55" s="1317"/>
      <c r="T55" s="977">
        <f t="shared" si="13"/>
        <v>0</v>
      </c>
      <c r="U55" s="977" t="str">
        <f t="shared" si="17"/>
        <v/>
      </c>
      <c r="V55" s="179">
        <f t="shared" si="14"/>
        <v>49</v>
      </c>
      <c r="W55" s="1357"/>
      <c r="X55" s="185">
        <f t="shared" si="15"/>
        <v>1</v>
      </c>
      <c r="Y55" s="185"/>
      <c r="Z55" s="185">
        <f t="shared" si="16"/>
        <v>0</v>
      </c>
    </row>
    <row r="56" spans="1:26" x14ac:dyDescent="0.2">
      <c r="A56" s="608">
        <v>15</v>
      </c>
      <c r="B56" s="624">
        <f t="shared" si="9"/>
        <v>15</v>
      </c>
      <c r="C56" s="623">
        <f t="shared" si="10"/>
        <v>10006.5</v>
      </c>
      <c r="D56" s="976">
        <f t="shared" si="11"/>
        <v>49</v>
      </c>
      <c r="E56" s="627">
        <v>49</v>
      </c>
      <c r="F56" s="595" t="s">
        <v>501</v>
      </c>
      <c r="G56" s="626">
        <v>6.5</v>
      </c>
      <c r="H56" s="1153">
        <f t="shared" si="12"/>
        <v>6.5</v>
      </c>
      <c r="I56" s="852" t="s">
        <v>406</v>
      </c>
      <c r="J56" s="1317"/>
      <c r="K56" s="1317"/>
      <c r="L56" s="1317"/>
      <c r="M56" s="1317"/>
      <c r="N56" s="1317"/>
      <c r="O56" s="1317"/>
      <c r="P56" s="1317">
        <v>6.5</v>
      </c>
      <c r="Q56" s="1317"/>
      <c r="R56" s="1317"/>
      <c r="S56" s="1317"/>
      <c r="T56" s="977">
        <f t="shared" si="13"/>
        <v>0</v>
      </c>
      <c r="U56" s="977" t="str">
        <f t="shared" si="17"/>
        <v/>
      </c>
      <c r="V56" s="179">
        <f t="shared" si="14"/>
        <v>49</v>
      </c>
      <c r="W56" s="1357"/>
      <c r="X56" s="187">
        <f t="shared" si="15"/>
        <v>1</v>
      </c>
      <c r="Y56" s="185"/>
      <c r="Z56" s="185">
        <f t="shared" si="16"/>
        <v>0</v>
      </c>
    </row>
    <row r="57" spans="1:26" x14ac:dyDescent="0.2">
      <c r="A57" s="608">
        <v>15</v>
      </c>
      <c r="B57" s="624">
        <f t="shared" si="9"/>
        <v>15</v>
      </c>
      <c r="C57" s="623">
        <f t="shared" si="10"/>
        <v>10006.5</v>
      </c>
      <c r="D57" s="976">
        <f t="shared" si="11"/>
        <v>49</v>
      </c>
      <c r="E57" s="627">
        <v>49</v>
      </c>
      <c r="F57" s="622" t="s">
        <v>399</v>
      </c>
      <c r="G57" s="626">
        <v>6.5</v>
      </c>
      <c r="H57" s="1153">
        <f t="shared" si="12"/>
        <v>6.5</v>
      </c>
      <c r="I57" s="852" t="s">
        <v>406</v>
      </c>
      <c r="J57" s="1317"/>
      <c r="K57" s="1317">
        <v>6.5</v>
      </c>
      <c r="L57" s="1317"/>
      <c r="M57" s="1317"/>
      <c r="N57" s="1317"/>
      <c r="O57" s="1317"/>
      <c r="P57" s="1317"/>
      <c r="Q57" s="1317"/>
      <c r="R57" s="1317"/>
      <c r="S57" s="1317"/>
      <c r="T57" s="977">
        <f t="shared" si="13"/>
        <v>0</v>
      </c>
      <c r="U57" s="977" t="str">
        <f t="shared" si="17"/>
        <v/>
      </c>
      <c r="V57" s="179">
        <f t="shared" si="14"/>
        <v>49</v>
      </c>
      <c r="W57" s="1357"/>
      <c r="X57" s="185">
        <f t="shared" si="15"/>
        <v>1</v>
      </c>
      <c r="Y57" s="185"/>
      <c r="Z57" s="185">
        <f t="shared" si="16"/>
        <v>0</v>
      </c>
    </row>
    <row r="58" spans="1:26" x14ac:dyDescent="0.2">
      <c r="A58" s="608">
        <v>18</v>
      </c>
      <c r="B58" s="624">
        <f t="shared" si="9"/>
        <v>18</v>
      </c>
      <c r="C58" s="623">
        <f t="shared" si="10"/>
        <v>10006</v>
      </c>
      <c r="D58" s="976">
        <f t="shared" si="11"/>
        <v>52</v>
      </c>
      <c r="E58" s="627">
        <v>52</v>
      </c>
      <c r="F58" s="595" t="s">
        <v>458</v>
      </c>
      <c r="G58" s="626">
        <v>6</v>
      </c>
      <c r="H58" s="1153">
        <f t="shared" si="12"/>
        <v>6</v>
      </c>
      <c r="I58" s="852" t="s">
        <v>406</v>
      </c>
      <c r="J58" s="1317"/>
      <c r="K58" s="1317"/>
      <c r="L58" s="1317"/>
      <c r="M58" s="1317">
        <v>6</v>
      </c>
      <c r="N58" s="1317"/>
      <c r="O58" s="1317"/>
      <c r="P58" s="1317"/>
      <c r="Q58" s="1317"/>
      <c r="R58" s="1317"/>
      <c r="S58" s="1317"/>
      <c r="T58" s="977">
        <f t="shared" si="13"/>
        <v>0</v>
      </c>
      <c r="U58" s="977" t="str">
        <f t="shared" si="17"/>
        <v/>
      </c>
      <c r="V58" s="179">
        <f t="shared" si="14"/>
        <v>52</v>
      </c>
      <c r="W58" s="1357"/>
      <c r="X58" s="185">
        <f t="shared" si="15"/>
        <v>1</v>
      </c>
      <c r="Y58" s="185"/>
      <c r="Z58" s="185">
        <f t="shared" si="16"/>
        <v>0</v>
      </c>
    </row>
    <row r="59" spans="1:26" x14ac:dyDescent="0.2">
      <c r="A59" s="608" t="s">
        <v>408</v>
      </c>
      <c r="B59" s="624" t="str">
        <f t="shared" si="9"/>
        <v/>
      </c>
      <c r="C59" s="623">
        <f t="shared" si="10"/>
        <v>0</v>
      </c>
      <c r="D59" s="976">
        <f t="shared" si="11"/>
        <v>52</v>
      </c>
      <c r="E59" s="627">
        <v>52</v>
      </c>
      <c r="F59" s="545" t="s">
        <v>630</v>
      </c>
      <c r="G59" s="626">
        <v>6</v>
      </c>
      <c r="H59" s="1153">
        <f t="shared" si="12"/>
        <v>6</v>
      </c>
      <c r="I59" s="852"/>
      <c r="J59" s="1317"/>
      <c r="K59" s="1317"/>
      <c r="L59" s="1317"/>
      <c r="M59" s="1317"/>
      <c r="N59" s="1317"/>
      <c r="O59" s="1317"/>
      <c r="P59" s="1317"/>
      <c r="Q59" s="1317">
        <v>6</v>
      </c>
      <c r="R59" s="1317"/>
      <c r="S59" s="1317"/>
      <c r="T59" s="977">
        <f t="shared" si="13"/>
        <v>0</v>
      </c>
      <c r="U59" s="977" t="str">
        <f t="shared" si="17"/>
        <v/>
      </c>
      <c r="V59" s="179">
        <f t="shared" si="14"/>
        <v>52</v>
      </c>
      <c r="W59" s="1357"/>
      <c r="X59" s="187">
        <f t="shared" si="15"/>
        <v>1</v>
      </c>
      <c r="Y59" s="185"/>
      <c r="Z59" s="185">
        <f t="shared" si="16"/>
        <v>0</v>
      </c>
    </row>
    <row r="60" spans="1:26" x14ac:dyDescent="0.2">
      <c r="A60" s="608" t="s">
        <v>408</v>
      </c>
      <c r="B60" s="624" t="str">
        <f t="shared" si="9"/>
        <v/>
      </c>
      <c r="C60" s="623">
        <f t="shared" si="10"/>
        <v>0</v>
      </c>
      <c r="D60" s="976">
        <f t="shared" si="11"/>
        <v>52</v>
      </c>
      <c r="E60" s="627">
        <v>52</v>
      </c>
      <c r="F60" s="545" t="s">
        <v>615</v>
      </c>
      <c r="G60" s="626">
        <v>6</v>
      </c>
      <c r="H60" s="1153">
        <f t="shared" si="12"/>
        <v>6</v>
      </c>
      <c r="I60" s="852"/>
      <c r="J60" s="1317"/>
      <c r="K60" s="1317"/>
      <c r="L60" s="1317"/>
      <c r="M60" s="1317"/>
      <c r="N60" s="1317"/>
      <c r="O60" s="1317"/>
      <c r="P60" s="1317"/>
      <c r="Q60" s="1317">
        <v>6</v>
      </c>
      <c r="R60" s="1317"/>
      <c r="S60" s="1317"/>
      <c r="T60" s="977">
        <f t="shared" si="13"/>
        <v>0</v>
      </c>
      <c r="U60" s="977" t="str">
        <f t="shared" si="17"/>
        <v/>
      </c>
      <c r="V60" s="179">
        <f t="shared" si="14"/>
        <v>52</v>
      </c>
      <c r="W60" s="1357"/>
      <c r="X60" s="187">
        <f t="shared" si="15"/>
        <v>1</v>
      </c>
      <c r="Y60" s="185"/>
      <c r="Z60" s="185">
        <f t="shared" si="16"/>
        <v>0</v>
      </c>
    </row>
    <row r="61" spans="1:26" x14ac:dyDescent="0.2">
      <c r="A61" s="608">
        <v>19</v>
      </c>
      <c r="B61" s="624">
        <f t="shared" si="9"/>
        <v>19</v>
      </c>
      <c r="C61" s="623">
        <f t="shared" si="10"/>
        <v>10003.5</v>
      </c>
      <c r="D61" s="976">
        <f t="shared" si="11"/>
        <v>55</v>
      </c>
      <c r="E61" s="627">
        <v>55</v>
      </c>
      <c r="F61" s="596" t="s">
        <v>352</v>
      </c>
      <c r="G61" s="626">
        <v>3.5</v>
      </c>
      <c r="H61" s="1153">
        <f t="shared" si="12"/>
        <v>3.5</v>
      </c>
      <c r="I61" s="852" t="s">
        <v>406</v>
      </c>
      <c r="J61" s="1317">
        <v>3.5</v>
      </c>
      <c r="K61" s="1317"/>
      <c r="L61" s="1317"/>
      <c r="M61" s="1317"/>
      <c r="N61" s="1317"/>
      <c r="O61" s="1317"/>
      <c r="P61" s="1317"/>
      <c r="Q61" s="1317"/>
      <c r="R61" s="1317"/>
      <c r="S61" s="1317"/>
      <c r="T61" s="977">
        <f t="shared" si="13"/>
        <v>0</v>
      </c>
      <c r="U61" s="977" t="str">
        <f t="shared" si="17"/>
        <v/>
      </c>
      <c r="V61" s="179">
        <f t="shared" si="14"/>
        <v>55</v>
      </c>
      <c r="W61" s="1357"/>
      <c r="X61" s="185">
        <f t="shared" si="15"/>
        <v>1</v>
      </c>
      <c r="Y61" s="185"/>
      <c r="Z61" s="185">
        <f t="shared" si="16"/>
        <v>0</v>
      </c>
    </row>
    <row r="62" spans="1:26" x14ac:dyDescent="0.2">
      <c r="A62" s="608">
        <v>20</v>
      </c>
      <c r="B62" s="624">
        <f t="shared" si="9"/>
        <v>20</v>
      </c>
      <c r="C62" s="623">
        <f t="shared" si="10"/>
        <v>10003</v>
      </c>
      <c r="D62" s="976">
        <f t="shared" si="11"/>
        <v>56</v>
      </c>
      <c r="E62" s="627">
        <v>56</v>
      </c>
      <c r="F62" s="595" t="s">
        <v>400</v>
      </c>
      <c r="G62" s="626">
        <v>3</v>
      </c>
      <c r="H62" s="1153">
        <f t="shared" si="12"/>
        <v>3</v>
      </c>
      <c r="I62" s="852" t="s">
        <v>406</v>
      </c>
      <c r="J62" s="1317"/>
      <c r="K62" s="1317">
        <v>1</v>
      </c>
      <c r="L62" s="1317">
        <v>1</v>
      </c>
      <c r="M62" s="1317">
        <v>1</v>
      </c>
      <c r="N62" s="1317"/>
      <c r="O62" s="1317"/>
      <c r="P62" s="1317"/>
      <c r="Q62" s="1317"/>
      <c r="R62" s="1317"/>
      <c r="S62" s="1317"/>
      <c r="T62" s="977">
        <f t="shared" si="13"/>
        <v>1</v>
      </c>
      <c r="U62" s="977">
        <f t="shared" si="17"/>
        <v>3</v>
      </c>
      <c r="V62" s="179" t="str">
        <f t="shared" si="14"/>
        <v>edasi 42</v>
      </c>
      <c r="W62" s="1357"/>
      <c r="X62" s="185">
        <f t="shared" si="15"/>
        <v>3</v>
      </c>
      <c r="Y62" s="185"/>
      <c r="Z62" s="185">
        <f t="shared" si="16"/>
        <v>0</v>
      </c>
    </row>
    <row r="63" spans="1:26" x14ac:dyDescent="0.2">
      <c r="A63" s="608" t="s">
        <v>408</v>
      </c>
      <c r="B63" s="624" t="str">
        <f t="shared" si="9"/>
        <v/>
      </c>
      <c r="C63" s="623">
        <f t="shared" si="10"/>
        <v>0</v>
      </c>
      <c r="D63" s="976">
        <f t="shared" si="11"/>
        <v>56</v>
      </c>
      <c r="E63" s="627">
        <v>56</v>
      </c>
      <c r="F63" s="543" t="s">
        <v>523</v>
      </c>
      <c r="G63" s="626">
        <v>3</v>
      </c>
      <c r="H63" s="1153">
        <f t="shared" si="12"/>
        <v>3</v>
      </c>
      <c r="I63" s="852"/>
      <c r="J63" s="1317"/>
      <c r="K63" s="1317"/>
      <c r="L63" s="1317"/>
      <c r="M63" s="1317"/>
      <c r="N63" s="1317">
        <v>3</v>
      </c>
      <c r="O63" s="1317"/>
      <c r="P63" s="1317"/>
      <c r="Q63" s="1317"/>
      <c r="R63" s="1317"/>
      <c r="S63" s="1317"/>
      <c r="T63" s="977">
        <f t="shared" si="13"/>
        <v>0</v>
      </c>
      <c r="U63" s="977" t="str">
        <f t="shared" si="17"/>
        <v/>
      </c>
      <c r="V63" s="179">
        <f t="shared" si="14"/>
        <v>56</v>
      </c>
      <c r="W63" s="1357"/>
      <c r="X63" s="187">
        <f t="shared" si="15"/>
        <v>1</v>
      </c>
      <c r="Y63" s="185"/>
      <c r="Z63" s="185">
        <f t="shared" si="16"/>
        <v>0</v>
      </c>
    </row>
    <row r="64" spans="1:26" x14ac:dyDescent="0.2">
      <c r="A64" s="608">
        <v>20</v>
      </c>
      <c r="B64" s="624">
        <f t="shared" si="9"/>
        <v>20</v>
      </c>
      <c r="C64" s="623">
        <f t="shared" si="10"/>
        <v>10003</v>
      </c>
      <c r="D64" s="976">
        <f t="shared" si="11"/>
        <v>56</v>
      </c>
      <c r="E64" s="627">
        <v>56</v>
      </c>
      <c r="F64" s="594" t="s">
        <v>548</v>
      </c>
      <c r="G64" s="626">
        <v>3</v>
      </c>
      <c r="H64" s="1153">
        <f t="shared" si="12"/>
        <v>3</v>
      </c>
      <c r="I64" s="852" t="s">
        <v>406</v>
      </c>
      <c r="J64" s="1317"/>
      <c r="K64" s="1317"/>
      <c r="L64" s="1317"/>
      <c r="M64" s="1317"/>
      <c r="N64" s="1317">
        <v>3</v>
      </c>
      <c r="O64" s="1317"/>
      <c r="P64" s="1317"/>
      <c r="Q64" s="1317"/>
      <c r="R64" s="1317"/>
      <c r="S64" s="1317"/>
      <c r="T64" s="977">
        <f t="shared" si="13"/>
        <v>0</v>
      </c>
      <c r="U64" s="977" t="str">
        <f t="shared" si="17"/>
        <v/>
      </c>
      <c r="V64" s="179">
        <f t="shared" si="14"/>
        <v>56</v>
      </c>
      <c r="W64" s="1357"/>
      <c r="X64" s="187">
        <f t="shared" si="15"/>
        <v>1</v>
      </c>
      <c r="Y64" s="185"/>
      <c r="Z64" s="185">
        <f t="shared" si="16"/>
        <v>0</v>
      </c>
    </row>
    <row r="65" spans="1:26" x14ac:dyDescent="0.2">
      <c r="A65" s="608">
        <v>22</v>
      </c>
      <c r="B65" s="624">
        <f t="shared" si="9"/>
        <v>22</v>
      </c>
      <c r="C65" s="623">
        <f t="shared" si="10"/>
        <v>10002</v>
      </c>
      <c r="D65" s="976">
        <f t="shared" si="11"/>
        <v>59</v>
      </c>
      <c r="E65" s="627">
        <v>59</v>
      </c>
      <c r="F65" s="969" t="s">
        <v>549</v>
      </c>
      <c r="G65" s="626">
        <v>2</v>
      </c>
      <c r="H65" s="1153">
        <f t="shared" si="12"/>
        <v>2</v>
      </c>
      <c r="I65" s="852" t="s">
        <v>406</v>
      </c>
      <c r="J65" s="1317"/>
      <c r="K65" s="1317"/>
      <c r="L65" s="1317"/>
      <c r="M65" s="1317"/>
      <c r="N65" s="1317">
        <v>2</v>
      </c>
      <c r="O65" s="1317"/>
      <c r="P65" s="1317"/>
      <c r="Q65" s="1317"/>
      <c r="R65" s="1317"/>
      <c r="S65" s="1317"/>
      <c r="T65" s="977">
        <f t="shared" si="13"/>
        <v>0</v>
      </c>
      <c r="U65" s="977" t="str">
        <f t="shared" si="17"/>
        <v/>
      </c>
      <c r="V65" s="179">
        <f t="shared" si="14"/>
        <v>59</v>
      </c>
      <c r="W65" s="1357"/>
      <c r="X65" s="187">
        <f t="shared" si="15"/>
        <v>1</v>
      </c>
      <c r="Y65" s="185"/>
      <c r="Z65" s="185">
        <f t="shared" si="16"/>
        <v>0</v>
      </c>
    </row>
    <row r="66" spans="1:26" x14ac:dyDescent="0.2">
      <c r="A66" s="608">
        <v>22</v>
      </c>
      <c r="B66" s="624">
        <f t="shared" si="9"/>
        <v>22</v>
      </c>
      <c r="C66" s="623">
        <f t="shared" si="10"/>
        <v>10002</v>
      </c>
      <c r="D66" s="976">
        <f t="shared" si="11"/>
        <v>59</v>
      </c>
      <c r="E66" s="627">
        <v>59</v>
      </c>
      <c r="F66" s="928" t="s">
        <v>544</v>
      </c>
      <c r="G66" s="626">
        <v>2</v>
      </c>
      <c r="H66" s="1153">
        <f t="shared" si="12"/>
        <v>2</v>
      </c>
      <c r="I66" s="852" t="s">
        <v>406</v>
      </c>
      <c r="J66" s="1317"/>
      <c r="K66" s="1317"/>
      <c r="L66" s="1317"/>
      <c r="M66" s="1317"/>
      <c r="N66" s="1317">
        <v>2</v>
      </c>
      <c r="O66" s="1317"/>
      <c r="P66" s="1317"/>
      <c r="Q66" s="1317"/>
      <c r="R66" s="1317"/>
      <c r="S66" s="1317"/>
      <c r="T66" s="977">
        <f t="shared" si="13"/>
        <v>0</v>
      </c>
      <c r="U66" s="977" t="str">
        <f t="shared" si="17"/>
        <v/>
      </c>
      <c r="V66" s="179">
        <f t="shared" si="14"/>
        <v>59</v>
      </c>
      <c r="W66" s="1357"/>
      <c r="X66" s="187">
        <f t="shared" si="15"/>
        <v>1</v>
      </c>
      <c r="Y66" s="185"/>
      <c r="Z66" s="185">
        <f t="shared" si="16"/>
        <v>0</v>
      </c>
    </row>
    <row r="67" spans="1:26" x14ac:dyDescent="0.2">
      <c r="A67" s="608">
        <v>24</v>
      </c>
      <c r="B67" s="624">
        <f t="shared" si="9"/>
        <v>24</v>
      </c>
      <c r="C67" s="623">
        <f t="shared" si="10"/>
        <v>10001.5</v>
      </c>
      <c r="D67" s="976">
        <f t="shared" si="11"/>
        <v>61</v>
      </c>
      <c r="E67" s="627">
        <v>61</v>
      </c>
      <c r="F67" s="926" t="s">
        <v>357</v>
      </c>
      <c r="G67" s="626">
        <v>1.5</v>
      </c>
      <c r="H67" s="1153">
        <f t="shared" si="12"/>
        <v>1.5</v>
      </c>
      <c r="I67" s="852" t="s">
        <v>406</v>
      </c>
      <c r="J67" s="1317">
        <v>1.5</v>
      </c>
      <c r="K67" s="1317"/>
      <c r="L67" s="1317"/>
      <c r="M67" s="1317"/>
      <c r="N67" s="1317"/>
      <c r="O67" s="1317"/>
      <c r="P67" s="1317"/>
      <c r="Q67" s="1317"/>
      <c r="R67" s="1317"/>
      <c r="S67" s="1317"/>
      <c r="T67" s="977">
        <f t="shared" si="13"/>
        <v>0</v>
      </c>
      <c r="U67" s="977" t="str">
        <f t="shared" si="17"/>
        <v/>
      </c>
      <c r="V67" s="179">
        <f t="shared" si="14"/>
        <v>61</v>
      </c>
      <c r="W67" s="1357"/>
      <c r="X67" s="185">
        <f t="shared" si="15"/>
        <v>1</v>
      </c>
      <c r="Y67" s="185"/>
      <c r="Z67" s="185">
        <f t="shared" si="16"/>
        <v>0</v>
      </c>
    </row>
    <row r="68" spans="1:26" x14ac:dyDescent="0.2">
      <c r="A68" s="608">
        <v>24</v>
      </c>
      <c r="B68" s="624">
        <f t="shared" si="9"/>
        <v>24</v>
      </c>
      <c r="C68" s="623">
        <f t="shared" si="10"/>
        <v>10001.5</v>
      </c>
      <c r="D68" s="976">
        <f t="shared" si="11"/>
        <v>61</v>
      </c>
      <c r="E68" s="627">
        <v>61</v>
      </c>
      <c r="F68" s="927" t="s">
        <v>356</v>
      </c>
      <c r="G68" s="626">
        <v>1.5</v>
      </c>
      <c r="H68" s="1153">
        <f t="shared" si="12"/>
        <v>1.5</v>
      </c>
      <c r="I68" s="852" t="s">
        <v>406</v>
      </c>
      <c r="J68" s="1317">
        <v>1.5</v>
      </c>
      <c r="K68" s="1317"/>
      <c r="L68" s="1317"/>
      <c r="M68" s="1317"/>
      <c r="N68" s="1317"/>
      <c r="O68" s="1317"/>
      <c r="P68" s="1317"/>
      <c r="Q68" s="1317"/>
      <c r="R68" s="1317"/>
      <c r="S68" s="1317"/>
      <c r="T68" s="977">
        <f t="shared" si="13"/>
        <v>0</v>
      </c>
      <c r="U68" s="977" t="str">
        <f t="shared" si="17"/>
        <v/>
      </c>
      <c r="V68" s="179">
        <f t="shared" si="14"/>
        <v>61</v>
      </c>
      <c r="W68" s="1357"/>
      <c r="X68" s="185">
        <f t="shared" si="15"/>
        <v>1</v>
      </c>
      <c r="Y68" s="185"/>
      <c r="Z68" s="185">
        <f t="shared" si="16"/>
        <v>0</v>
      </c>
    </row>
    <row r="69" spans="1:26" x14ac:dyDescent="0.2">
      <c r="A69" s="608">
        <v>26</v>
      </c>
      <c r="B69" s="624">
        <f t="shared" si="9"/>
        <v>26</v>
      </c>
      <c r="C69" s="623">
        <f t="shared" si="10"/>
        <v>10001</v>
      </c>
      <c r="D69" s="976">
        <f t="shared" si="11"/>
        <v>63</v>
      </c>
      <c r="E69" s="627">
        <v>63</v>
      </c>
      <c r="F69" s="920" t="s">
        <v>401</v>
      </c>
      <c r="G69" s="626">
        <v>1</v>
      </c>
      <c r="H69" s="1153">
        <f t="shared" si="12"/>
        <v>1</v>
      </c>
      <c r="I69" s="852" t="s">
        <v>406</v>
      </c>
      <c r="J69" s="1317"/>
      <c r="K69" s="1317">
        <v>1</v>
      </c>
      <c r="L69" s="1317"/>
      <c r="M69" s="1317"/>
      <c r="N69" s="1317"/>
      <c r="O69" s="1317"/>
      <c r="P69" s="1317"/>
      <c r="Q69" s="1317"/>
      <c r="R69" s="1317"/>
      <c r="S69" s="1317"/>
      <c r="T69" s="977">
        <f t="shared" si="13"/>
        <v>0</v>
      </c>
      <c r="U69" s="977" t="str">
        <f t="shared" si="17"/>
        <v/>
      </c>
      <c r="V69" s="179">
        <f t="shared" si="14"/>
        <v>63</v>
      </c>
      <c r="W69" s="1357"/>
      <c r="X69" s="185">
        <f t="shared" si="15"/>
        <v>1</v>
      </c>
      <c r="Y69" s="185"/>
      <c r="Z69" s="185">
        <f t="shared" si="16"/>
        <v>0</v>
      </c>
    </row>
    <row r="70" spans="1:26" x14ac:dyDescent="0.2">
      <c r="A70" s="608" t="s">
        <v>408</v>
      </c>
      <c r="B70" s="624" t="str">
        <f t="shared" si="9"/>
        <v/>
      </c>
      <c r="C70" s="623">
        <f t="shared" si="10"/>
        <v>0</v>
      </c>
      <c r="D70" s="976">
        <f t="shared" si="11"/>
        <v>63</v>
      </c>
      <c r="E70" s="627">
        <v>63</v>
      </c>
      <c r="F70" s="921" t="s">
        <v>550</v>
      </c>
      <c r="G70" s="626">
        <v>1</v>
      </c>
      <c r="H70" s="1153">
        <f t="shared" si="12"/>
        <v>1</v>
      </c>
      <c r="I70" s="852"/>
      <c r="J70" s="1317"/>
      <c r="K70" s="1317"/>
      <c r="L70" s="1317"/>
      <c r="M70" s="1317"/>
      <c r="N70" s="1317">
        <v>1</v>
      </c>
      <c r="O70" s="1317"/>
      <c r="P70" s="1317"/>
      <c r="Q70" s="1317"/>
      <c r="R70" s="1317"/>
      <c r="S70" s="1317"/>
      <c r="T70" s="977">
        <f t="shared" si="13"/>
        <v>0</v>
      </c>
      <c r="U70" s="977" t="str">
        <f t="shared" si="17"/>
        <v/>
      </c>
      <c r="V70" s="179">
        <f t="shared" si="14"/>
        <v>63</v>
      </c>
      <c r="W70" s="1357"/>
      <c r="X70" s="187">
        <f t="shared" si="15"/>
        <v>1</v>
      </c>
      <c r="Y70" s="185"/>
      <c r="Z70" s="185">
        <f t="shared" si="16"/>
        <v>0</v>
      </c>
    </row>
    <row r="71" spans="1:26" x14ac:dyDescent="0.2">
      <c r="A71" s="608" t="s">
        <v>408</v>
      </c>
      <c r="B71" s="624" t="str">
        <f t="shared" ref="B71:B72" si="18">IF(I71="k",RANK(C71,C$7:C$72,0),"")</f>
        <v/>
      </c>
      <c r="C71" s="623">
        <f t="shared" si="10"/>
        <v>0</v>
      </c>
      <c r="D71" s="976">
        <f t="shared" si="11"/>
        <v>63</v>
      </c>
      <c r="E71" s="627">
        <v>63</v>
      </c>
      <c r="F71" s="851" t="s">
        <v>551</v>
      </c>
      <c r="G71" s="626">
        <v>1</v>
      </c>
      <c r="H71" s="1153">
        <f t="shared" si="12"/>
        <v>1</v>
      </c>
      <c r="I71" s="852"/>
      <c r="J71" s="1317"/>
      <c r="K71" s="1317"/>
      <c r="L71" s="1317"/>
      <c r="M71" s="1317"/>
      <c r="N71" s="1317">
        <v>1</v>
      </c>
      <c r="O71" s="1317"/>
      <c r="P71" s="1317"/>
      <c r="Q71" s="1317"/>
      <c r="R71" s="1317"/>
      <c r="S71" s="1317"/>
      <c r="T71" s="977">
        <f t="shared" ref="T71:T72" si="19">IF(COUNTIF(J71:S71,"&gt;0")&gt;=3,1,0)</f>
        <v>0</v>
      </c>
      <c r="U71" s="977" t="str">
        <f t="shared" si="17"/>
        <v/>
      </c>
      <c r="V71" s="179">
        <f t="shared" ref="V71:V72" si="20">IFERROR("edasi "&amp;RANK(U71,U$7:U$72,0),E71)</f>
        <v>63</v>
      </c>
      <c r="W71" s="1357"/>
      <c r="X71" s="187">
        <f t="shared" si="15"/>
        <v>1</v>
      </c>
      <c r="Y71" s="185"/>
      <c r="Z71" s="185">
        <f t="shared" si="16"/>
        <v>0</v>
      </c>
    </row>
    <row r="72" spans="1:26" x14ac:dyDescent="0.2">
      <c r="A72" s="608" t="s">
        <v>408</v>
      </c>
      <c r="B72" s="624" t="str">
        <f t="shared" si="18"/>
        <v/>
      </c>
      <c r="C72" s="623">
        <f t="shared" si="10"/>
        <v>0</v>
      </c>
      <c r="D72" s="976">
        <f t="shared" si="11"/>
        <v>63</v>
      </c>
      <c r="E72" s="627">
        <v>63</v>
      </c>
      <c r="F72" s="919" t="s">
        <v>599</v>
      </c>
      <c r="G72" s="626">
        <v>1</v>
      </c>
      <c r="H72" s="1153">
        <f t="shared" si="12"/>
        <v>1</v>
      </c>
      <c r="I72" s="852"/>
      <c r="J72" s="1317"/>
      <c r="K72" s="1317"/>
      <c r="L72" s="1317"/>
      <c r="M72" s="1317"/>
      <c r="N72" s="1317"/>
      <c r="O72" s="1317"/>
      <c r="P72" s="1317">
        <v>1</v>
      </c>
      <c r="Q72" s="1317"/>
      <c r="R72" s="1317"/>
      <c r="S72" s="1317"/>
      <c r="T72" s="977">
        <f t="shared" si="19"/>
        <v>0</v>
      </c>
      <c r="U72" s="977" t="str">
        <f t="shared" ref="U72" si="21">IF(T72=1,H72,"")</f>
        <v/>
      </c>
      <c r="V72" s="179">
        <f t="shared" si="20"/>
        <v>63</v>
      </c>
      <c r="W72" s="1357"/>
      <c r="X72" s="187">
        <f t="shared" si="15"/>
        <v>1</v>
      </c>
      <c r="Y72" s="185"/>
      <c r="Z72" s="185">
        <f t="shared" si="16"/>
        <v>0</v>
      </c>
    </row>
    <row r="73" spans="1:26" x14ac:dyDescent="0.2">
      <c r="A73" s="1354">
        <f>COUNT(A7:A72)</f>
        <v>26</v>
      </c>
      <c r="B73" s="1354"/>
      <c r="C73" s="1354"/>
      <c r="D73" s="1354">
        <f>COUNT(D7:D72)</f>
        <v>66</v>
      </c>
      <c r="E73" s="1354">
        <f>COUNT(E7:E72)</f>
        <v>66</v>
      </c>
      <c r="F73" s="1355" t="s">
        <v>90</v>
      </c>
      <c r="G73" s="1355"/>
      <c r="H73" s="1353"/>
      <c r="I73" s="1353"/>
      <c r="J73" s="1356">
        <f t="shared" ref="J73:S73" si="22">COUNTIF(J7:J72,"&gt;=0")</f>
        <v>26</v>
      </c>
      <c r="K73" s="1356">
        <f t="shared" si="22"/>
        <v>30</v>
      </c>
      <c r="L73" s="1356">
        <f t="shared" si="22"/>
        <v>30</v>
      </c>
      <c r="M73" s="1356">
        <f t="shared" si="22"/>
        <v>30</v>
      </c>
      <c r="N73" s="1356">
        <f t="shared" si="22"/>
        <v>36</v>
      </c>
      <c r="O73" s="1356">
        <f t="shared" si="22"/>
        <v>30</v>
      </c>
      <c r="P73" s="1356">
        <f t="shared" si="22"/>
        <v>30</v>
      </c>
      <c r="Q73" s="1356">
        <f t="shared" si="22"/>
        <v>36</v>
      </c>
      <c r="R73" s="1356">
        <f t="shared" si="22"/>
        <v>30</v>
      </c>
      <c r="S73" s="1356">
        <f t="shared" si="22"/>
        <v>29</v>
      </c>
      <c r="T73" s="1356"/>
      <c r="U73" s="1356"/>
      <c r="V73" s="1356"/>
      <c r="W73" s="1356">
        <f>COUNTIF(W7:W72,"&gt;=0")</f>
        <v>31</v>
      </c>
      <c r="X73" s="177"/>
      <c r="Y73" s="190">
        <f>SUM(Y7:Y64)</f>
        <v>67</v>
      </c>
      <c r="Z73" s="177"/>
    </row>
    <row r="74" spans="1:26" x14ac:dyDescent="0.2">
      <c r="A74" s="191"/>
      <c r="B74" s="191"/>
      <c r="C74" s="191"/>
      <c r="D74" s="191"/>
      <c r="E74" s="191"/>
      <c r="F74" s="188" t="s">
        <v>91</v>
      </c>
      <c r="G74" s="188"/>
      <c r="H74" s="189"/>
      <c r="I74" s="189"/>
      <c r="J74" s="192">
        <f t="shared" ref="J74:S74" si="23">IF((J73/(LEN(J5)-LEN(SUBSTITUTE(J5,"*","")))-0.5)&lt;0,"",J73/(LEN(J5)-LEN(SUBSTITUTE(J5,"*","")))-0.5)</f>
        <v>12.5</v>
      </c>
      <c r="K74" s="192">
        <f t="shared" si="23"/>
        <v>14.5</v>
      </c>
      <c r="L74" s="192">
        <f t="shared" si="23"/>
        <v>14.5</v>
      </c>
      <c r="M74" s="192">
        <f t="shared" si="23"/>
        <v>14.5</v>
      </c>
      <c r="N74" s="192">
        <f t="shared" si="23"/>
        <v>17.5</v>
      </c>
      <c r="O74" s="192">
        <f t="shared" si="23"/>
        <v>14.5</v>
      </c>
      <c r="P74" s="192">
        <f t="shared" si="23"/>
        <v>14.5</v>
      </c>
      <c r="Q74" s="192">
        <f t="shared" si="23"/>
        <v>17.5</v>
      </c>
      <c r="R74" s="192">
        <f t="shared" si="23"/>
        <v>14.5</v>
      </c>
      <c r="S74" s="192">
        <f t="shared" si="23"/>
        <v>14</v>
      </c>
      <c r="T74" s="191"/>
      <c r="U74" s="192"/>
      <c r="V74" s="191"/>
      <c r="W74" s="191"/>
      <c r="X74" s="177"/>
      <c r="Y74" s="177"/>
      <c r="Z74" s="177"/>
    </row>
    <row r="76" spans="1:26" x14ac:dyDescent="0.2">
      <c r="A76" s="620"/>
      <c r="B76" s="620"/>
      <c r="C76" s="620"/>
      <c r="D76" s="620"/>
      <c r="E76" s="620" t="s">
        <v>403</v>
      </c>
    </row>
    <row r="77" spans="1:26" x14ac:dyDescent="0.2">
      <c r="H77" s="173"/>
      <c r="I77" s="173"/>
    </row>
    <row r="78" spans="1:26" x14ac:dyDescent="0.2">
      <c r="H78" s="173"/>
      <c r="I78" s="173"/>
    </row>
  </sheetData>
  <autoFilter ref="X6:Z6"/>
  <sortState ref="A8:AB74">
    <sortCondition descending="1" ref="G8"/>
  </sortState>
  <mergeCells count="3">
    <mergeCell ref="X4:X5"/>
    <mergeCell ref="Y4:Y5"/>
    <mergeCell ref="Z4:Z5"/>
  </mergeCells>
  <conditionalFormatting sqref="F7:F72">
    <cfRule type="duplicateValues" dxfId="470" priority="361" stopIfTrue="1"/>
  </conditionalFormatting>
  <conditionalFormatting sqref="Y7:Y72">
    <cfRule type="top10" dxfId="469" priority="372" stopIfTrue="1" rank="1"/>
  </conditionalFormatting>
  <conditionalFormatting sqref="H7:H72">
    <cfRule type="duplicateValues" dxfId="468" priority="373" stopIfTrue="1"/>
  </conditionalFormatting>
  <conditionalFormatting sqref="D7:D72">
    <cfRule type="duplicateValues" dxfId="467" priority="374" stopIfTrue="1"/>
  </conditionalFormatting>
  <conditionalFormatting sqref="Z7:Z72">
    <cfRule type="top10" dxfId="466" priority="375" stopIfTrue="1" rank="1"/>
  </conditionalFormatting>
  <conditionalFormatting sqref="X7:Y72">
    <cfRule type="top10" dxfId="465" priority="376" stopIfTrue="1" rank="1"/>
  </conditionalFormatting>
  <conditionalFormatting sqref="B7:B72">
    <cfRule type="duplicateValues" dxfId="464" priority="377"/>
  </conditionalFormatting>
  <conditionalFormatting sqref="V7:V72 T7:T72">
    <cfRule type="containsText" dxfId="463" priority="32" operator="containsText" text="puudu">
      <formula>NOT(ISERROR(SEARCH("puudu",T7)))</formula>
    </cfRule>
  </conditionalFormatting>
  <conditionalFormatting sqref="J73:W73">
    <cfRule type="top10" dxfId="462" priority="380" stopIfTrue="1" rank="1"/>
  </conditionalFormatting>
  <conditionalFormatting sqref="V7:V72">
    <cfRule type="notContainsText" dxfId="461" priority="31" operator="notContains" text="edasi">
      <formula>ISERROR(SEARCH("edasi",V7))</formula>
    </cfRule>
  </conditionalFormatting>
  <conditionalFormatting sqref="J7:J72">
    <cfRule type="expression" dxfId="460" priority="29">
      <formula>J7=MAX(IF(J$7:J$72&lt;MAX(J$7:J$72),J$7:J$72))</formula>
    </cfRule>
    <cfRule type="top10" dxfId="459" priority="30" rank="1"/>
  </conditionalFormatting>
  <conditionalFormatting sqref="K7:K72">
    <cfRule type="expression" dxfId="458" priority="25">
      <formula>K7=MAX(IF(K$7:K$72&lt;MAX(IF(K$7:K$72&lt;MAX(K$7:K$72),K$7:K$72)),K$7:K$72))</formula>
    </cfRule>
    <cfRule type="expression" dxfId="457" priority="26">
      <formula>K7=MAX(IF(K$7:K$72&lt;MAX(K$7:K$72),K$7:K$72))</formula>
    </cfRule>
    <cfRule type="top10" dxfId="456" priority="27" rank="1"/>
  </conditionalFormatting>
  <conditionalFormatting sqref="L7:L72">
    <cfRule type="top10" dxfId="455" priority="24" rank="1"/>
  </conditionalFormatting>
  <conditionalFormatting sqref="M7:M72">
    <cfRule type="expression" dxfId="454" priority="19">
      <formula>M7=MAX(IF(M$7:M$72&lt;MAX(IF(M$7:M$72&lt;MAX(M$7:M$72),M$7:M$72)),M$7:M$72))</formula>
    </cfRule>
    <cfRule type="expression" dxfId="453" priority="20">
      <formula>M7=MAX(IF(M$7:M$72&lt;MAX(M$7:M$72),M$7:M$72))</formula>
    </cfRule>
    <cfRule type="top10" dxfId="452" priority="21" rank="1"/>
  </conditionalFormatting>
  <conditionalFormatting sqref="N7:N72">
    <cfRule type="expression" dxfId="451" priority="17">
      <formula>N7=MAX(IF(N$7:N$72&lt;MAX(N$7:N$72),N$7:N$72))</formula>
    </cfRule>
    <cfRule type="top10" dxfId="450" priority="18" rank="1"/>
  </conditionalFormatting>
  <conditionalFormatting sqref="O7:O72">
    <cfRule type="expression" dxfId="449" priority="13">
      <formula>O7=MAX(IF(O$7:O$72&lt;MAX(IF(O$7:O$72&lt;MAX(O$7:O$72),O$7:O$72)),O$7:O$72))</formula>
    </cfRule>
    <cfRule type="expression" dxfId="448" priority="14">
      <formula>O7=MAX(IF(O$7:O$72&lt;MAX(O$7:O$72),O$7:O$72))</formula>
    </cfRule>
    <cfRule type="top10" dxfId="447" priority="15" rank="1"/>
  </conditionalFormatting>
  <conditionalFormatting sqref="P7:P72">
    <cfRule type="expression" dxfId="446" priority="10">
      <formula>P7=MAX(IF(P$7:P$72&lt;MAX(IF(P$7:P$72&lt;MAX(P$7:P$72),P$7:P$72)),P$7:P$72))</formula>
    </cfRule>
    <cfRule type="expression" dxfId="445" priority="11">
      <formula>P7=MAX(IF(P$7:P$72&lt;MAX(P$7:P$72),P$7:P$72))</formula>
    </cfRule>
    <cfRule type="top10" dxfId="444" priority="12" rank="1"/>
  </conditionalFormatting>
  <conditionalFormatting sqref="Q7:Q72">
    <cfRule type="expression" dxfId="443" priority="7">
      <formula>Q7=MAX(IF(Q$7:Q$72&lt;MAX(IF(Q$7:Q$72&lt;MAX(Q$7:Q$72),Q$7:Q$72)),Q$7:Q$72))</formula>
    </cfRule>
    <cfRule type="expression" dxfId="442" priority="8">
      <formula>Q7=MAX(IF(Q$7:Q$72&lt;MAX(Q$7:Q$72),Q$7:Q$72))</formula>
    </cfRule>
    <cfRule type="top10" dxfId="441" priority="9" rank="1"/>
  </conditionalFormatting>
  <conditionalFormatting sqref="R7:R72">
    <cfRule type="expression" dxfId="440" priority="4">
      <formula>R7=MAX(IF(R$7:R$72&lt;MAX(IF(R$7:R$72&lt;MAX(R$7:R$72),R$7:R$72)),R$7:R$72))</formula>
    </cfRule>
    <cfRule type="expression" dxfId="439" priority="5">
      <formula>R7=MAX(IF(R$7:R$72&lt;MAX(R$7:R$72),R$7:R$72))</formula>
    </cfRule>
    <cfRule type="top10" dxfId="438" priority="6" rank="1"/>
  </conditionalFormatting>
  <conditionalFormatting sqref="S7:S72">
    <cfRule type="expression" dxfId="437" priority="1">
      <formula>S7=MAX(IF(S$7:S$72&lt;MAX(IF(S$7:S$72&lt;MAX(S$7:S$72),S$7:S$72)),S$7:S$72))</formula>
    </cfRule>
    <cfRule type="expression" dxfId="436" priority="2">
      <formula>S7=MAX(IF(S$7:S$72&lt;MAX(S$7:S$72),S$7:S$72))</formula>
    </cfRule>
    <cfRule type="top10" dxfId="435" priority="3" rank="1"/>
  </conditionalFormatting>
  <pageMargins left="0.31496062992125984" right="0.31496062992125984" top="0.78740157480314965" bottom="0.39370078740157483" header="0.59055118110236227" footer="0"/>
  <pageSetup paperSize="9" fitToHeight="0" orientation="portrait" useFirstPageNumber="1" verticalDpi="300" r:id="rId1"/>
  <headerFooter alignWithMargins="0">
    <oddHeader>&amp;R&amp;"Arial,Regular"&amp;9Page &amp;P of &amp;N</oddHeader>
  </headerFooter>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61"/>
  <sheetViews>
    <sheetView showGridLines="0" showRowColHeaders="0" zoomScaleNormal="100" workbookViewId="0">
      <pane ySplit="2" topLeftCell="A3" activePane="bottomLeft" state="frozen"/>
      <selection activeCell="K1" sqref="K1"/>
      <selection pane="bottomLeft" activeCell="L1" sqref="L1"/>
    </sheetView>
  </sheetViews>
  <sheetFormatPr defaultRowHeight="12.75" x14ac:dyDescent="0.2"/>
  <cols>
    <col min="1" max="1" width="5.5703125" style="152" customWidth="1"/>
    <col min="2" max="2" width="33.7109375" style="152" customWidth="1"/>
    <col min="3" max="3" width="2.28515625" style="152" customWidth="1"/>
    <col min="4" max="4" width="3" style="152" bestFit="1" customWidth="1"/>
    <col min="5" max="5" width="1.5703125" style="152" bestFit="1" customWidth="1"/>
    <col min="6" max="6" width="3" style="152" bestFit="1" customWidth="1"/>
    <col min="7" max="7" width="2.28515625" style="152" customWidth="1"/>
    <col min="8" max="8" width="33.7109375" style="152" customWidth="1"/>
    <col min="9" max="9" width="3" style="152" bestFit="1" customWidth="1"/>
    <col min="10" max="10" width="3" style="152" hidden="1" customWidth="1"/>
    <col min="11" max="11" width="3.140625" style="152" hidden="1" customWidth="1"/>
    <col min="12" max="12" width="3" style="152" customWidth="1"/>
    <col min="13" max="16384" width="9.140625" style="152"/>
  </cols>
  <sheetData>
    <row r="1" spans="1:11" x14ac:dyDescent="0.2">
      <c r="A1" s="151" t="str">
        <f>UPPER((Kalend!E7)&amp;" - "&amp;(Kalend!C7)&amp;" - "&amp;(Kalend!D7))</f>
        <v>V1 - VOKA 4. KV 1. ETAPP - DUO</v>
      </c>
      <c r="D1" s="113" t="str">
        <f>HYPERLINK("#Kalend!I1","Kalender")</f>
        <v>Kalender</v>
      </c>
      <c r="E1" s="113"/>
      <c r="F1" s="113"/>
      <c r="G1" s="2"/>
      <c r="H1" s="113" t="str">
        <f>HYPERLINK("#Reit!G1","Reiting")</f>
        <v>Reiting</v>
      </c>
      <c r="I1" s="2"/>
    </row>
    <row r="2" spans="1:11" x14ac:dyDescent="0.2">
      <c r="A2" s="2" t="str">
        <f>"Toimumisaeg: "&amp;(Kalend!A7)&amp;" kell "&amp;(Kalend!B7)</f>
        <v>Toimumisaeg: K, 10.05.2017 kell 18:00</v>
      </c>
    </row>
    <row r="3" spans="1:11" x14ac:dyDescent="0.2">
      <c r="A3" s="2" t="str">
        <f>"Toimumiskoht: "&amp;(Kalend!F7)</f>
        <v>Toimumiskoht: Voka staadion</v>
      </c>
    </row>
    <row r="4" spans="1:11" x14ac:dyDescent="0.2">
      <c r="A4" s="2" t="str">
        <f>"Korraldaja: "&amp;(Kalend!G7)</f>
        <v>Korraldaja: Johannes Neiland</v>
      </c>
      <c r="H4" s="547" t="s">
        <v>113</v>
      </c>
    </row>
    <row r="5" spans="1:11" x14ac:dyDescent="0.2">
      <c r="A5" s="2"/>
    </row>
    <row r="6" spans="1:11" x14ac:dyDescent="0.2">
      <c r="A6" s="195" t="s">
        <v>114</v>
      </c>
      <c r="B6" s="196"/>
    </row>
    <row r="7" spans="1:11" x14ac:dyDescent="0.2">
      <c r="A7" s="2"/>
      <c r="B7" s="197" t="s">
        <v>344</v>
      </c>
      <c r="C7" s="198"/>
      <c r="D7" s="1312">
        <v>1</v>
      </c>
      <c r="E7" s="1313" t="s">
        <v>402</v>
      </c>
      <c r="F7" s="1314">
        <v>13</v>
      </c>
      <c r="G7" s="199">
        <v>1</v>
      </c>
      <c r="H7" s="197" t="s">
        <v>333</v>
      </c>
      <c r="J7" s="152">
        <v>1</v>
      </c>
      <c r="K7" s="152">
        <v>12</v>
      </c>
    </row>
    <row r="8" spans="1:11" x14ac:dyDescent="0.2">
      <c r="A8" s="2"/>
      <c r="B8" s="197" t="s">
        <v>358</v>
      </c>
      <c r="C8" s="199"/>
      <c r="D8" s="1312">
        <v>2</v>
      </c>
      <c r="E8" s="1313" t="s">
        <v>402</v>
      </c>
      <c r="F8" s="1314">
        <v>13</v>
      </c>
      <c r="G8" s="198">
        <v>1</v>
      </c>
      <c r="H8" s="197" t="s">
        <v>341</v>
      </c>
      <c r="J8" s="152">
        <v>2</v>
      </c>
      <c r="K8" s="152">
        <v>11</v>
      </c>
    </row>
    <row r="9" spans="1:11" x14ac:dyDescent="0.2">
      <c r="A9" s="2"/>
      <c r="B9" s="197" t="s">
        <v>405</v>
      </c>
      <c r="C9" s="199"/>
      <c r="D9" s="1312">
        <v>9</v>
      </c>
      <c r="E9" s="1313" t="s">
        <v>402</v>
      </c>
      <c r="F9" s="1314">
        <v>13</v>
      </c>
      <c r="G9" s="198">
        <v>1</v>
      </c>
      <c r="H9" s="197" t="s">
        <v>339</v>
      </c>
      <c r="J9" s="152">
        <v>3</v>
      </c>
      <c r="K9" s="152">
        <v>10</v>
      </c>
    </row>
    <row r="10" spans="1:11" x14ac:dyDescent="0.2">
      <c r="A10" s="2"/>
      <c r="B10" s="197" t="s">
        <v>334</v>
      </c>
      <c r="C10" s="199">
        <v>1</v>
      </c>
      <c r="D10" s="1312">
        <v>13</v>
      </c>
      <c r="E10" s="1313" t="s">
        <v>402</v>
      </c>
      <c r="F10" s="1314">
        <v>12</v>
      </c>
      <c r="G10" s="198"/>
      <c r="H10" s="197" t="s">
        <v>342</v>
      </c>
      <c r="J10" s="152">
        <v>4</v>
      </c>
      <c r="K10" s="152">
        <v>9</v>
      </c>
    </row>
    <row r="11" spans="1:11" x14ac:dyDescent="0.2">
      <c r="A11" s="2"/>
      <c r="B11" s="197" t="s">
        <v>338</v>
      </c>
      <c r="C11" s="199"/>
      <c r="D11" s="1312">
        <v>11</v>
      </c>
      <c r="E11" s="1313" t="s">
        <v>402</v>
      </c>
      <c r="F11" s="1314">
        <v>13</v>
      </c>
      <c r="G11" s="198">
        <v>1</v>
      </c>
      <c r="H11" s="197" t="s">
        <v>335</v>
      </c>
      <c r="J11" s="152">
        <v>5</v>
      </c>
      <c r="K11" s="152">
        <v>8</v>
      </c>
    </row>
    <row r="12" spans="1:11" x14ac:dyDescent="0.2">
      <c r="A12" s="2"/>
      <c r="B12" s="197" t="s">
        <v>337</v>
      </c>
      <c r="C12" s="199">
        <v>1</v>
      </c>
      <c r="D12" s="1312">
        <v>13</v>
      </c>
      <c r="E12" s="1313" t="s">
        <v>402</v>
      </c>
      <c r="F12" s="1314">
        <v>9</v>
      </c>
      <c r="G12" s="198"/>
      <c r="H12" s="197" t="s">
        <v>345</v>
      </c>
      <c r="J12" s="152">
        <v>6</v>
      </c>
      <c r="K12" s="152">
        <v>7</v>
      </c>
    </row>
    <row r="13" spans="1:11" x14ac:dyDescent="0.2">
      <c r="A13" s="2"/>
      <c r="B13" s="197" t="s">
        <v>336</v>
      </c>
      <c r="C13" s="198">
        <v>1</v>
      </c>
      <c r="D13" s="1315">
        <v>13</v>
      </c>
      <c r="E13" s="1313" t="s">
        <v>402</v>
      </c>
      <c r="F13" s="1316">
        <v>1</v>
      </c>
      <c r="G13" s="198"/>
      <c r="H13" s="546" t="s">
        <v>306</v>
      </c>
      <c r="J13" s="152">
        <v>13</v>
      </c>
      <c r="K13" s="152">
        <v>14</v>
      </c>
    </row>
    <row r="14" spans="1:11" x14ac:dyDescent="0.2">
      <c r="A14" s="195" t="s">
        <v>115</v>
      </c>
      <c r="B14" s="196"/>
      <c r="C14" s="201"/>
      <c r="D14" s="258"/>
      <c r="E14" s="258"/>
      <c r="F14" s="258"/>
      <c r="G14" s="201"/>
    </row>
    <row r="15" spans="1:11" x14ac:dyDescent="0.2">
      <c r="A15" s="2"/>
      <c r="B15" s="197" t="s">
        <v>344</v>
      </c>
      <c r="C15" s="198"/>
      <c r="D15" s="1312">
        <v>8</v>
      </c>
      <c r="E15" s="1313" t="s">
        <v>402</v>
      </c>
      <c r="F15" s="1314">
        <v>13</v>
      </c>
      <c r="G15" s="198">
        <v>1</v>
      </c>
      <c r="H15" s="197" t="s">
        <v>358</v>
      </c>
      <c r="J15" s="152">
        <v>1</v>
      </c>
      <c r="K15" s="152">
        <v>2</v>
      </c>
    </row>
    <row r="16" spans="1:11" x14ac:dyDescent="0.2">
      <c r="A16" s="2"/>
      <c r="B16" s="197" t="s">
        <v>341</v>
      </c>
      <c r="C16" s="199"/>
      <c r="D16" s="1312">
        <v>11</v>
      </c>
      <c r="E16" s="1313" t="s">
        <v>402</v>
      </c>
      <c r="F16" s="1314">
        <v>13</v>
      </c>
      <c r="G16" s="198">
        <v>1</v>
      </c>
      <c r="H16" s="197" t="s">
        <v>336</v>
      </c>
      <c r="J16" s="152">
        <v>11</v>
      </c>
      <c r="K16" s="152">
        <v>13</v>
      </c>
    </row>
    <row r="17" spans="1:11" x14ac:dyDescent="0.2">
      <c r="A17" s="2"/>
      <c r="B17" s="197" t="s">
        <v>333</v>
      </c>
      <c r="C17" s="199">
        <v>1</v>
      </c>
      <c r="D17" s="1312">
        <v>13</v>
      </c>
      <c r="E17" s="1313" t="s">
        <v>402</v>
      </c>
      <c r="F17" s="1314">
        <v>3</v>
      </c>
      <c r="G17" s="198"/>
      <c r="H17" s="197" t="s">
        <v>337</v>
      </c>
      <c r="J17" s="152">
        <v>12</v>
      </c>
      <c r="K17" s="152">
        <v>6</v>
      </c>
    </row>
    <row r="18" spans="1:11" x14ac:dyDescent="0.2">
      <c r="A18" s="2"/>
      <c r="B18" s="197" t="s">
        <v>405</v>
      </c>
      <c r="C18" s="199">
        <v>1</v>
      </c>
      <c r="D18" s="1312">
        <v>13</v>
      </c>
      <c r="E18" s="1313" t="s">
        <v>402</v>
      </c>
      <c r="F18" s="1314">
        <v>5</v>
      </c>
      <c r="G18" s="198"/>
      <c r="H18" s="197" t="s">
        <v>335</v>
      </c>
      <c r="J18" s="152">
        <v>3</v>
      </c>
      <c r="K18" s="152">
        <v>8</v>
      </c>
    </row>
    <row r="19" spans="1:11" x14ac:dyDescent="0.2">
      <c r="A19" s="2"/>
      <c r="B19" s="197" t="s">
        <v>334</v>
      </c>
      <c r="C19" s="199">
        <v>1</v>
      </c>
      <c r="D19" s="1312">
        <v>13</v>
      </c>
      <c r="E19" s="1313" t="s">
        <v>402</v>
      </c>
      <c r="F19" s="1314">
        <v>8</v>
      </c>
      <c r="G19" s="198"/>
      <c r="H19" s="197" t="s">
        <v>339</v>
      </c>
      <c r="J19" s="152">
        <v>4</v>
      </c>
      <c r="K19" s="152">
        <v>10</v>
      </c>
    </row>
    <row r="20" spans="1:11" x14ac:dyDescent="0.2">
      <c r="A20" s="2"/>
      <c r="B20" s="197" t="s">
        <v>338</v>
      </c>
      <c r="C20" s="199">
        <v>1</v>
      </c>
      <c r="D20" s="1312">
        <v>13</v>
      </c>
      <c r="E20" s="1313" t="s">
        <v>402</v>
      </c>
      <c r="F20" s="1314">
        <v>8</v>
      </c>
      <c r="G20" s="198"/>
      <c r="H20" s="197" t="s">
        <v>342</v>
      </c>
      <c r="J20" s="152">
        <v>5</v>
      </c>
      <c r="K20" s="152">
        <v>9</v>
      </c>
    </row>
    <row r="21" spans="1:11" x14ac:dyDescent="0.2">
      <c r="A21" s="2"/>
      <c r="B21" s="197" t="s">
        <v>345</v>
      </c>
      <c r="C21" s="198">
        <v>1</v>
      </c>
      <c r="D21" s="1315">
        <v>13</v>
      </c>
      <c r="E21" s="1313" t="s">
        <v>402</v>
      </c>
      <c r="F21" s="1316">
        <v>1</v>
      </c>
      <c r="G21" s="198"/>
      <c r="H21" s="546" t="s">
        <v>306</v>
      </c>
      <c r="J21" s="152">
        <v>7</v>
      </c>
      <c r="K21" s="152">
        <v>14</v>
      </c>
    </row>
    <row r="22" spans="1:11" x14ac:dyDescent="0.2">
      <c r="A22" s="195" t="s">
        <v>116</v>
      </c>
      <c r="B22" s="196"/>
      <c r="C22" s="201"/>
      <c r="D22" s="258"/>
      <c r="E22" s="258"/>
      <c r="F22" s="258"/>
      <c r="G22" s="201"/>
    </row>
    <row r="23" spans="1:11" x14ac:dyDescent="0.2">
      <c r="A23" s="2"/>
      <c r="B23" s="197" t="s">
        <v>333</v>
      </c>
      <c r="C23" s="198">
        <v>1</v>
      </c>
      <c r="D23" s="1312">
        <v>13</v>
      </c>
      <c r="E23" s="1313" t="s">
        <v>402</v>
      </c>
      <c r="F23" s="1314">
        <v>3</v>
      </c>
      <c r="G23" s="198"/>
      <c r="H23" s="197" t="s">
        <v>336</v>
      </c>
      <c r="J23" s="152">
        <v>12</v>
      </c>
      <c r="K23" s="152">
        <v>13</v>
      </c>
    </row>
    <row r="24" spans="1:11" x14ac:dyDescent="0.2">
      <c r="A24" s="2"/>
      <c r="B24" s="197" t="s">
        <v>344</v>
      </c>
      <c r="C24" s="198"/>
      <c r="D24" s="1312">
        <v>2</v>
      </c>
      <c r="E24" s="1313" t="s">
        <v>402</v>
      </c>
      <c r="F24" s="1314">
        <v>13</v>
      </c>
      <c r="G24" s="198">
        <v>1</v>
      </c>
      <c r="H24" s="197" t="s">
        <v>334</v>
      </c>
      <c r="J24" s="152">
        <v>1</v>
      </c>
      <c r="K24" s="152">
        <v>4</v>
      </c>
    </row>
    <row r="25" spans="1:11" x14ac:dyDescent="0.2">
      <c r="A25" s="2"/>
      <c r="B25" s="197" t="s">
        <v>405</v>
      </c>
      <c r="C25" s="198"/>
      <c r="D25" s="1312">
        <v>5</v>
      </c>
      <c r="E25" s="1313" t="s">
        <v>402</v>
      </c>
      <c r="F25" s="1314">
        <v>13</v>
      </c>
      <c r="G25" s="198">
        <v>1</v>
      </c>
      <c r="H25" s="197" t="s">
        <v>341</v>
      </c>
      <c r="J25" s="152">
        <v>3</v>
      </c>
      <c r="K25" s="152">
        <v>11</v>
      </c>
    </row>
    <row r="26" spans="1:11" x14ac:dyDescent="0.2">
      <c r="A26" s="2"/>
      <c r="B26" s="197" t="s">
        <v>337</v>
      </c>
      <c r="C26" s="198">
        <v>1</v>
      </c>
      <c r="D26" s="1312">
        <v>13</v>
      </c>
      <c r="E26" s="1313" t="s">
        <v>402</v>
      </c>
      <c r="F26" s="1314">
        <v>5</v>
      </c>
      <c r="G26" s="198"/>
      <c r="H26" s="197" t="s">
        <v>335</v>
      </c>
      <c r="J26" s="152">
        <v>6</v>
      </c>
      <c r="K26" s="152">
        <v>8</v>
      </c>
    </row>
    <row r="27" spans="1:11" x14ac:dyDescent="0.2">
      <c r="A27" s="2"/>
      <c r="B27" s="197" t="s">
        <v>338</v>
      </c>
      <c r="C27" s="199">
        <v>1</v>
      </c>
      <c r="D27" s="1312">
        <v>13</v>
      </c>
      <c r="E27" s="1313" t="s">
        <v>402</v>
      </c>
      <c r="F27" s="1314">
        <v>2</v>
      </c>
      <c r="G27" s="198"/>
      <c r="H27" s="197" t="s">
        <v>345</v>
      </c>
      <c r="J27" s="152">
        <v>5</v>
      </c>
      <c r="K27" s="152">
        <v>7</v>
      </c>
    </row>
    <row r="28" spans="1:11" x14ac:dyDescent="0.2">
      <c r="A28" s="2"/>
      <c r="B28" s="197" t="s">
        <v>342</v>
      </c>
      <c r="C28" s="198"/>
      <c r="D28" s="1312">
        <v>1</v>
      </c>
      <c r="E28" s="1313" t="s">
        <v>402</v>
      </c>
      <c r="F28" s="1314">
        <v>13</v>
      </c>
      <c r="G28" s="198">
        <v>1</v>
      </c>
      <c r="H28" s="197" t="s">
        <v>339</v>
      </c>
      <c r="J28" s="152">
        <v>9</v>
      </c>
      <c r="K28" s="152">
        <v>10</v>
      </c>
    </row>
    <row r="29" spans="1:11" x14ac:dyDescent="0.2">
      <c r="A29" s="2"/>
      <c r="B29" s="197" t="s">
        <v>358</v>
      </c>
      <c r="C29" s="198">
        <v>1</v>
      </c>
      <c r="D29" s="1315">
        <v>13</v>
      </c>
      <c r="E29" s="1313" t="s">
        <v>402</v>
      </c>
      <c r="F29" s="1316">
        <v>1</v>
      </c>
      <c r="G29" s="198"/>
      <c r="H29" s="546" t="s">
        <v>306</v>
      </c>
      <c r="J29" s="152">
        <v>2</v>
      </c>
      <c r="K29" s="152">
        <v>14</v>
      </c>
    </row>
    <row r="30" spans="1:11" x14ac:dyDescent="0.2">
      <c r="A30" s="195" t="s">
        <v>117</v>
      </c>
      <c r="B30" s="196"/>
      <c r="C30" s="201"/>
      <c r="D30" s="258"/>
      <c r="E30" s="258"/>
      <c r="F30" s="258"/>
      <c r="G30" s="201"/>
    </row>
    <row r="31" spans="1:11" x14ac:dyDescent="0.2">
      <c r="A31" s="2"/>
      <c r="B31" s="197" t="s">
        <v>334</v>
      </c>
      <c r="C31" s="198"/>
      <c r="D31" s="1312">
        <v>11</v>
      </c>
      <c r="E31" s="1313" t="s">
        <v>402</v>
      </c>
      <c r="F31" s="1314">
        <v>13</v>
      </c>
      <c r="G31" s="198">
        <v>1</v>
      </c>
      <c r="H31" s="197" t="s">
        <v>333</v>
      </c>
      <c r="J31" s="152">
        <v>4</v>
      </c>
      <c r="K31" s="152">
        <v>12</v>
      </c>
    </row>
    <row r="32" spans="1:11" x14ac:dyDescent="0.2">
      <c r="A32" s="2"/>
      <c r="B32" s="197" t="s">
        <v>339</v>
      </c>
      <c r="C32" s="198">
        <v>1</v>
      </c>
      <c r="D32" s="1312">
        <v>13</v>
      </c>
      <c r="E32" s="1313" t="s">
        <v>402</v>
      </c>
      <c r="F32" s="1314">
        <v>11</v>
      </c>
      <c r="G32" s="198"/>
      <c r="H32" s="197" t="s">
        <v>336</v>
      </c>
      <c r="J32" s="152">
        <v>10</v>
      </c>
      <c r="K32" s="152">
        <v>13</v>
      </c>
    </row>
    <row r="33" spans="1:12" x14ac:dyDescent="0.2">
      <c r="A33" s="2"/>
      <c r="B33" s="197" t="s">
        <v>338</v>
      </c>
      <c r="C33" s="198">
        <v>1</v>
      </c>
      <c r="D33" s="1312">
        <v>13</v>
      </c>
      <c r="E33" s="1313" t="s">
        <v>402</v>
      </c>
      <c r="F33" s="1314">
        <v>11</v>
      </c>
      <c r="G33" s="198"/>
      <c r="H33" s="197" t="s">
        <v>337</v>
      </c>
      <c r="J33" s="152">
        <v>5</v>
      </c>
      <c r="K33" s="152">
        <v>6</v>
      </c>
    </row>
    <row r="34" spans="1:12" x14ac:dyDescent="0.2">
      <c r="A34" s="2"/>
      <c r="B34" s="197" t="s">
        <v>405</v>
      </c>
      <c r="C34" s="198">
        <v>1</v>
      </c>
      <c r="D34" s="1312">
        <v>13</v>
      </c>
      <c r="E34" s="1313" t="s">
        <v>402</v>
      </c>
      <c r="F34" s="1314">
        <v>6</v>
      </c>
      <c r="G34" s="198"/>
      <c r="H34" s="197" t="s">
        <v>345</v>
      </c>
      <c r="J34" s="152">
        <v>3</v>
      </c>
      <c r="K34" s="152">
        <v>7</v>
      </c>
    </row>
    <row r="35" spans="1:12" x14ac:dyDescent="0.2">
      <c r="A35" s="2"/>
      <c r="B35" s="197" t="s">
        <v>342</v>
      </c>
      <c r="C35" s="198"/>
      <c r="D35" s="1312">
        <v>2</v>
      </c>
      <c r="E35" s="1313" t="s">
        <v>402</v>
      </c>
      <c r="F35" s="1314">
        <v>13</v>
      </c>
      <c r="G35" s="198">
        <v>1</v>
      </c>
      <c r="H35" s="197" t="s">
        <v>341</v>
      </c>
      <c r="J35" s="152">
        <v>9</v>
      </c>
      <c r="K35" s="152">
        <v>11</v>
      </c>
    </row>
    <row r="36" spans="1:12" x14ac:dyDescent="0.2">
      <c r="A36" s="2"/>
      <c r="B36" s="197" t="s">
        <v>344</v>
      </c>
      <c r="C36" s="198"/>
      <c r="D36" s="1312">
        <v>1</v>
      </c>
      <c r="E36" s="1313" t="s">
        <v>402</v>
      </c>
      <c r="F36" s="1314">
        <v>13</v>
      </c>
      <c r="G36" s="198">
        <v>1</v>
      </c>
      <c r="H36" s="197" t="s">
        <v>335</v>
      </c>
      <c r="J36" s="152">
        <v>1</v>
      </c>
      <c r="K36" s="152">
        <v>8</v>
      </c>
    </row>
    <row r="37" spans="1:12" x14ac:dyDescent="0.2">
      <c r="A37" s="2"/>
      <c r="B37" s="197"/>
      <c r="C37" s="199"/>
      <c r="D37" s="618"/>
      <c r="E37" s="1313" t="s">
        <v>402</v>
      </c>
      <c r="F37" s="619"/>
      <c r="G37" s="198"/>
      <c r="H37" s="200"/>
    </row>
    <row r="38" spans="1:12" x14ac:dyDescent="0.2">
      <c r="A38" s="195" t="s">
        <v>118</v>
      </c>
      <c r="B38" s="196"/>
      <c r="C38" s="201"/>
      <c r="D38" s="258"/>
      <c r="E38" s="258"/>
      <c r="F38" s="258"/>
      <c r="G38" s="201"/>
    </row>
    <row r="39" spans="1:12" x14ac:dyDescent="0.2">
      <c r="A39" s="2"/>
      <c r="B39" s="197" t="s">
        <v>338</v>
      </c>
      <c r="C39" s="199">
        <v>1</v>
      </c>
      <c r="D39" s="1312">
        <v>13</v>
      </c>
      <c r="E39" s="1313" t="s">
        <v>402</v>
      </c>
      <c r="F39" s="1314">
        <v>4</v>
      </c>
      <c r="G39" s="198"/>
      <c r="H39" s="197" t="s">
        <v>333</v>
      </c>
      <c r="J39" s="152">
        <v>5</v>
      </c>
      <c r="K39" s="152">
        <v>12</v>
      </c>
    </row>
    <row r="40" spans="1:12" x14ac:dyDescent="0.2">
      <c r="A40" s="2"/>
      <c r="B40" s="197" t="s">
        <v>405</v>
      </c>
      <c r="C40" s="199"/>
      <c r="D40" s="1312">
        <v>10</v>
      </c>
      <c r="E40" s="1313" t="s">
        <v>402</v>
      </c>
      <c r="F40" s="1314">
        <v>13</v>
      </c>
      <c r="G40" s="198">
        <v>1</v>
      </c>
      <c r="H40" s="197" t="s">
        <v>336</v>
      </c>
      <c r="J40" s="152">
        <v>3</v>
      </c>
      <c r="K40" s="152">
        <v>13</v>
      </c>
    </row>
    <row r="41" spans="1:12" x14ac:dyDescent="0.2">
      <c r="A41" s="2"/>
      <c r="B41" s="197" t="s">
        <v>344</v>
      </c>
      <c r="C41" s="199"/>
      <c r="D41" s="1312">
        <v>3</v>
      </c>
      <c r="E41" s="1313" t="s">
        <v>402</v>
      </c>
      <c r="F41" s="1314">
        <v>13</v>
      </c>
      <c r="G41" s="198">
        <v>1</v>
      </c>
      <c r="H41" s="197" t="s">
        <v>337</v>
      </c>
      <c r="J41" s="152">
        <v>1</v>
      </c>
      <c r="K41" s="152">
        <v>6</v>
      </c>
    </row>
    <row r="42" spans="1:12" x14ac:dyDescent="0.2">
      <c r="A42" s="2"/>
      <c r="B42" s="197" t="s">
        <v>345</v>
      </c>
      <c r="C42" s="199"/>
      <c r="D42" s="1312">
        <v>11</v>
      </c>
      <c r="E42" s="1313" t="s">
        <v>402</v>
      </c>
      <c r="F42" s="1314">
        <v>13</v>
      </c>
      <c r="G42" s="198">
        <v>1</v>
      </c>
      <c r="H42" s="197" t="s">
        <v>342</v>
      </c>
      <c r="J42" s="152">
        <v>7</v>
      </c>
      <c r="K42" s="152">
        <v>9</v>
      </c>
    </row>
    <row r="43" spans="1:12" x14ac:dyDescent="0.2">
      <c r="A43" s="2"/>
      <c r="B43" s="197" t="s">
        <v>334</v>
      </c>
      <c r="C43" s="198">
        <v>1</v>
      </c>
      <c r="D43" s="1312">
        <v>13</v>
      </c>
      <c r="E43" s="1313" t="s">
        <v>402</v>
      </c>
      <c r="F43" s="1314">
        <v>10</v>
      </c>
      <c r="G43" s="198"/>
      <c r="H43" s="197" t="s">
        <v>341</v>
      </c>
      <c r="J43" s="152">
        <v>4</v>
      </c>
      <c r="K43" s="152">
        <v>11</v>
      </c>
    </row>
    <row r="44" spans="1:12" x14ac:dyDescent="0.2">
      <c r="A44" s="2"/>
      <c r="B44" s="197" t="s">
        <v>335</v>
      </c>
      <c r="C44" s="199">
        <v>1</v>
      </c>
      <c r="D44" s="1312">
        <v>13</v>
      </c>
      <c r="E44" s="1313" t="s">
        <v>402</v>
      </c>
      <c r="F44" s="1314">
        <v>1</v>
      </c>
      <c r="G44" s="198"/>
      <c r="H44" s="197" t="s">
        <v>339</v>
      </c>
      <c r="J44" s="152">
        <v>8</v>
      </c>
      <c r="K44" s="152">
        <v>10</v>
      </c>
    </row>
    <row r="45" spans="1:12" x14ac:dyDescent="0.2">
      <c r="A45" s="2"/>
      <c r="B45" s="197"/>
      <c r="C45" s="198"/>
      <c r="D45" s="618"/>
      <c r="E45" s="1313" t="s">
        <v>402</v>
      </c>
      <c r="F45" s="619"/>
      <c r="G45" s="198"/>
      <c r="H45" s="200"/>
    </row>
    <row r="46" spans="1:12" x14ac:dyDescent="0.2">
      <c r="A46" s="2"/>
      <c r="B46" s="214"/>
      <c r="C46" s="865"/>
      <c r="D46" s="212"/>
      <c r="E46" s="855"/>
      <c r="F46" s="212"/>
      <c r="G46" s="865"/>
      <c r="H46" s="258"/>
    </row>
    <row r="47" spans="1:12" x14ac:dyDescent="0.2">
      <c r="A47" s="2"/>
      <c r="C47" s="201"/>
      <c r="G47" s="201"/>
    </row>
    <row r="48" spans="1:12" x14ac:dyDescent="0.2">
      <c r="A48" s="729" t="s">
        <v>145</v>
      </c>
      <c r="B48" s="730" t="s">
        <v>84</v>
      </c>
      <c r="C48" s="721" t="s">
        <v>77</v>
      </c>
      <c r="D48" s="719"/>
      <c r="E48" s="202"/>
      <c r="F48" s="1454" t="s">
        <v>145</v>
      </c>
      <c r="G48" s="1455"/>
      <c r="H48" s="730" t="s">
        <v>84</v>
      </c>
      <c r="I48" s="721" t="s">
        <v>77</v>
      </c>
      <c r="J48" s="718"/>
      <c r="K48" s="718"/>
      <c r="L48" s="719"/>
    </row>
    <row r="49" spans="1:12" x14ac:dyDescent="0.2">
      <c r="A49" s="722">
        <v>1</v>
      </c>
      <c r="B49" s="731" t="s">
        <v>333</v>
      </c>
      <c r="C49" s="741">
        <v>5</v>
      </c>
      <c r="D49" s="719"/>
      <c r="E49" s="204"/>
      <c r="F49" s="1456">
        <v>9</v>
      </c>
      <c r="G49" s="1456"/>
      <c r="H49" s="735" t="s">
        <v>405</v>
      </c>
      <c r="I49" s="736">
        <v>2</v>
      </c>
      <c r="J49" s="718"/>
      <c r="K49" s="718"/>
      <c r="L49" s="719"/>
    </row>
    <row r="50" spans="1:12" x14ac:dyDescent="0.2">
      <c r="A50" s="722">
        <v>2</v>
      </c>
      <c r="B50" s="732" t="s">
        <v>334</v>
      </c>
      <c r="C50" s="741">
        <v>4</v>
      </c>
      <c r="D50" s="719"/>
      <c r="E50" s="204"/>
      <c r="F50" s="1453" t="s">
        <v>343</v>
      </c>
      <c r="G50" s="1453"/>
      <c r="H50" s="735" t="s">
        <v>342</v>
      </c>
      <c r="I50" s="736">
        <v>1</v>
      </c>
      <c r="J50" s="718"/>
      <c r="K50" s="718"/>
      <c r="L50" s="719"/>
    </row>
    <row r="51" spans="1:12" x14ac:dyDescent="0.2">
      <c r="A51" s="738" t="s">
        <v>340</v>
      </c>
      <c r="B51" s="733" t="s">
        <v>335</v>
      </c>
      <c r="C51" s="741">
        <v>3</v>
      </c>
      <c r="D51" s="719"/>
      <c r="E51" s="204"/>
      <c r="F51" s="1453" t="s">
        <v>343</v>
      </c>
      <c r="G51" s="1453"/>
      <c r="H51" s="735" t="s">
        <v>344</v>
      </c>
      <c r="I51" s="736">
        <v>1</v>
      </c>
      <c r="J51" s="718"/>
      <c r="K51" s="718"/>
      <c r="L51" s="719"/>
    </row>
    <row r="52" spans="1:12" x14ac:dyDescent="0.2">
      <c r="A52" s="738" t="s">
        <v>340</v>
      </c>
      <c r="B52" s="735" t="s">
        <v>336</v>
      </c>
      <c r="C52" s="741">
        <v>3</v>
      </c>
      <c r="D52" s="719"/>
      <c r="E52" s="204"/>
      <c r="F52" s="1453" t="s">
        <v>346</v>
      </c>
      <c r="G52" s="1453"/>
      <c r="H52" s="735" t="s">
        <v>345</v>
      </c>
      <c r="I52" s="736">
        <v>1</v>
      </c>
      <c r="J52" s="718"/>
      <c r="K52" s="718"/>
      <c r="L52" s="719"/>
    </row>
    <row r="53" spans="1:12" x14ac:dyDescent="0.2">
      <c r="A53" s="738" t="s">
        <v>340</v>
      </c>
      <c r="B53" s="735" t="s">
        <v>337</v>
      </c>
      <c r="C53" s="741">
        <v>3</v>
      </c>
      <c r="D53" s="719"/>
      <c r="E53" s="204"/>
      <c r="F53" s="1453" t="s">
        <v>346</v>
      </c>
      <c r="G53" s="1453"/>
      <c r="H53" s="735" t="s">
        <v>358</v>
      </c>
      <c r="I53" s="736">
        <v>1</v>
      </c>
      <c r="J53" s="718"/>
      <c r="K53" s="718"/>
      <c r="L53" s="719"/>
    </row>
    <row r="54" spans="1:12" x14ac:dyDescent="0.2">
      <c r="A54" s="738" t="s">
        <v>340</v>
      </c>
      <c r="B54" s="735" t="s">
        <v>338</v>
      </c>
      <c r="C54" s="741">
        <v>3</v>
      </c>
      <c r="D54" s="719"/>
      <c r="E54" s="204"/>
      <c r="F54" s="204"/>
    </row>
    <row r="55" spans="1:12" x14ac:dyDescent="0.2">
      <c r="A55" s="738" t="s">
        <v>340</v>
      </c>
      <c r="B55" s="735" t="s">
        <v>339</v>
      </c>
      <c r="C55" s="741">
        <v>3</v>
      </c>
      <c r="D55" s="719"/>
      <c r="E55" s="204"/>
      <c r="F55" s="204"/>
    </row>
    <row r="56" spans="1:12" x14ac:dyDescent="0.2">
      <c r="A56" s="738" t="s">
        <v>340</v>
      </c>
      <c r="B56" s="735" t="s">
        <v>341</v>
      </c>
      <c r="C56" s="743">
        <v>3</v>
      </c>
      <c r="D56" s="719"/>
      <c r="E56" s="201"/>
      <c r="F56" s="201"/>
    </row>
    <row r="57" spans="1:12" x14ac:dyDescent="0.2">
      <c r="E57" s="201"/>
      <c r="F57" s="201"/>
    </row>
    <row r="58" spans="1:12" x14ac:dyDescent="0.2">
      <c r="E58" s="201"/>
      <c r="F58" s="201"/>
    </row>
    <row r="59" spans="1:12" x14ac:dyDescent="0.2">
      <c r="E59" s="201"/>
      <c r="F59" s="201"/>
    </row>
    <row r="60" spans="1:12" x14ac:dyDescent="0.2">
      <c r="E60" s="201"/>
      <c r="F60" s="201"/>
    </row>
    <row r="61" spans="1:12" x14ac:dyDescent="0.2">
      <c r="E61" s="201"/>
      <c r="F61" s="201"/>
    </row>
  </sheetData>
  <mergeCells count="6">
    <mergeCell ref="F53:G53"/>
    <mergeCell ref="F48:G48"/>
    <mergeCell ref="F49:G49"/>
    <mergeCell ref="F50:G50"/>
    <mergeCell ref="F51:G51"/>
    <mergeCell ref="F52:G52"/>
  </mergeCells>
  <conditionalFormatting sqref="H51:H53 B49:B56 H49">
    <cfRule type="duplicateValues" dxfId="434" priority="51"/>
  </conditionalFormatting>
  <conditionalFormatting sqref="B7">
    <cfRule type="duplicateValues" dxfId="433" priority="50"/>
  </conditionalFormatting>
  <conditionalFormatting sqref="B8">
    <cfRule type="duplicateValues" dxfId="432" priority="49"/>
  </conditionalFormatting>
  <conditionalFormatting sqref="H8">
    <cfRule type="duplicateValues" dxfId="431" priority="48"/>
  </conditionalFormatting>
  <conditionalFormatting sqref="B9">
    <cfRule type="duplicateValues" dxfId="430" priority="47"/>
  </conditionalFormatting>
  <conditionalFormatting sqref="H9">
    <cfRule type="duplicateValues" dxfId="429" priority="46"/>
  </conditionalFormatting>
  <conditionalFormatting sqref="B11">
    <cfRule type="duplicateValues" dxfId="428" priority="45"/>
  </conditionalFormatting>
  <conditionalFormatting sqref="B12">
    <cfRule type="duplicateValues" dxfId="427" priority="44"/>
  </conditionalFormatting>
  <conditionalFormatting sqref="H12">
    <cfRule type="duplicateValues" dxfId="426" priority="43"/>
  </conditionalFormatting>
  <conditionalFormatting sqref="B13">
    <cfRule type="duplicateValues" dxfId="425" priority="42"/>
  </conditionalFormatting>
  <conditionalFormatting sqref="B15">
    <cfRule type="duplicateValues" dxfId="424" priority="41"/>
  </conditionalFormatting>
  <conditionalFormatting sqref="B24">
    <cfRule type="duplicateValues" dxfId="423" priority="40"/>
  </conditionalFormatting>
  <conditionalFormatting sqref="B36">
    <cfRule type="duplicateValues" dxfId="422" priority="39"/>
  </conditionalFormatting>
  <conditionalFormatting sqref="B41">
    <cfRule type="duplicateValues" dxfId="421" priority="38"/>
  </conditionalFormatting>
  <conditionalFormatting sqref="H15">
    <cfRule type="duplicateValues" dxfId="420" priority="37"/>
  </conditionalFormatting>
  <conditionalFormatting sqref="B29">
    <cfRule type="duplicateValues" dxfId="419" priority="36"/>
  </conditionalFormatting>
  <conditionalFormatting sqref="B18">
    <cfRule type="duplicateValues" dxfId="418" priority="35"/>
  </conditionalFormatting>
  <conditionalFormatting sqref="B25">
    <cfRule type="duplicateValues" dxfId="417" priority="34"/>
  </conditionalFormatting>
  <conditionalFormatting sqref="B34">
    <cfRule type="duplicateValues" dxfId="416" priority="33"/>
  </conditionalFormatting>
  <conditionalFormatting sqref="B40">
    <cfRule type="duplicateValues" dxfId="415" priority="32"/>
  </conditionalFormatting>
  <conditionalFormatting sqref="H53">
    <cfRule type="duplicateValues" dxfId="414" priority="31"/>
  </conditionalFormatting>
  <conditionalFormatting sqref="B20">
    <cfRule type="duplicateValues" dxfId="413" priority="30"/>
  </conditionalFormatting>
  <conditionalFormatting sqref="B27">
    <cfRule type="duplicateValues" dxfId="412" priority="29"/>
  </conditionalFormatting>
  <conditionalFormatting sqref="B33">
    <cfRule type="duplicateValues" dxfId="411" priority="28"/>
  </conditionalFormatting>
  <conditionalFormatting sqref="B39">
    <cfRule type="duplicateValues" dxfId="410" priority="27"/>
  </conditionalFormatting>
  <conditionalFormatting sqref="H17">
    <cfRule type="duplicateValues" dxfId="409" priority="26"/>
  </conditionalFormatting>
  <conditionalFormatting sqref="B26">
    <cfRule type="duplicateValues" dxfId="408" priority="25"/>
  </conditionalFormatting>
  <conditionalFormatting sqref="H33">
    <cfRule type="duplicateValues" dxfId="407" priority="24"/>
  </conditionalFormatting>
  <conditionalFormatting sqref="H41">
    <cfRule type="duplicateValues" dxfId="406" priority="23"/>
  </conditionalFormatting>
  <conditionalFormatting sqref="B21">
    <cfRule type="duplicateValues" dxfId="405" priority="22"/>
  </conditionalFormatting>
  <conditionalFormatting sqref="H27">
    <cfRule type="duplicateValues" dxfId="404" priority="21"/>
  </conditionalFormatting>
  <conditionalFormatting sqref="H34">
    <cfRule type="duplicateValues" dxfId="403" priority="20"/>
  </conditionalFormatting>
  <conditionalFormatting sqref="B42">
    <cfRule type="duplicateValues" dxfId="402" priority="19"/>
  </conditionalFormatting>
  <conditionalFormatting sqref="H19">
    <cfRule type="duplicateValues" dxfId="401" priority="18"/>
  </conditionalFormatting>
  <conditionalFormatting sqref="B32">
    <cfRule type="duplicateValues" dxfId="400" priority="17"/>
  </conditionalFormatting>
  <conditionalFormatting sqref="H44">
    <cfRule type="duplicateValues" dxfId="399" priority="16"/>
  </conditionalFormatting>
  <conditionalFormatting sqref="B16">
    <cfRule type="duplicateValues" dxfId="398" priority="15"/>
  </conditionalFormatting>
  <conditionalFormatting sqref="H25">
    <cfRule type="duplicateValues" dxfId="397" priority="14"/>
  </conditionalFormatting>
  <conditionalFormatting sqref="H35">
    <cfRule type="duplicateValues" dxfId="396" priority="13"/>
  </conditionalFormatting>
  <conditionalFormatting sqref="H43">
    <cfRule type="duplicateValues" dxfId="395" priority="12"/>
  </conditionalFormatting>
  <conditionalFormatting sqref="H16">
    <cfRule type="duplicateValues" dxfId="394" priority="11"/>
  </conditionalFormatting>
  <conditionalFormatting sqref="H23">
    <cfRule type="duplicateValues" dxfId="393" priority="10"/>
  </conditionalFormatting>
  <conditionalFormatting sqref="H32">
    <cfRule type="duplicateValues" dxfId="392" priority="9"/>
  </conditionalFormatting>
  <conditionalFormatting sqref="H40">
    <cfRule type="duplicateValues" dxfId="391" priority="8"/>
  </conditionalFormatting>
  <conditionalFormatting sqref="H50">
    <cfRule type="duplicateValues" dxfId="390" priority="7"/>
  </conditionalFormatting>
  <conditionalFormatting sqref="E7:E13">
    <cfRule type="cellIs" dxfId="389" priority="6" operator="equal">
      <formula>13</formula>
    </cfRule>
  </conditionalFormatting>
  <conditionalFormatting sqref="E15:E21">
    <cfRule type="cellIs" dxfId="388" priority="5" operator="equal">
      <formula>13</formula>
    </cfRule>
  </conditionalFormatting>
  <conditionalFormatting sqref="E39:E46">
    <cfRule type="cellIs" dxfId="387" priority="2" operator="equal">
      <formula>13</formula>
    </cfRule>
  </conditionalFormatting>
  <conditionalFormatting sqref="E23:E29">
    <cfRule type="cellIs" dxfId="386" priority="4" operator="equal">
      <formula>13</formula>
    </cfRule>
  </conditionalFormatting>
  <conditionalFormatting sqref="E31:E37">
    <cfRule type="cellIs" dxfId="385" priority="3" operator="equal">
      <formula>13</formula>
    </cfRule>
  </conditionalFormatting>
  <conditionalFormatting sqref="D7:F45">
    <cfRule type="cellIs" dxfId="384" priority="1" operator="equal">
      <formula>13</formula>
    </cfRule>
  </conditionalFormatting>
  <pageMargins left="0.78740157480314965" right="0.39370078740157483" top="0.59055118110236227" bottom="0.39370078740157483" header="0.39370078740157483" footer="0"/>
  <pageSetup paperSize="9" fitToHeight="0" orientation="portrait" verticalDpi="1200" r:id="rId1"/>
  <headerFooter>
    <oddHeader>&amp;R&amp;"Arial,Regular"&amp;9Page &amp;P of &amp;N</oddHeader>
  </headerFooter>
  <rowBreaks count="4" manualBreakCount="4">
    <brk id="73" max="16383" man="1"/>
    <brk id="111" max="16383" man="1"/>
    <brk id="149" max="16383" man="1"/>
    <brk id="184" max="16383" man="1"/>
  </rowBreaks>
  <ignoredErrors>
    <ignoredError sqref="F52:G53" twoDigitTextYea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61"/>
  <sheetViews>
    <sheetView showGridLines="0" showRowColHeaders="0" zoomScaleNormal="100" workbookViewId="0">
      <pane ySplit="2" topLeftCell="A3" activePane="bottomLeft" state="frozen"/>
      <selection activeCell="K30" sqref="K30"/>
      <selection pane="bottomLeft" activeCell="I1" sqref="I1"/>
    </sheetView>
  </sheetViews>
  <sheetFormatPr defaultRowHeight="12.75" x14ac:dyDescent="0.2"/>
  <cols>
    <col min="1" max="1" width="5.5703125" style="152" customWidth="1"/>
    <col min="2" max="2" width="33.7109375" style="152" customWidth="1"/>
    <col min="3" max="3" width="2.28515625" style="152" customWidth="1"/>
    <col min="4" max="4" width="3" style="152" bestFit="1" customWidth="1"/>
    <col min="5" max="5" width="1.5703125" style="152" bestFit="1" customWidth="1"/>
    <col min="6" max="6" width="3" style="152" bestFit="1" customWidth="1"/>
    <col min="7" max="7" width="2.28515625" style="152" customWidth="1"/>
    <col min="8" max="8" width="33.7109375" style="152" customWidth="1"/>
    <col min="9" max="9" width="3" style="152" bestFit="1" customWidth="1"/>
    <col min="10" max="10" width="3" style="152" hidden="1" customWidth="1"/>
    <col min="11" max="11" width="3.5703125" style="152" hidden="1" customWidth="1"/>
    <col min="12" max="12" width="2.7109375" style="152" bestFit="1" customWidth="1"/>
    <col min="13" max="16384" width="9.140625" style="152"/>
  </cols>
  <sheetData>
    <row r="1" spans="1:10" x14ac:dyDescent="0.2">
      <c r="A1" s="151" t="str">
        <f>UPPER((Kalend!E10)&amp;" - "&amp;(Kalend!C10)&amp;" - "&amp;(Kalend!D10))</f>
        <v>V2 - VOKA 4. KV 2. ETAPP - DUO</v>
      </c>
      <c r="D1" s="113" t="str">
        <f>HYPERLINK("#Kalend!I1","Kalender")</f>
        <v>Kalender</v>
      </c>
      <c r="E1" s="113"/>
      <c r="F1" s="113"/>
      <c r="G1" s="2"/>
      <c r="H1" s="113" t="str">
        <f>HYPERLINK("#Reit!G1","Reiting")</f>
        <v>Reiting</v>
      </c>
      <c r="I1" s="2"/>
      <c r="J1" s="2"/>
    </row>
    <row r="2" spans="1:10" x14ac:dyDescent="0.2">
      <c r="A2" s="2" t="str">
        <f>"Toimumisaeg: "&amp;(Kalend!A10)&amp;" kell "&amp;(Kalend!B10)</f>
        <v>Toimumisaeg: K, 24.05.2017 kell 18:00</v>
      </c>
    </row>
    <row r="3" spans="1:10" x14ac:dyDescent="0.2">
      <c r="A3" s="2" t="str">
        <f>"Toimumiskoht: "&amp;(Kalend!F10)</f>
        <v>Toimumiskoht: Voka staadion</v>
      </c>
    </row>
    <row r="4" spans="1:10" x14ac:dyDescent="0.2">
      <c r="A4" s="2" t="str">
        <f>"Korraldaja: "&amp;(Kalend!G10)</f>
        <v>Korraldaja: Johannes Neiland</v>
      </c>
      <c r="H4" s="547" t="s">
        <v>113</v>
      </c>
    </row>
    <row r="5" spans="1:10" x14ac:dyDescent="0.2">
      <c r="A5" s="2"/>
    </row>
    <row r="6" spans="1:10" x14ac:dyDescent="0.2">
      <c r="A6" s="195" t="s">
        <v>114</v>
      </c>
      <c r="B6" s="196"/>
    </row>
    <row r="7" spans="1:10" x14ac:dyDescent="0.2">
      <c r="A7" s="2"/>
      <c r="B7" s="206" t="s">
        <v>333</v>
      </c>
      <c r="C7" s="207"/>
      <c r="D7" s="615">
        <v>8</v>
      </c>
      <c r="E7" s="616" t="s">
        <v>402</v>
      </c>
      <c r="F7" s="617">
        <v>13</v>
      </c>
      <c r="G7" s="208">
        <v>1</v>
      </c>
      <c r="H7" s="206" t="s">
        <v>389</v>
      </c>
    </row>
    <row r="8" spans="1:10" x14ac:dyDescent="0.2">
      <c r="A8" s="2"/>
      <c r="B8" s="197" t="s">
        <v>334</v>
      </c>
      <c r="C8" s="207"/>
      <c r="D8" s="615">
        <v>3</v>
      </c>
      <c r="E8" s="616" t="s">
        <v>402</v>
      </c>
      <c r="F8" s="617">
        <v>13</v>
      </c>
      <c r="G8" s="208">
        <v>1</v>
      </c>
      <c r="H8" s="206" t="s">
        <v>367</v>
      </c>
    </row>
    <row r="9" spans="1:10" x14ac:dyDescent="0.2">
      <c r="A9" s="2"/>
      <c r="B9" s="206" t="s">
        <v>335</v>
      </c>
      <c r="C9" s="207"/>
      <c r="D9" s="615">
        <v>9</v>
      </c>
      <c r="E9" s="616" t="s">
        <v>402</v>
      </c>
      <c r="F9" s="617">
        <v>13</v>
      </c>
      <c r="G9" s="208">
        <v>1</v>
      </c>
      <c r="H9" s="206" t="s">
        <v>390</v>
      </c>
    </row>
    <row r="10" spans="1:10" x14ac:dyDescent="0.2">
      <c r="A10" s="2"/>
      <c r="B10" s="197" t="s">
        <v>337</v>
      </c>
      <c r="C10" s="207"/>
      <c r="D10" s="615">
        <v>8</v>
      </c>
      <c r="E10" s="616" t="s">
        <v>402</v>
      </c>
      <c r="F10" s="617">
        <v>13</v>
      </c>
      <c r="G10" s="208">
        <v>1</v>
      </c>
      <c r="H10" s="206" t="s">
        <v>391</v>
      </c>
    </row>
    <row r="11" spans="1:10" x14ac:dyDescent="0.2">
      <c r="A11" s="2"/>
      <c r="B11" s="197" t="s">
        <v>336</v>
      </c>
      <c r="C11" s="208">
        <v>1</v>
      </c>
      <c r="D11" s="615">
        <v>13</v>
      </c>
      <c r="E11" s="616" t="s">
        <v>402</v>
      </c>
      <c r="F11" s="617">
        <v>1</v>
      </c>
      <c r="G11" s="207"/>
      <c r="H11" s="614" t="s">
        <v>392</v>
      </c>
    </row>
    <row r="12" spans="1:10" x14ac:dyDescent="0.2">
      <c r="A12" s="2"/>
      <c r="B12" s="197" t="s">
        <v>341</v>
      </c>
      <c r="C12" s="208"/>
      <c r="D12" s="615">
        <v>10</v>
      </c>
      <c r="E12" s="616" t="s">
        <v>402</v>
      </c>
      <c r="F12" s="617">
        <v>13</v>
      </c>
      <c r="G12" s="207">
        <v>1</v>
      </c>
      <c r="H12" s="206" t="s">
        <v>393</v>
      </c>
    </row>
    <row r="13" spans="1:10" x14ac:dyDescent="0.2">
      <c r="A13" s="2"/>
      <c r="B13" s="197" t="s">
        <v>342</v>
      </c>
      <c r="C13" s="207"/>
      <c r="D13" s="615">
        <v>4</v>
      </c>
      <c r="E13" s="616" t="s">
        <v>402</v>
      </c>
      <c r="F13" s="617">
        <v>13</v>
      </c>
      <c r="G13" s="207">
        <v>1</v>
      </c>
      <c r="H13" s="206" t="s">
        <v>405</v>
      </c>
    </row>
    <row r="14" spans="1:10" x14ac:dyDescent="0.2">
      <c r="A14" s="2"/>
      <c r="B14" s="197" t="s">
        <v>345</v>
      </c>
      <c r="C14" s="207">
        <v>1</v>
      </c>
      <c r="D14" s="615">
        <v>13</v>
      </c>
      <c r="E14" s="616" t="s">
        <v>402</v>
      </c>
      <c r="F14" s="617">
        <v>1</v>
      </c>
      <c r="G14" s="207"/>
      <c r="H14" s="197" t="s">
        <v>306</v>
      </c>
    </row>
    <row r="15" spans="1:10" x14ac:dyDescent="0.2">
      <c r="A15" s="195" t="s">
        <v>115</v>
      </c>
      <c r="B15" s="196"/>
      <c r="C15" s="209"/>
      <c r="D15" s="213"/>
      <c r="E15" s="213"/>
      <c r="F15" s="213"/>
      <c r="G15" s="209"/>
      <c r="H15" s="210"/>
    </row>
    <row r="16" spans="1:10" x14ac:dyDescent="0.2">
      <c r="A16" s="2"/>
      <c r="B16" s="206" t="s">
        <v>393</v>
      </c>
      <c r="C16" s="207">
        <v>1</v>
      </c>
      <c r="D16" s="615">
        <v>13</v>
      </c>
      <c r="E16" s="616" t="s">
        <v>402</v>
      </c>
      <c r="F16" s="617">
        <v>6</v>
      </c>
      <c r="G16" s="207"/>
      <c r="H16" s="206" t="s">
        <v>367</v>
      </c>
    </row>
    <row r="17" spans="1:8" x14ac:dyDescent="0.2">
      <c r="A17" s="2"/>
      <c r="B17" s="206" t="s">
        <v>389</v>
      </c>
      <c r="C17" s="207">
        <v>1</v>
      </c>
      <c r="D17" s="615">
        <v>13</v>
      </c>
      <c r="E17" s="616" t="s">
        <v>402</v>
      </c>
      <c r="F17" s="617">
        <v>4</v>
      </c>
      <c r="G17" s="207"/>
      <c r="H17" s="197" t="s">
        <v>345</v>
      </c>
    </row>
    <row r="18" spans="1:8" x14ac:dyDescent="0.2">
      <c r="A18" s="2"/>
      <c r="B18" s="206" t="s">
        <v>391</v>
      </c>
      <c r="C18" s="207"/>
      <c r="D18" s="615">
        <v>9</v>
      </c>
      <c r="E18" s="616" t="s">
        <v>402</v>
      </c>
      <c r="F18" s="617">
        <v>13</v>
      </c>
      <c r="G18" s="207">
        <v>1</v>
      </c>
      <c r="H18" s="197" t="s">
        <v>336</v>
      </c>
    </row>
    <row r="19" spans="1:8" x14ac:dyDescent="0.2">
      <c r="A19" s="2"/>
      <c r="B19" s="206" t="s">
        <v>405</v>
      </c>
      <c r="C19" s="208"/>
      <c r="D19" s="615">
        <v>11</v>
      </c>
      <c r="E19" s="616" t="s">
        <v>402</v>
      </c>
      <c r="F19" s="617">
        <v>13</v>
      </c>
      <c r="G19" s="207">
        <v>1</v>
      </c>
      <c r="H19" s="206" t="s">
        <v>390</v>
      </c>
    </row>
    <row r="20" spans="1:8" x14ac:dyDescent="0.2">
      <c r="A20" s="2"/>
      <c r="B20" s="206" t="s">
        <v>334</v>
      </c>
      <c r="C20" s="208">
        <v>1</v>
      </c>
      <c r="D20" s="615">
        <v>13</v>
      </c>
      <c r="E20" s="616" t="s">
        <v>402</v>
      </c>
      <c r="F20" s="617">
        <v>8</v>
      </c>
      <c r="G20" s="207"/>
      <c r="H20" s="206" t="s">
        <v>335</v>
      </c>
    </row>
    <row r="21" spans="1:8" x14ac:dyDescent="0.2">
      <c r="A21" s="2"/>
      <c r="B21" s="206" t="s">
        <v>333</v>
      </c>
      <c r="C21" s="208">
        <v>1</v>
      </c>
      <c r="D21" s="615">
        <v>13</v>
      </c>
      <c r="E21" s="616" t="s">
        <v>402</v>
      </c>
      <c r="F21" s="617">
        <v>12</v>
      </c>
      <c r="G21" s="207"/>
      <c r="H21" s="197" t="s">
        <v>342</v>
      </c>
    </row>
    <row r="22" spans="1:8" x14ac:dyDescent="0.2">
      <c r="A22" s="2"/>
      <c r="B22" s="614" t="s">
        <v>392</v>
      </c>
      <c r="C22" s="207"/>
      <c r="D22" s="615">
        <v>8</v>
      </c>
      <c r="E22" s="616" t="s">
        <v>402</v>
      </c>
      <c r="F22" s="617">
        <v>13</v>
      </c>
      <c r="G22" s="207">
        <v>1</v>
      </c>
      <c r="H22" s="197" t="s">
        <v>341</v>
      </c>
    </row>
    <row r="23" spans="1:8" x14ac:dyDescent="0.2">
      <c r="A23" s="2"/>
      <c r="B23" s="197" t="s">
        <v>337</v>
      </c>
      <c r="C23" s="207">
        <v>1</v>
      </c>
      <c r="D23" s="615">
        <v>13</v>
      </c>
      <c r="E23" s="616" t="s">
        <v>402</v>
      </c>
      <c r="F23" s="617">
        <v>1</v>
      </c>
      <c r="G23" s="207"/>
      <c r="H23" s="206" t="s">
        <v>306</v>
      </c>
    </row>
    <row r="24" spans="1:8" x14ac:dyDescent="0.2">
      <c r="A24" s="195" t="s">
        <v>116</v>
      </c>
      <c r="B24" s="196"/>
      <c r="C24" s="209"/>
      <c r="D24" s="213"/>
      <c r="E24" s="213"/>
      <c r="F24" s="213"/>
      <c r="G24" s="209"/>
      <c r="H24" s="210"/>
    </row>
    <row r="25" spans="1:8" x14ac:dyDescent="0.2">
      <c r="A25" s="2"/>
      <c r="B25" s="206" t="s">
        <v>393</v>
      </c>
      <c r="C25" s="207">
        <v>1</v>
      </c>
      <c r="D25" s="615">
        <v>13</v>
      </c>
      <c r="E25" s="616" t="s">
        <v>402</v>
      </c>
      <c r="F25" s="617">
        <v>7</v>
      </c>
      <c r="G25" s="207"/>
      <c r="H25" s="206" t="s">
        <v>390</v>
      </c>
    </row>
    <row r="26" spans="1:8" x14ac:dyDescent="0.2">
      <c r="A26" s="2"/>
      <c r="B26" s="197" t="s">
        <v>336</v>
      </c>
      <c r="C26" s="207"/>
      <c r="D26" s="615">
        <v>7</v>
      </c>
      <c r="E26" s="616" t="s">
        <v>402</v>
      </c>
      <c r="F26" s="617">
        <v>13</v>
      </c>
      <c r="G26" s="207">
        <v>1</v>
      </c>
      <c r="H26" s="206" t="s">
        <v>389</v>
      </c>
    </row>
    <row r="27" spans="1:8" x14ac:dyDescent="0.2">
      <c r="A27" s="2"/>
      <c r="B27" s="614" t="s">
        <v>392</v>
      </c>
      <c r="C27" s="207"/>
      <c r="D27" s="615">
        <v>7</v>
      </c>
      <c r="E27" s="616" t="s">
        <v>402</v>
      </c>
      <c r="F27" s="617">
        <v>13</v>
      </c>
      <c r="G27" s="207">
        <v>1</v>
      </c>
      <c r="H27" s="206" t="s">
        <v>335</v>
      </c>
    </row>
    <row r="28" spans="1:8" x14ac:dyDescent="0.2">
      <c r="A28" s="2"/>
      <c r="B28" s="197" t="s">
        <v>334</v>
      </c>
      <c r="C28" s="207">
        <v>1</v>
      </c>
      <c r="D28" s="615">
        <v>13</v>
      </c>
      <c r="E28" s="616" t="s">
        <v>402</v>
      </c>
      <c r="F28" s="617">
        <v>11</v>
      </c>
      <c r="G28" s="207"/>
      <c r="H28" s="206" t="s">
        <v>337</v>
      </c>
    </row>
    <row r="29" spans="1:8" x14ac:dyDescent="0.2">
      <c r="A29" s="2"/>
      <c r="B29" s="206" t="s">
        <v>333</v>
      </c>
      <c r="C29" s="207">
        <v>1</v>
      </c>
      <c r="D29" s="615">
        <v>13</v>
      </c>
      <c r="E29" s="616" t="s">
        <v>402</v>
      </c>
      <c r="F29" s="617">
        <v>12</v>
      </c>
      <c r="G29" s="207"/>
      <c r="H29" s="206" t="s">
        <v>367</v>
      </c>
    </row>
    <row r="30" spans="1:8" x14ac:dyDescent="0.2">
      <c r="A30" s="2"/>
      <c r="B30" s="206" t="s">
        <v>391</v>
      </c>
      <c r="C30" s="208"/>
      <c r="D30" s="615">
        <v>11</v>
      </c>
      <c r="E30" s="616" t="s">
        <v>402</v>
      </c>
      <c r="F30" s="617">
        <v>13</v>
      </c>
      <c r="G30" s="207">
        <v>1</v>
      </c>
      <c r="H30" s="206" t="s">
        <v>405</v>
      </c>
    </row>
    <row r="31" spans="1:8" x14ac:dyDescent="0.2">
      <c r="A31" s="2"/>
      <c r="B31" s="197" t="s">
        <v>341</v>
      </c>
      <c r="C31" s="207">
        <v>1</v>
      </c>
      <c r="D31" s="615">
        <v>13</v>
      </c>
      <c r="E31" s="616" t="s">
        <v>402</v>
      </c>
      <c r="F31" s="617">
        <v>5</v>
      </c>
      <c r="G31" s="207"/>
      <c r="H31" s="197" t="s">
        <v>345</v>
      </c>
    </row>
    <row r="32" spans="1:8" x14ac:dyDescent="0.2">
      <c r="A32" s="2"/>
      <c r="B32" s="197" t="s">
        <v>342</v>
      </c>
      <c r="C32" s="207">
        <v>1</v>
      </c>
      <c r="D32" s="615">
        <v>13</v>
      </c>
      <c r="E32" s="616" t="s">
        <v>402</v>
      </c>
      <c r="F32" s="617">
        <v>1</v>
      </c>
      <c r="G32" s="207"/>
      <c r="H32" s="614" t="s">
        <v>306</v>
      </c>
    </row>
    <row r="33" spans="1:8" x14ac:dyDescent="0.2">
      <c r="A33" s="195" t="s">
        <v>117</v>
      </c>
      <c r="B33" s="196"/>
      <c r="C33" s="209"/>
      <c r="D33" s="213"/>
      <c r="E33" s="213"/>
      <c r="F33" s="213"/>
      <c r="G33" s="209"/>
      <c r="H33" s="210"/>
    </row>
    <row r="34" spans="1:8" x14ac:dyDescent="0.2">
      <c r="A34" s="2"/>
      <c r="B34" s="206" t="s">
        <v>389</v>
      </c>
      <c r="C34" s="207">
        <v>1</v>
      </c>
      <c r="D34" s="615">
        <v>13</v>
      </c>
      <c r="E34" s="616" t="s">
        <v>402</v>
      </c>
      <c r="F34" s="617">
        <v>9</v>
      </c>
      <c r="G34" s="207"/>
      <c r="H34" s="206" t="s">
        <v>393</v>
      </c>
    </row>
    <row r="35" spans="1:8" x14ac:dyDescent="0.2">
      <c r="A35" s="2"/>
      <c r="B35" s="206" t="s">
        <v>334</v>
      </c>
      <c r="C35" s="207"/>
      <c r="D35" s="615">
        <v>5</v>
      </c>
      <c r="E35" s="616" t="s">
        <v>402</v>
      </c>
      <c r="F35" s="617">
        <v>13</v>
      </c>
      <c r="G35" s="207">
        <v>1</v>
      </c>
      <c r="H35" s="206" t="s">
        <v>333</v>
      </c>
    </row>
    <row r="36" spans="1:8" x14ac:dyDescent="0.2">
      <c r="A36" s="2"/>
      <c r="B36" s="206" t="s">
        <v>390</v>
      </c>
      <c r="C36" s="207"/>
      <c r="D36" s="615">
        <v>8</v>
      </c>
      <c r="E36" s="616" t="s">
        <v>402</v>
      </c>
      <c r="F36" s="617">
        <v>13</v>
      </c>
      <c r="G36" s="207">
        <v>1</v>
      </c>
      <c r="H36" s="206" t="s">
        <v>336</v>
      </c>
    </row>
    <row r="37" spans="1:8" x14ac:dyDescent="0.2">
      <c r="A37" s="2"/>
      <c r="B37" s="206" t="s">
        <v>341</v>
      </c>
      <c r="C37" s="207"/>
      <c r="D37" s="615">
        <v>6</v>
      </c>
      <c r="E37" s="616" t="s">
        <v>402</v>
      </c>
      <c r="F37" s="617">
        <v>13</v>
      </c>
      <c r="G37" s="207">
        <v>1</v>
      </c>
      <c r="H37" s="206" t="s">
        <v>405</v>
      </c>
    </row>
    <row r="38" spans="1:8" x14ac:dyDescent="0.2">
      <c r="A38" s="2"/>
      <c r="B38" s="206" t="s">
        <v>337</v>
      </c>
      <c r="C38" s="207"/>
      <c r="D38" s="615">
        <v>9</v>
      </c>
      <c r="E38" s="616" t="s">
        <v>402</v>
      </c>
      <c r="F38" s="617">
        <v>13</v>
      </c>
      <c r="G38" s="207">
        <v>1</v>
      </c>
      <c r="H38" s="206" t="s">
        <v>342</v>
      </c>
    </row>
    <row r="39" spans="1:8" x14ac:dyDescent="0.2">
      <c r="A39" s="2"/>
      <c r="B39" s="206" t="s">
        <v>391</v>
      </c>
      <c r="C39" s="207"/>
      <c r="D39" s="615">
        <v>4</v>
      </c>
      <c r="E39" s="616" t="s">
        <v>402</v>
      </c>
      <c r="F39" s="617">
        <v>13</v>
      </c>
      <c r="G39" s="207">
        <v>1</v>
      </c>
      <c r="H39" s="206" t="s">
        <v>345</v>
      </c>
    </row>
    <row r="40" spans="1:8" x14ac:dyDescent="0.2">
      <c r="A40" s="2"/>
      <c r="B40" s="206" t="s">
        <v>335</v>
      </c>
      <c r="C40" s="207"/>
      <c r="D40" s="615">
        <v>5</v>
      </c>
      <c r="E40" s="616" t="s">
        <v>402</v>
      </c>
      <c r="F40" s="617">
        <v>13</v>
      </c>
      <c r="G40" s="207">
        <v>1</v>
      </c>
      <c r="H40" s="206" t="s">
        <v>367</v>
      </c>
    </row>
    <row r="41" spans="1:8" x14ac:dyDescent="0.2">
      <c r="A41" s="2"/>
      <c r="B41" s="614" t="s">
        <v>392</v>
      </c>
      <c r="C41" s="208">
        <v>1</v>
      </c>
      <c r="D41" s="615">
        <v>13</v>
      </c>
      <c r="E41" s="616" t="s">
        <v>402</v>
      </c>
      <c r="F41" s="617">
        <v>1</v>
      </c>
      <c r="G41" s="207"/>
      <c r="H41" s="614" t="s">
        <v>306</v>
      </c>
    </row>
    <row r="42" spans="1:8" x14ac:dyDescent="0.2">
      <c r="A42" s="195" t="s">
        <v>118</v>
      </c>
      <c r="B42" s="196"/>
      <c r="C42" s="209"/>
      <c r="D42" s="213"/>
      <c r="E42" s="213"/>
      <c r="F42" s="213"/>
      <c r="G42" s="209"/>
      <c r="H42" s="210"/>
    </row>
    <row r="43" spans="1:8" x14ac:dyDescent="0.2">
      <c r="A43" s="2"/>
      <c r="B43" s="206" t="s">
        <v>389</v>
      </c>
      <c r="C43" s="208"/>
      <c r="D43" s="615">
        <v>11</v>
      </c>
      <c r="E43" s="616" t="s">
        <v>402</v>
      </c>
      <c r="F43" s="617">
        <v>13</v>
      </c>
      <c r="G43" s="207">
        <v>1</v>
      </c>
      <c r="H43" s="206" t="s">
        <v>405</v>
      </c>
    </row>
    <row r="44" spans="1:8" x14ac:dyDescent="0.2">
      <c r="A44" s="2"/>
      <c r="B44" s="206" t="s">
        <v>333</v>
      </c>
      <c r="C44" s="208">
        <v>1</v>
      </c>
      <c r="D44" s="615">
        <v>13</v>
      </c>
      <c r="E44" s="616" t="s">
        <v>402</v>
      </c>
      <c r="F44" s="617">
        <v>10</v>
      </c>
      <c r="G44" s="207"/>
      <c r="H44" s="206" t="s">
        <v>393</v>
      </c>
    </row>
    <row r="45" spans="1:8" x14ac:dyDescent="0.2">
      <c r="A45" s="2"/>
      <c r="B45" s="197" t="s">
        <v>334</v>
      </c>
      <c r="C45" s="208">
        <v>1</v>
      </c>
      <c r="D45" s="615">
        <v>13</v>
      </c>
      <c r="E45" s="616" t="s">
        <v>402</v>
      </c>
      <c r="F45" s="617">
        <v>12</v>
      </c>
      <c r="G45" s="207"/>
      <c r="H45" s="206" t="s">
        <v>390</v>
      </c>
    </row>
    <row r="46" spans="1:8" x14ac:dyDescent="0.2">
      <c r="A46" s="2"/>
      <c r="B46" s="197" t="s">
        <v>341</v>
      </c>
      <c r="C46" s="208">
        <v>1</v>
      </c>
      <c r="D46" s="615">
        <v>13</v>
      </c>
      <c r="E46" s="616" t="s">
        <v>402</v>
      </c>
      <c r="F46" s="617">
        <v>10</v>
      </c>
      <c r="G46" s="207"/>
      <c r="H46" s="197" t="s">
        <v>336</v>
      </c>
    </row>
    <row r="47" spans="1:8" x14ac:dyDescent="0.2">
      <c r="A47" s="2"/>
      <c r="B47" s="197" t="s">
        <v>342</v>
      </c>
      <c r="C47" s="208"/>
      <c r="D47" s="615">
        <v>10</v>
      </c>
      <c r="E47" s="616" t="s">
        <v>402</v>
      </c>
      <c r="F47" s="617">
        <v>13</v>
      </c>
      <c r="G47" s="207">
        <v>1</v>
      </c>
      <c r="H47" s="206" t="s">
        <v>367</v>
      </c>
    </row>
    <row r="48" spans="1:8" x14ac:dyDescent="0.2">
      <c r="A48" s="2"/>
      <c r="B48" s="197" t="s">
        <v>345</v>
      </c>
      <c r="C48" s="207"/>
      <c r="D48" s="615">
        <v>3</v>
      </c>
      <c r="E48" s="616" t="s">
        <v>402</v>
      </c>
      <c r="F48" s="617">
        <v>13</v>
      </c>
      <c r="G48" s="207">
        <v>1</v>
      </c>
      <c r="H48" s="197" t="s">
        <v>337</v>
      </c>
    </row>
    <row r="49" spans="1:12" x14ac:dyDescent="0.2">
      <c r="A49" s="2"/>
      <c r="B49" s="206" t="s">
        <v>391</v>
      </c>
      <c r="C49" s="208">
        <v>1</v>
      </c>
      <c r="D49" s="615">
        <v>13</v>
      </c>
      <c r="E49" s="616" t="s">
        <v>402</v>
      </c>
      <c r="F49" s="617">
        <v>10</v>
      </c>
      <c r="G49" s="207"/>
      <c r="H49" s="206" t="s">
        <v>335</v>
      </c>
    </row>
    <row r="50" spans="1:12" x14ac:dyDescent="0.2">
      <c r="A50" s="2"/>
      <c r="B50" s="614" t="s">
        <v>392</v>
      </c>
      <c r="C50" s="207">
        <v>1</v>
      </c>
      <c r="D50" s="615">
        <v>13</v>
      </c>
      <c r="E50" s="616" t="s">
        <v>402</v>
      </c>
      <c r="F50" s="617">
        <v>1</v>
      </c>
      <c r="G50" s="207"/>
      <c r="H50" s="614" t="s">
        <v>306</v>
      </c>
    </row>
    <row r="51" spans="1:12" x14ac:dyDescent="0.2">
      <c r="A51" s="2"/>
      <c r="B51" s="864"/>
      <c r="C51" s="853"/>
      <c r="D51" s="854"/>
      <c r="E51" s="855"/>
      <c r="F51" s="854"/>
      <c r="G51" s="853"/>
      <c r="H51" s="864"/>
    </row>
    <row r="52" spans="1:12" x14ac:dyDescent="0.2">
      <c r="A52" s="2"/>
      <c r="B52" s="211"/>
      <c r="C52" s="211"/>
      <c r="D52" s="212"/>
      <c r="E52" s="212"/>
      <c r="F52" s="212"/>
      <c r="G52" s="212"/>
      <c r="H52" s="213"/>
    </row>
    <row r="53" spans="1:12" x14ac:dyDescent="0.2">
      <c r="A53" s="729" t="s">
        <v>145</v>
      </c>
      <c r="B53" s="730" t="s">
        <v>84</v>
      </c>
      <c r="C53" s="721" t="s">
        <v>77</v>
      </c>
      <c r="D53" s="719"/>
      <c r="F53" s="1454" t="s">
        <v>145</v>
      </c>
      <c r="G53" s="1455"/>
      <c r="H53" s="730" t="s">
        <v>84</v>
      </c>
      <c r="I53" s="721" t="s">
        <v>77</v>
      </c>
      <c r="J53" s="718"/>
      <c r="K53" s="718"/>
      <c r="L53" s="719"/>
    </row>
    <row r="54" spans="1:12" x14ac:dyDescent="0.2">
      <c r="A54" s="722">
        <v>1</v>
      </c>
      <c r="B54" s="731" t="s">
        <v>405</v>
      </c>
      <c r="C54" s="741">
        <v>4</v>
      </c>
      <c r="D54" s="719"/>
      <c r="F54" s="1453" t="s">
        <v>395</v>
      </c>
      <c r="G54" s="1453"/>
      <c r="H54" s="734" t="s">
        <v>390</v>
      </c>
      <c r="I54" s="736">
        <v>2</v>
      </c>
      <c r="J54" s="718"/>
      <c r="K54" s="718"/>
      <c r="L54" s="719"/>
    </row>
    <row r="55" spans="1:12" x14ac:dyDescent="0.2">
      <c r="A55" s="722">
        <v>2</v>
      </c>
      <c r="B55" s="732" t="s">
        <v>389</v>
      </c>
      <c r="C55" s="741">
        <v>4</v>
      </c>
      <c r="D55" s="719"/>
      <c r="F55" s="1453" t="s">
        <v>395</v>
      </c>
      <c r="G55" s="1453"/>
      <c r="H55" s="734" t="s">
        <v>391</v>
      </c>
      <c r="I55" s="736">
        <v>2</v>
      </c>
      <c r="J55" s="718"/>
      <c r="K55" s="718"/>
      <c r="L55" s="719"/>
    </row>
    <row r="56" spans="1:12" x14ac:dyDescent="0.2">
      <c r="A56" s="722">
        <v>3</v>
      </c>
      <c r="B56" s="733" t="s">
        <v>333</v>
      </c>
      <c r="C56" s="742">
        <v>4</v>
      </c>
      <c r="D56" s="719"/>
      <c r="F56" s="1456">
        <v>11</v>
      </c>
      <c r="G56" s="1456"/>
      <c r="H56" s="735" t="s">
        <v>337</v>
      </c>
      <c r="I56" s="736">
        <v>2</v>
      </c>
      <c r="J56" s="718"/>
      <c r="K56" s="718"/>
      <c r="L56" s="719"/>
    </row>
    <row r="57" spans="1:12" x14ac:dyDescent="0.2">
      <c r="A57" s="724" t="s">
        <v>394</v>
      </c>
      <c r="B57" s="734" t="s">
        <v>393</v>
      </c>
      <c r="C57" s="741">
        <v>3</v>
      </c>
      <c r="D57" s="719"/>
      <c r="F57" s="1453" t="s">
        <v>346</v>
      </c>
      <c r="G57" s="1456"/>
      <c r="H57" s="735" t="s">
        <v>342</v>
      </c>
      <c r="I57" s="736">
        <v>2</v>
      </c>
      <c r="J57" s="718"/>
      <c r="K57" s="718"/>
      <c r="L57" s="719"/>
    </row>
    <row r="58" spans="1:12" x14ac:dyDescent="0.2">
      <c r="A58" s="724" t="s">
        <v>394</v>
      </c>
      <c r="B58" s="734" t="s">
        <v>367</v>
      </c>
      <c r="C58" s="741">
        <v>3</v>
      </c>
      <c r="D58" s="719"/>
      <c r="F58" s="1453" t="s">
        <v>346</v>
      </c>
      <c r="G58" s="1456"/>
      <c r="H58" s="735" t="s">
        <v>345</v>
      </c>
      <c r="I58" s="736">
        <v>2</v>
      </c>
      <c r="J58" s="718"/>
      <c r="K58" s="718"/>
      <c r="L58" s="719"/>
    </row>
    <row r="59" spans="1:12" x14ac:dyDescent="0.2">
      <c r="A59" s="724" t="s">
        <v>394</v>
      </c>
      <c r="B59" s="735" t="s">
        <v>334</v>
      </c>
      <c r="C59" s="741">
        <v>3</v>
      </c>
      <c r="D59" s="719"/>
      <c r="F59" s="1456">
        <v>14</v>
      </c>
      <c r="G59" s="1456"/>
      <c r="H59" s="734" t="s">
        <v>335</v>
      </c>
      <c r="I59" s="736">
        <v>1</v>
      </c>
      <c r="J59" s="718"/>
      <c r="K59" s="718"/>
      <c r="L59" s="719"/>
    </row>
    <row r="60" spans="1:12" x14ac:dyDescent="0.2">
      <c r="A60" s="724" t="s">
        <v>394</v>
      </c>
      <c r="B60" s="735" t="s">
        <v>341</v>
      </c>
      <c r="C60" s="741">
        <v>3</v>
      </c>
      <c r="D60" s="719"/>
      <c r="F60" s="1456">
        <v>15</v>
      </c>
      <c r="G60" s="1456"/>
      <c r="H60" s="737" t="s">
        <v>392</v>
      </c>
      <c r="I60" s="736">
        <v>1</v>
      </c>
      <c r="J60" s="718"/>
      <c r="K60" s="718"/>
      <c r="L60" s="719"/>
    </row>
    <row r="61" spans="1:12" x14ac:dyDescent="0.2">
      <c r="A61" s="724" t="s">
        <v>394</v>
      </c>
      <c r="B61" s="735" t="s">
        <v>336</v>
      </c>
      <c r="C61" s="743">
        <v>3</v>
      </c>
      <c r="D61" s="719"/>
    </row>
  </sheetData>
  <mergeCells count="8">
    <mergeCell ref="F53:G53"/>
    <mergeCell ref="F54:G54"/>
    <mergeCell ref="F60:G60"/>
    <mergeCell ref="F55:G55"/>
    <mergeCell ref="F56:G56"/>
    <mergeCell ref="F57:G57"/>
    <mergeCell ref="F58:G58"/>
    <mergeCell ref="F59:G59"/>
  </mergeCells>
  <conditionalFormatting sqref="B54">
    <cfRule type="duplicateValues" dxfId="383" priority="35" stopIfTrue="1"/>
  </conditionalFormatting>
  <conditionalFormatting sqref="B10">
    <cfRule type="duplicateValues" dxfId="382" priority="34"/>
  </conditionalFormatting>
  <conditionalFormatting sqref="B11">
    <cfRule type="duplicateValues" dxfId="381" priority="33"/>
  </conditionalFormatting>
  <conditionalFormatting sqref="B12">
    <cfRule type="duplicateValues" dxfId="380" priority="32"/>
  </conditionalFormatting>
  <conditionalFormatting sqref="H13">
    <cfRule type="duplicateValues" dxfId="379" priority="31"/>
  </conditionalFormatting>
  <conditionalFormatting sqref="B23">
    <cfRule type="duplicateValues" dxfId="378" priority="30"/>
  </conditionalFormatting>
  <conditionalFormatting sqref="H17">
    <cfRule type="duplicateValues" dxfId="377" priority="29"/>
  </conditionalFormatting>
  <conditionalFormatting sqref="H14">
    <cfRule type="duplicateValues" dxfId="376" priority="28"/>
  </conditionalFormatting>
  <conditionalFormatting sqref="B14">
    <cfRule type="duplicateValues" dxfId="375" priority="27"/>
  </conditionalFormatting>
  <conditionalFormatting sqref="H18">
    <cfRule type="duplicateValues" dxfId="374" priority="26"/>
  </conditionalFormatting>
  <conditionalFormatting sqref="B19">
    <cfRule type="duplicateValues" dxfId="373" priority="25"/>
  </conditionalFormatting>
  <conditionalFormatting sqref="H22">
    <cfRule type="duplicateValues" dxfId="372" priority="24"/>
  </conditionalFormatting>
  <conditionalFormatting sqref="B26">
    <cfRule type="duplicateValues" dxfId="371" priority="23"/>
  </conditionalFormatting>
  <conditionalFormatting sqref="H28">
    <cfRule type="duplicateValues" dxfId="370" priority="22"/>
  </conditionalFormatting>
  <conditionalFormatting sqref="H30">
    <cfRule type="duplicateValues" dxfId="369" priority="21"/>
  </conditionalFormatting>
  <conditionalFormatting sqref="B31">
    <cfRule type="duplicateValues" dxfId="368" priority="20"/>
  </conditionalFormatting>
  <conditionalFormatting sqref="H31">
    <cfRule type="duplicateValues" dxfId="367" priority="19"/>
  </conditionalFormatting>
  <conditionalFormatting sqref="H36">
    <cfRule type="duplicateValues" dxfId="366" priority="18"/>
  </conditionalFormatting>
  <conditionalFormatting sqref="B37">
    <cfRule type="duplicateValues" dxfId="365" priority="17"/>
  </conditionalFormatting>
  <conditionalFormatting sqref="H37">
    <cfRule type="duplicateValues" dxfId="364" priority="16"/>
  </conditionalFormatting>
  <conditionalFormatting sqref="B38">
    <cfRule type="duplicateValues" dxfId="363" priority="15"/>
  </conditionalFormatting>
  <conditionalFormatting sqref="H39">
    <cfRule type="duplicateValues" dxfId="362" priority="14"/>
  </conditionalFormatting>
  <conditionalFormatting sqref="H43">
    <cfRule type="duplicateValues" dxfId="361" priority="13"/>
  </conditionalFormatting>
  <conditionalFormatting sqref="B46">
    <cfRule type="duplicateValues" dxfId="360" priority="12"/>
  </conditionalFormatting>
  <conditionalFormatting sqref="H46">
    <cfRule type="duplicateValues" dxfId="359" priority="11"/>
  </conditionalFormatting>
  <conditionalFormatting sqref="B48">
    <cfRule type="duplicateValues" dxfId="358" priority="10"/>
  </conditionalFormatting>
  <conditionalFormatting sqref="H48">
    <cfRule type="duplicateValues" dxfId="357" priority="9"/>
  </conditionalFormatting>
  <conditionalFormatting sqref="B60">
    <cfRule type="duplicateValues" dxfId="356" priority="8"/>
  </conditionalFormatting>
  <conditionalFormatting sqref="B61">
    <cfRule type="duplicateValues" dxfId="355" priority="7"/>
  </conditionalFormatting>
  <conditionalFormatting sqref="H56">
    <cfRule type="duplicateValues" dxfId="354" priority="4"/>
  </conditionalFormatting>
  <conditionalFormatting sqref="H58">
    <cfRule type="duplicateValues" dxfId="353" priority="3"/>
  </conditionalFormatting>
  <conditionalFormatting sqref="D7:F51">
    <cfRule type="cellIs" dxfId="352" priority="2" operator="equal">
      <formula>13</formula>
    </cfRule>
  </conditionalFormatting>
  <pageMargins left="0.78740157480314965" right="0.39370078740157483" top="0.59055118110236227" bottom="0.39370078740157483" header="0.39370078740157483" footer="0"/>
  <pageSetup paperSize="9" fitToHeight="0" orientation="portrait" verticalDpi="1200" r:id="rId1"/>
  <headerFooter>
    <oddHeader>&amp;R&amp;"Arial,Regular"&amp;9Page &amp;P of &amp;N</oddHeader>
  </headerFooter>
  <rowBreaks count="3" manualBreakCount="3">
    <brk id="94" max="16383" man="1"/>
    <brk id="132" max="16383" man="1"/>
    <brk id="167" max="16383" man="1"/>
  </rowBreaks>
  <ignoredErrors>
    <ignoredError sqref="F57:F58" twoDigitTextYear="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61"/>
  <sheetViews>
    <sheetView showGridLines="0" showRowColHeaders="0" zoomScaleNormal="100" workbookViewId="0">
      <pane ySplit="2" topLeftCell="A3" activePane="bottomLeft" state="frozen"/>
      <selection activeCell="K30" sqref="K30"/>
      <selection pane="bottomLeft" activeCell="I1" sqref="I1"/>
    </sheetView>
  </sheetViews>
  <sheetFormatPr defaultRowHeight="12.75" x14ac:dyDescent="0.2"/>
  <cols>
    <col min="1" max="1" width="5.5703125" style="152" customWidth="1"/>
    <col min="2" max="2" width="33.7109375" style="152" customWidth="1"/>
    <col min="3" max="3" width="2.28515625" style="152" customWidth="1"/>
    <col min="4" max="4" width="3" style="152" bestFit="1" customWidth="1"/>
    <col min="5" max="5" width="1.5703125" style="152" bestFit="1" customWidth="1"/>
    <col min="6" max="6" width="3" style="152" bestFit="1" customWidth="1"/>
    <col min="7" max="7" width="2.28515625" style="152" customWidth="1"/>
    <col min="8" max="8" width="33.7109375" style="152" customWidth="1"/>
    <col min="9" max="9" width="3" style="152" bestFit="1" customWidth="1"/>
    <col min="10" max="10" width="3" style="152" hidden="1" customWidth="1"/>
    <col min="11" max="11" width="3.5703125" style="152" hidden="1" customWidth="1"/>
    <col min="12" max="12" width="2.7109375" style="152" bestFit="1" customWidth="1"/>
    <col min="13" max="16384" width="9.140625" style="152"/>
  </cols>
  <sheetData>
    <row r="1" spans="1:11" x14ac:dyDescent="0.2">
      <c r="A1" s="151" t="str">
        <f>UPPER((Kalend!E13)&amp;" - "&amp;(Kalend!C13)&amp;" - "&amp;(Kalend!D13))</f>
        <v>V3 - VOKA 4. KV 3. ETAPP - DUO</v>
      </c>
      <c r="D1" s="113" t="str">
        <f>HYPERLINK("#Kalend!I1","Kalender")</f>
        <v>Kalender</v>
      </c>
      <c r="E1" s="113"/>
      <c r="F1" s="113"/>
      <c r="G1" s="2"/>
      <c r="H1" s="113" t="str">
        <f>HYPERLINK("#Reit!G1","Reiting")</f>
        <v>Reiting</v>
      </c>
      <c r="I1" s="2"/>
      <c r="J1" s="2"/>
    </row>
    <row r="2" spans="1:11" x14ac:dyDescent="0.2">
      <c r="A2" s="2" t="str">
        <f>"Toimumisaeg: "&amp;(Kalend!A13)&amp;" kell "&amp;(Kalend!B13)</f>
        <v>Toimumisaeg: K, 07.06.2017 kell 18:00</v>
      </c>
    </row>
    <row r="3" spans="1:11" x14ac:dyDescent="0.2">
      <c r="A3" s="2" t="str">
        <f>"Toimumiskoht: "&amp;(Kalend!F13)</f>
        <v>Toimumiskoht: Voka staadion</v>
      </c>
    </row>
    <row r="4" spans="1:11" x14ac:dyDescent="0.2">
      <c r="A4" s="2" t="str">
        <f>"Korraldaja: "&amp;(Kalend!G13)</f>
        <v>Korraldaja: Johannes Neiland</v>
      </c>
      <c r="H4" s="547" t="s">
        <v>113</v>
      </c>
    </row>
    <row r="5" spans="1:11" x14ac:dyDescent="0.2">
      <c r="A5" s="2"/>
    </row>
    <row r="6" spans="1:11" x14ac:dyDescent="0.2">
      <c r="A6" s="195" t="s">
        <v>114</v>
      </c>
      <c r="B6" s="196"/>
    </row>
    <row r="7" spans="1:11" x14ac:dyDescent="0.2">
      <c r="A7" s="2"/>
      <c r="B7" s="206" t="s">
        <v>333</v>
      </c>
      <c r="C7" s="207"/>
      <c r="D7" s="615">
        <v>7</v>
      </c>
      <c r="E7" s="616" t="s">
        <v>402</v>
      </c>
      <c r="F7" s="617">
        <v>13</v>
      </c>
      <c r="G7" s="208">
        <v>1</v>
      </c>
      <c r="H7" s="206" t="s">
        <v>431</v>
      </c>
      <c r="J7" s="152">
        <v>1</v>
      </c>
      <c r="K7" s="152">
        <v>15</v>
      </c>
    </row>
    <row r="8" spans="1:11" x14ac:dyDescent="0.2">
      <c r="A8" s="2"/>
      <c r="B8" s="197" t="s">
        <v>334</v>
      </c>
      <c r="C8" s="207">
        <v>1</v>
      </c>
      <c r="D8" s="615">
        <v>13</v>
      </c>
      <c r="E8" s="616" t="s">
        <v>402</v>
      </c>
      <c r="F8" s="617">
        <v>3</v>
      </c>
      <c r="G8" s="208"/>
      <c r="H8" s="206" t="s">
        <v>435</v>
      </c>
      <c r="J8" s="152">
        <v>2</v>
      </c>
      <c r="K8" s="152">
        <v>14</v>
      </c>
    </row>
    <row r="9" spans="1:11" x14ac:dyDescent="0.2">
      <c r="A9" s="2"/>
      <c r="B9" s="206" t="s">
        <v>405</v>
      </c>
      <c r="C9" s="207"/>
      <c r="D9" s="615">
        <v>6</v>
      </c>
      <c r="E9" s="616" t="s">
        <v>402</v>
      </c>
      <c r="F9" s="617">
        <v>13</v>
      </c>
      <c r="G9" s="208">
        <v>1</v>
      </c>
      <c r="H9" s="206" t="s">
        <v>345</v>
      </c>
      <c r="J9" s="152">
        <v>3</v>
      </c>
      <c r="K9" s="152">
        <v>13</v>
      </c>
    </row>
    <row r="10" spans="1:11" x14ac:dyDescent="0.2">
      <c r="A10" s="2"/>
      <c r="B10" s="197" t="s">
        <v>432</v>
      </c>
      <c r="C10" s="207">
        <v>1</v>
      </c>
      <c r="D10" s="615">
        <v>13</v>
      </c>
      <c r="E10" s="616" t="s">
        <v>402</v>
      </c>
      <c r="F10" s="617">
        <v>5</v>
      </c>
      <c r="G10" s="208"/>
      <c r="H10" s="206" t="s">
        <v>342</v>
      </c>
      <c r="J10" s="152">
        <v>4</v>
      </c>
      <c r="K10" s="152">
        <v>12</v>
      </c>
    </row>
    <row r="11" spans="1:11" x14ac:dyDescent="0.2">
      <c r="A11" s="2"/>
      <c r="B11" s="206" t="s">
        <v>335</v>
      </c>
      <c r="C11" s="208"/>
      <c r="D11" s="615">
        <v>5</v>
      </c>
      <c r="E11" s="616" t="s">
        <v>402</v>
      </c>
      <c r="F11" s="617">
        <v>13</v>
      </c>
      <c r="G11" s="207">
        <v>1</v>
      </c>
      <c r="H11" s="614" t="s">
        <v>363</v>
      </c>
      <c r="J11" s="152">
        <v>5</v>
      </c>
      <c r="K11" s="152">
        <v>11</v>
      </c>
    </row>
    <row r="12" spans="1:11" x14ac:dyDescent="0.2">
      <c r="A12" s="2"/>
      <c r="B12" s="206" t="s">
        <v>437</v>
      </c>
      <c r="C12" s="208"/>
      <c r="D12" s="615">
        <v>3</v>
      </c>
      <c r="E12" s="616" t="s">
        <v>402</v>
      </c>
      <c r="F12" s="617">
        <v>13</v>
      </c>
      <c r="G12" s="207">
        <v>1</v>
      </c>
      <c r="H12" s="206" t="s">
        <v>339</v>
      </c>
      <c r="J12" s="152">
        <v>6</v>
      </c>
      <c r="K12" s="152">
        <v>10</v>
      </c>
    </row>
    <row r="13" spans="1:11" x14ac:dyDescent="0.2">
      <c r="A13" s="2"/>
      <c r="B13" s="206" t="s">
        <v>367</v>
      </c>
      <c r="C13" s="207">
        <v>1</v>
      </c>
      <c r="D13" s="615">
        <v>13</v>
      </c>
      <c r="E13" s="616" t="s">
        <v>402</v>
      </c>
      <c r="F13" s="617">
        <v>3</v>
      </c>
      <c r="G13" s="207"/>
      <c r="H13" s="206" t="s">
        <v>338</v>
      </c>
      <c r="J13" s="152">
        <v>7</v>
      </c>
      <c r="K13" s="152">
        <v>9</v>
      </c>
    </row>
    <row r="14" spans="1:11" x14ac:dyDescent="0.2">
      <c r="A14" s="2"/>
      <c r="B14" s="206" t="s">
        <v>434</v>
      </c>
      <c r="C14" s="207">
        <v>1</v>
      </c>
      <c r="D14" s="615">
        <v>13</v>
      </c>
      <c r="E14" s="616" t="s">
        <v>402</v>
      </c>
      <c r="F14" s="617">
        <v>1</v>
      </c>
      <c r="G14" s="207"/>
      <c r="H14" s="206" t="s">
        <v>306</v>
      </c>
      <c r="J14" s="152">
        <v>8</v>
      </c>
    </row>
    <row r="15" spans="1:11" x14ac:dyDescent="0.2">
      <c r="A15" s="195" t="s">
        <v>115</v>
      </c>
      <c r="B15" s="196"/>
      <c r="C15" s="209"/>
      <c r="D15" s="213"/>
      <c r="E15" s="213"/>
      <c r="F15" s="213"/>
      <c r="G15" s="209"/>
      <c r="H15" s="210"/>
    </row>
    <row r="16" spans="1:11" x14ac:dyDescent="0.2">
      <c r="A16" s="2"/>
      <c r="B16" s="197" t="s">
        <v>334</v>
      </c>
      <c r="C16" s="207">
        <v>1</v>
      </c>
      <c r="D16" s="615">
        <v>13</v>
      </c>
      <c r="E16" s="616" t="s">
        <v>402</v>
      </c>
      <c r="F16" s="617">
        <v>10</v>
      </c>
      <c r="G16" s="207"/>
      <c r="H16" s="206" t="s">
        <v>434</v>
      </c>
    </row>
    <row r="17" spans="1:8" x14ac:dyDescent="0.2">
      <c r="A17" s="2"/>
      <c r="B17" s="197" t="s">
        <v>432</v>
      </c>
      <c r="C17" s="207">
        <v>1</v>
      </c>
      <c r="D17" s="615">
        <v>13</v>
      </c>
      <c r="E17" s="616" t="s">
        <v>402</v>
      </c>
      <c r="F17" s="617">
        <v>9</v>
      </c>
      <c r="G17" s="207"/>
      <c r="H17" s="206" t="s">
        <v>345</v>
      </c>
    </row>
    <row r="18" spans="1:8" x14ac:dyDescent="0.2">
      <c r="A18" s="2"/>
      <c r="B18" s="206" t="s">
        <v>335</v>
      </c>
      <c r="C18" s="207">
        <v>1</v>
      </c>
      <c r="D18" s="615">
        <v>13</v>
      </c>
      <c r="E18" s="616" t="s">
        <v>402</v>
      </c>
      <c r="F18" s="617">
        <v>1</v>
      </c>
      <c r="G18" s="207"/>
      <c r="H18" s="206" t="s">
        <v>437</v>
      </c>
    </row>
    <row r="19" spans="1:8" x14ac:dyDescent="0.2">
      <c r="A19" s="2"/>
      <c r="B19" s="206" t="s">
        <v>333</v>
      </c>
      <c r="C19" s="208">
        <v>1</v>
      </c>
      <c r="D19" s="615">
        <v>13</v>
      </c>
      <c r="E19" s="616" t="s">
        <v>402</v>
      </c>
      <c r="F19" s="617">
        <v>7</v>
      </c>
      <c r="G19" s="207"/>
      <c r="H19" s="206" t="s">
        <v>435</v>
      </c>
    </row>
    <row r="20" spans="1:8" x14ac:dyDescent="0.2">
      <c r="A20" s="2"/>
      <c r="B20" s="197" t="s">
        <v>338</v>
      </c>
      <c r="C20" s="208">
        <v>1</v>
      </c>
      <c r="D20" s="615">
        <v>13</v>
      </c>
      <c r="E20" s="616" t="s">
        <v>402</v>
      </c>
      <c r="F20" s="617">
        <v>1</v>
      </c>
      <c r="G20" s="207"/>
      <c r="H20" s="206" t="s">
        <v>342</v>
      </c>
    </row>
    <row r="21" spans="1:8" x14ac:dyDescent="0.2">
      <c r="A21" s="2"/>
      <c r="B21" s="206" t="s">
        <v>367</v>
      </c>
      <c r="C21" s="208">
        <v>1</v>
      </c>
      <c r="D21" s="615">
        <v>13</v>
      </c>
      <c r="E21" s="616" t="s">
        <v>402</v>
      </c>
      <c r="F21" s="617">
        <v>12</v>
      </c>
      <c r="G21" s="207"/>
      <c r="H21" s="206" t="s">
        <v>339</v>
      </c>
    </row>
    <row r="22" spans="1:8" x14ac:dyDescent="0.2">
      <c r="A22" s="2"/>
      <c r="B22" s="614" t="s">
        <v>363</v>
      </c>
      <c r="C22" s="207">
        <v>1</v>
      </c>
      <c r="D22" s="615">
        <v>13</v>
      </c>
      <c r="E22" s="616" t="s">
        <v>402</v>
      </c>
      <c r="F22" s="617">
        <v>1</v>
      </c>
      <c r="G22" s="207"/>
      <c r="H22" s="206" t="s">
        <v>431</v>
      </c>
    </row>
    <row r="23" spans="1:8" x14ac:dyDescent="0.2">
      <c r="A23" s="2"/>
      <c r="B23" s="206" t="s">
        <v>405</v>
      </c>
      <c r="C23" s="207">
        <v>1</v>
      </c>
      <c r="D23" s="615">
        <v>13</v>
      </c>
      <c r="E23" s="616" t="s">
        <v>402</v>
      </c>
      <c r="F23" s="617">
        <v>1</v>
      </c>
      <c r="G23" s="207"/>
      <c r="H23" s="206" t="s">
        <v>306</v>
      </c>
    </row>
    <row r="24" spans="1:8" x14ac:dyDescent="0.2">
      <c r="A24" s="195" t="s">
        <v>116</v>
      </c>
      <c r="B24" s="196"/>
      <c r="C24" s="209"/>
      <c r="D24" s="213"/>
      <c r="E24" s="213"/>
      <c r="F24" s="213"/>
      <c r="G24" s="209"/>
      <c r="H24" s="210"/>
    </row>
    <row r="25" spans="1:8" x14ac:dyDescent="0.2">
      <c r="A25" s="2"/>
      <c r="B25" s="206" t="s">
        <v>367</v>
      </c>
      <c r="C25" s="207"/>
      <c r="D25" s="615">
        <v>10</v>
      </c>
      <c r="E25" s="616" t="s">
        <v>402</v>
      </c>
      <c r="F25" s="617">
        <v>13</v>
      </c>
      <c r="G25" s="207">
        <v>1</v>
      </c>
      <c r="H25" s="206" t="s">
        <v>432</v>
      </c>
    </row>
    <row r="26" spans="1:8" x14ac:dyDescent="0.2">
      <c r="A26" s="2"/>
      <c r="B26" s="197" t="s">
        <v>334</v>
      </c>
      <c r="C26" s="207"/>
      <c r="D26" s="615">
        <v>7</v>
      </c>
      <c r="E26" s="616" t="s">
        <v>402</v>
      </c>
      <c r="F26" s="617">
        <v>13</v>
      </c>
      <c r="G26" s="207">
        <v>1</v>
      </c>
      <c r="H26" s="614" t="s">
        <v>363</v>
      </c>
    </row>
    <row r="27" spans="1:8" x14ac:dyDescent="0.2">
      <c r="A27" s="2"/>
      <c r="B27" s="206" t="s">
        <v>339</v>
      </c>
      <c r="C27" s="207">
        <v>1</v>
      </c>
      <c r="D27" s="615">
        <v>13</v>
      </c>
      <c r="E27" s="616" t="s">
        <v>402</v>
      </c>
      <c r="F27" s="617">
        <v>2</v>
      </c>
      <c r="G27" s="207"/>
      <c r="H27" s="206" t="s">
        <v>405</v>
      </c>
    </row>
    <row r="28" spans="1:8" x14ac:dyDescent="0.2">
      <c r="A28" s="2"/>
      <c r="B28" s="206" t="s">
        <v>333</v>
      </c>
      <c r="C28" s="207"/>
      <c r="D28" s="615">
        <v>9</v>
      </c>
      <c r="E28" s="616" t="s">
        <v>402</v>
      </c>
      <c r="F28" s="617">
        <v>13</v>
      </c>
      <c r="G28" s="207">
        <v>1</v>
      </c>
      <c r="H28" s="206" t="s">
        <v>345</v>
      </c>
    </row>
    <row r="29" spans="1:8" x14ac:dyDescent="0.2">
      <c r="A29" s="2"/>
      <c r="B29" s="197" t="s">
        <v>342</v>
      </c>
      <c r="C29" s="207">
        <v>1</v>
      </c>
      <c r="D29" s="615">
        <v>13</v>
      </c>
      <c r="E29" s="616" t="s">
        <v>402</v>
      </c>
      <c r="F29" s="617">
        <v>9</v>
      </c>
      <c r="G29" s="207"/>
      <c r="H29" s="206" t="s">
        <v>435</v>
      </c>
    </row>
    <row r="30" spans="1:8" x14ac:dyDescent="0.2">
      <c r="A30" s="2"/>
      <c r="B30" s="197" t="s">
        <v>338</v>
      </c>
      <c r="C30" s="208">
        <v>1</v>
      </c>
      <c r="D30" s="615">
        <v>13</v>
      </c>
      <c r="E30" s="616" t="s">
        <v>402</v>
      </c>
      <c r="F30" s="617">
        <v>8</v>
      </c>
      <c r="G30" s="207"/>
      <c r="H30" s="206" t="s">
        <v>335</v>
      </c>
    </row>
    <row r="31" spans="1:8" x14ac:dyDescent="0.2">
      <c r="A31" s="2"/>
      <c r="B31" s="206" t="s">
        <v>434</v>
      </c>
      <c r="C31" s="207"/>
      <c r="D31" s="615">
        <v>2</v>
      </c>
      <c r="E31" s="616" t="s">
        <v>402</v>
      </c>
      <c r="F31" s="617">
        <v>13</v>
      </c>
      <c r="G31" s="207">
        <v>1</v>
      </c>
      <c r="H31" s="206" t="s">
        <v>431</v>
      </c>
    </row>
    <row r="32" spans="1:8" x14ac:dyDescent="0.2">
      <c r="A32" s="2"/>
      <c r="B32" s="206" t="s">
        <v>437</v>
      </c>
      <c r="C32" s="207">
        <v>1</v>
      </c>
      <c r="D32" s="615">
        <v>13</v>
      </c>
      <c r="E32" s="616" t="s">
        <v>402</v>
      </c>
      <c r="F32" s="617">
        <v>1</v>
      </c>
      <c r="G32" s="207"/>
      <c r="H32" s="206" t="s">
        <v>306</v>
      </c>
    </row>
    <row r="33" spans="1:8" x14ac:dyDescent="0.2">
      <c r="A33" s="195" t="s">
        <v>117</v>
      </c>
      <c r="B33" s="196"/>
      <c r="C33" s="209"/>
      <c r="D33" s="213"/>
      <c r="E33" s="213"/>
      <c r="F33" s="213"/>
      <c r="G33" s="209"/>
      <c r="H33" s="210"/>
    </row>
    <row r="34" spans="1:8" x14ac:dyDescent="0.2">
      <c r="A34" s="2"/>
      <c r="B34" s="197" t="s">
        <v>432</v>
      </c>
      <c r="C34" s="207"/>
      <c r="D34" s="615">
        <v>6</v>
      </c>
      <c r="E34" s="616" t="s">
        <v>402</v>
      </c>
      <c r="F34" s="617">
        <v>13</v>
      </c>
      <c r="G34" s="207">
        <v>1</v>
      </c>
      <c r="H34" s="614" t="s">
        <v>363</v>
      </c>
    </row>
    <row r="35" spans="1:8" x14ac:dyDescent="0.2">
      <c r="A35" s="2"/>
      <c r="B35" s="197" t="s">
        <v>334</v>
      </c>
      <c r="C35" s="207">
        <v>1</v>
      </c>
      <c r="D35" s="615">
        <v>13</v>
      </c>
      <c r="E35" s="616" t="s">
        <v>402</v>
      </c>
      <c r="F35" s="617">
        <v>10</v>
      </c>
      <c r="G35" s="207"/>
      <c r="H35" s="206" t="s">
        <v>367</v>
      </c>
    </row>
    <row r="36" spans="1:8" x14ac:dyDescent="0.2">
      <c r="A36" s="2"/>
      <c r="B36" s="206" t="s">
        <v>345</v>
      </c>
      <c r="C36" s="207"/>
      <c r="D36" s="615">
        <v>8</v>
      </c>
      <c r="E36" s="616" t="s">
        <v>402</v>
      </c>
      <c r="F36" s="617">
        <v>13</v>
      </c>
      <c r="G36" s="207">
        <v>1</v>
      </c>
      <c r="H36" s="206" t="s">
        <v>431</v>
      </c>
    </row>
    <row r="37" spans="1:8" x14ac:dyDescent="0.2">
      <c r="A37" s="2"/>
      <c r="B37" s="206" t="s">
        <v>339</v>
      </c>
      <c r="C37" s="207"/>
      <c r="D37" s="615">
        <v>13</v>
      </c>
      <c r="E37" s="616" t="s">
        <v>402</v>
      </c>
      <c r="F37" s="617">
        <v>8</v>
      </c>
      <c r="G37" s="207">
        <v>1</v>
      </c>
      <c r="H37" s="206" t="s">
        <v>338</v>
      </c>
    </row>
    <row r="38" spans="1:8" x14ac:dyDescent="0.2">
      <c r="A38" s="2"/>
      <c r="B38" s="197" t="s">
        <v>342</v>
      </c>
      <c r="C38" s="207"/>
      <c r="D38" s="615">
        <v>10</v>
      </c>
      <c r="E38" s="616" t="s">
        <v>402</v>
      </c>
      <c r="F38" s="617">
        <v>13</v>
      </c>
      <c r="G38" s="207">
        <v>1</v>
      </c>
      <c r="H38" s="206" t="s">
        <v>405</v>
      </c>
    </row>
    <row r="39" spans="1:8" x14ac:dyDescent="0.2">
      <c r="A39" s="2"/>
      <c r="B39" s="206" t="s">
        <v>333</v>
      </c>
      <c r="C39" s="207">
        <v>1</v>
      </c>
      <c r="D39" s="615">
        <v>13</v>
      </c>
      <c r="E39" s="616" t="s">
        <v>402</v>
      </c>
      <c r="F39" s="617">
        <v>12</v>
      </c>
      <c r="G39" s="207"/>
      <c r="H39" s="206" t="s">
        <v>437</v>
      </c>
    </row>
    <row r="40" spans="1:8" x14ac:dyDescent="0.2">
      <c r="A40" s="2"/>
      <c r="B40" s="206" t="s">
        <v>335</v>
      </c>
      <c r="C40" s="207"/>
      <c r="D40" s="615">
        <v>13</v>
      </c>
      <c r="E40" s="616" t="s">
        <v>402</v>
      </c>
      <c r="F40" s="617">
        <v>7</v>
      </c>
      <c r="G40" s="207"/>
      <c r="H40" s="206" t="s">
        <v>434</v>
      </c>
    </row>
    <row r="41" spans="1:8" x14ac:dyDescent="0.2">
      <c r="A41" s="2"/>
      <c r="B41" s="206" t="s">
        <v>435</v>
      </c>
      <c r="C41" s="207">
        <v>1</v>
      </c>
      <c r="D41" s="615">
        <v>13</v>
      </c>
      <c r="E41" s="616" t="s">
        <v>402</v>
      </c>
      <c r="F41" s="617">
        <v>1</v>
      </c>
      <c r="G41" s="207"/>
      <c r="H41" s="206" t="s">
        <v>306</v>
      </c>
    </row>
    <row r="42" spans="1:8" x14ac:dyDescent="0.2">
      <c r="A42" s="195" t="s">
        <v>118</v>
      </c>
      <c r="B42" s="196"/>
      <c r="C42" s="209"/>
      <c r="D42" s="213"/>
      <c r="E42" s="213"/>
      <c r="F42" s="213"/>
      <c r="G42" s="209"/>
      <c r="H42" s="210"/>
    </row>
    <row r="43" spans="1:8" x14ac:dyDescent="0.2">
      <c r="A43" s="2"/>
      <c r="B43" s="206" t="s">
        <v>339</v>
      </c>
      <c r="C43" s="208"/>
      <c r="D43" s="615">
        <v>8</v>
      </c>
      <c r="E43" s="616" t="s">
        <v>402</v>
      </c>
      <c r="F43" s="617">
        <v>13</v>
      </c>
      <c r="G43" s="207">
        <v>1</v>
      </c>
      <c r="H43" s="614" t="s">
        <v>363</v>
      </c>
    </row>
    <row r="44" spans="1:8" x14ac:dyDescent="0.2">
      <c r="A44" s="2"/>
      <c r="B44" s="197" t="s">
        <v>334</v>
      </c>
      <c r="C44" s="208"/>
      <c r="D44" s="615">
        <v>8</v>
      </c>
      <c r="E44" s="616" t="s">
        <v>402</v>
      </c>
      <c r="F44" s="617">
        <v>13</v>
      </c>
      <c r="G44" s="207">
        <v>1</v>
      </c>
      <c r="H44" s="206" t="s">
        <v>431</v>
      </c>
    </row>
    <row r="45" spans="1:8" x14ac:dyDescent="0.2">
      <c r="A45" s="2"/>
      <c r="B45" s="206" t="s">
        <v>405</v>
      </c>
      <c r="C45" s="208"/>
      <c r="D45" s="717">
        <v>6</v>
      </c>
      <c r="E45" s="616" t="s">
        <v>402</v>
      </c>
      <c r="F45" s="617">
        <v>13</v>
      </c>
      <c r="G45" s="207">
        <v>1</v>
      </c>
      <c r="H45" s="206" t="s">
        <v>432</v>
      </c>
    </row>
    <row r="46" spans="1:8" x14ac:dyDescent="0.2">
      <c r="A46" s="2"/>
      <c r="B46" s="206" t="s">
        <v>333</v>
      </c>
      <c r="C46" s="208">
        <v>1</v>
      </c>
      <c r="D46" s="615">
        <v>13</v>
      </c>
      <c r="E46" s="616" t="s">
        <v>402</v>
      </c>
      <c r="F46" s="617">
        <v>7</v>
      </c>
      <c r="G46" s="207"/>
      <c r="H46" s="206" t="s">
        <v>335</v>
      </c>
    </row>
    <row r="47" spans="1:8" x14ac:dyDescent="0.2">
      <c r="A47" s="2"/>
      <c r="B47" s="206" t="s">
        <v>367</v>
      </c>
      <c r="C47" s="208"/>
      <c r="D47" s="615">
        <v>5</v>
      </c>
      <c r="E47" s="616" t="s">
        <v>402</v>
      </c>
      <c r="F47" s="617">
        <v>13</v>
      </c>
      <c r="G47" s="207">
        <v>1</v>
      </c>
      <c r="H47" s="206" t="s">
        <v>345</v>
      </c>
    </row>
    <row r="48" spans="1:8" x14ac:dyDescent="0.2">
      <c r="A48" s="2"/>
      <c r="B48" s="206" t="s">
        <v>437</v>
      </c>
      <c r="C48" s="207">
        <v>1</v>
      </c>
      <c r="D48" s="615">
        <v>13</v>
      </c>
      <c r="E48" s="616" t="s">
        <v>402</v>
      </c>
      <c r="F48" s="617">
        <v>12</v>
      </c>
      <c r="G48" s="207"/>
      <c r="H48" s="206" t="s">
        <v>338</v>
      </c>
    </row>
    <row r="49" spans="1:12" x14ac:dyDescent="0.2">
      <c r="A49" s="2"/>
      <c r="B49" s="206" t="s">
        <v>434</v>
      </c>
      <c r="C49" s="208"/>
      <c r="D49" s="615">
        <v>4</v>
      </c>
      <c r="E49" s="616" t="s">
        <v>402</v>
      </c>
      <c r="F49" s="617">
        <v>13</v>
      </c>
      <c r="G49" s="207"/>
      <c r="H49" s="206" t="s">
        <v>435</v>
      </c>
    </row>
    <row r="50" spans="1:12" x14ac:dyDescent="0.2">
      <c r="A50" s="2"/>
      <c r="B50" s="206" t="s">
        <v>342</v>
      </c>
      <c r="C50" s="207">
        <v>1</v>
      </c>
      <c r="D50" s="615">
        <v>13</v>
      </c>
      <c r="E50" s="616" t="s">
        <v>402</v>
      </c>
      <c r="F50" s="617">
        <v>1</v>
      </c>
      <c r="G50" s="207"/>
      <c r="H50" s="197" t="s">
        <v>306</v>
      </c>
    </row>
    <row r="51" spans="1:12" x14ac:dyDescent="0.2">
      <c r="A51" s="2"/>
      <c r="B51" s="211"/>
      <c r="C51" s="853"/>
      <c r="D51" s="854"/>
      <c r="E51" s="855"/>
      <c r="F51" s="854"/>
      <c r="G51" s="853"/>
      <c r="H51" s="214"/>
    </row>
    <row r="52" spans="1:12" x14ac:dyDescent="0.2">
      <c r="A52" s="2"/>
      <c r="B52" s="211"/>
      <c r="C52" s="211"/>
      <c r="D52" s="212"/>
      <c r="E52" s="212"/>
      <c r="F52" s="212"/>
      <c r="G52" s="212"/>
      <c r="H52" s="213"/>
    </row>
    <row r="53" spans="1:12" x14ac:dyDescent="0.2">
      <c r="A53" s="729" t="s">
        <v>145</v>
      </c>
      <c r="B53" s="730" t="s">
        <v>84</v>
      </c>
      <c r="C53" s="721" t="s">
        <v>77</v>
      </c>
      <c r="D53" s="719"/>
      <c r="F53" s="1454" t="s">
        <v>145</v>
      </c>
      <c r="G53" s="1455"/>
      <c r="H53" s="730" t="s">
        <v>84</v>
      </c>
      <c r="I53" s="721" t="s">
        <v>77</v>
      </c>
      <c r="J53" s="718"/>
      <c r="K53" s="718"/>
      <c r="L53" s="719"/>
    </row>
    <row r="54" spans="1:12" x14ac:dyDescent="0.2">
      <c r="A54" s="722">
        <v>1</v>
      </c>
      <c r="B54" s="723" t="s">
        <v>363</v>
      </c>
      <c r="C54" s="739">
        <v>5</v>
      </c>
      <c r="D54" s="719"/>
      <c r="F54" s="1457">
        <v>8</v>
      </c>
      <c r="G54" s="1458"/>
      <c r="H54" s="728" t="s">
        <v>367</v>
      </c>
      <c r="I54" s="720">
        <v>2</v>
      </c>
      <c r="J54" s="718"/>
      <c r="K54" s="718"/>
      <c r="L54" s="719"/>
    </row>
    <row r="55" spans="1:12" x14ac:dyDescent="0.2">
      <c r="A55" s="724" t="s">
        <v>277</v>
      </c>
      <c r="B55" s="725" t="s">
        <v>432</v>
      </c>
      <c r="C55" s="739">
        <v>4</v>
      </c>
      <c r="D55" s="719"/>
      <c r="F55" s="1457">
        <v>9</v>
      </c>
      <c r="G55" s="1458"/>
      <c r="H55" s="727" t="s">
        <v>338</v>
      </c>
      <c r="I55" s="720">
        <v>2</v>
      </c>
      <c r="J55" s="718"/>
      <c r="K55" s="718"/>
      <c r="L55" s="719"/>
    </row>
    <row r="56" spans="1:12" x14ac:dyDescent="0.2">
      <c r="A56" s="724" t="s">
        <v>277</v>
      </c>
      <c r="B56" s="726" t="s">
        <v>431</v>
      </c>
      <c r="C56" s="740">
        <v>4</v>
      </c>
      <c r="D56" s="719"/>
      <c r="F56" s="1457">
        <v>10</v>
      </c>
      <c r="G56" s="1458"/>
      <c r="H56" s="728" t="s">
        <v>335</v>
      </c>
      <c r="I56" s="720">
        <v>2</v>
      </c>
      <c r="J56" s="718"/>
      <c r="K56" s="718"/>
      <c r="L56" s="719"/>
    </row>
    <row r="57" spans="1:12" x14ac:dyDescent="0.2">
      <c r="A57" s="724" t="s">
        <v>433</v>
      </c>
      <c r="B57" s="727" t="s">
        <v>334</v>
      </c>
      <c r="C57" s="739">
        <v>3</v>
      </c>
      <c r="D57" s="719"/>
      <c r="F57" s="1457">
        <v>11</v>
      </c>
      <c r="G57" s="1458"/>
      <c r="H57" s="728" t="s">
        <v>405</v>
      </c>
      <c r="I57" s="720">
        <v>2</v>
      </c>
      <c r="J57" s="718"/>
      <c r="K57" s="718"/>
      <c r="L57" s="719"/>
    </row>
    <row r="58" spans="1:12" x14ac:dyDescent="0.2">
      <c r="A58" s="724" t="s">
        <v>433</v>
      </c>
      <c r="B58" s="728" t="s">
        <v>333</v>
      </c>
      <c r="C58" s="739">
        <v>3</v>
      </c>
      <c r="D58" s="719"/>
      <c r="F58" s="1457">
        <v>12</v>
      </c>
      <c r="G58" s="1458"/>
      <c r="H58" s="727" t="s">
        <v>342</v>
      </c>
      <c r="I58" s="720">
        <v>2</v>
      </c>
      <c r="J58" s="718"/>
      <c r="K58" s="718"/>
      <c r="L58" s="719"/>
    </row>
    <row r="59" spans="1:12" x14ac:dyDescent="0.2">
      <c r="A59" s="724" t="s">
        <v>433</v>
      </c>
      <c r="B59" s="728" t="s">
        <v>345</v>
      </c>
      <c r="C59" s="739">
        <v>3</v>
      </c>
      <c r="D59" s="719"/>
      <c r="F59" s="1457" t="s">
        <v>438</v>
      </c>
      <c r="G59" s="1458"/>
      <c r="H59" s="728" t="s">
        <v>435</v>
      </c>
      <c r="I59" s="720">
        <v>2</v>
      </c>
      <c r="J59" s="718"/>
      <c r="K59" s="718"/>
      <c r="L59" s="719"/>
    </row>
    <row r="60" spans="1:12" x14ac:dyDescent="0.2">
      <c r="A60" s="724" t="s">
        <v>433</v>
      </c>
      <c r="B60" s="728" t="s">
        <v>339</v>
      </c>
      <c r="C60" s="739">
        <v>3</v>
      </c>
      <c r="D60" s="719"/>
      <c r="F60" s="1457" t="s">
        <v>438</v>
      </c>
      <c r="G60" s="1458"/>
      <c r="H60" s="728" t="s">
        <v>439</v>
      </c>
      <c r="I60" s="720">
        <v>2</v>
      </c>
      <c r="J60" s="718"/>
      <c r="K60" s="718"/>
      <c r="L60" s="719"/>
    </row>
    <row r="61" spans="1:12" x14ac:dyDescent="0.2">
      <c r="F61" s="1457">
        <v>15</v>
      </c>
      <c r="G61" s="1458"/>
      <c r="H61" s="728" t="s">
        <v>434</v>
      </c>
      <c r="I61" s="720">
        <v>1</v>
      </c>
      <c r="J61" s="718"/>
      <c r="K61" s="718"/>
      <c r="L61" s="719"/>
    </row>
  </sheetData>
  <mergeCells count="9">
    <mergeCell ref="F61:G61"/>
    <mergeCell ref="F53:G53"/>
    <mergeCell ref="F54:G54"/>
    <mergeCell ref="F60:G60"/>
    <mergeCell ref="F55:G55"/>
    <mergeCell ref="F59:G59"/>
    <mergeCell ref="F58:G58"/>
    <mergeCell ref="F57:G57"/>
    <mergeCell ref="F56:G56"/>
  </mergeCells>
  <conditionalFormatting sqref="B54">
    <cfRule type="duplicateValues" dxfId="351" priority="74" stopIfTrue="1"/>
  </conditionalFormatting>
  <conditionalFormatting sqref="B10">
    <cfRule type="duplicateValues" dxfId="350" priority="73"/>
  </conditionalFormatting>
  <conditionalFormatting sqref="B12">
    <cfRule type="duplicateValues" dxfId="349" priority="71"/>
  </conditionalFormatting>
  <conditionalFormatting sqref="H14">
    <cfRule type="duplicateValues" dxfId="348" priority="67"/>
  </conditionalFormatting>
  <conditionalFormatting sqref="B14">
    <cfRule type="duplicateValues" dxfId="347" priority="66"/>
  </conditionalFormatting>
  <conditionalFormatting sqref="H18">
    <cfRule type="duplicateValues" dxfId="346" priority="33"/>
  </conditionalFormatting>
  <conditionalFormatting sqref="D7:D22 F7:F22 F24:F31 D24:D31 D33:D40 F33:F40 F42:F49 D42:D49">
    <cfRule type="cellIs" dxfId="345" priority="43" operator="equal">
      <formula>13</formula>
    </cfRule>
  </conditionalFormatting>
  <conditionalFormatting sqref="E7:E22 E24:E31 E33:E40 E42:E49">
    <cfRule type="cellIs" dxfId="344" priority="42" operator="equal">
      <formula>13</formula>
    </cfRule>
  </conditionalFormatting>
  <conditionalFormatting sqref="B9">
    <cfRule type="duplicateValues" dxfId="343" priority="41"/>
  </conditionalFormatting>
  <conditionalFormatting sqref="H13">
    <cfRule type="duplicateValues" dxfId="342" priority="40"/>
  </conditionalFormatting>
  <conditionalFormatting sqref="B23">
    <cfRule type="duplicateValues" dxfId="341" priority="39"/>
  </conditionalFormatting>
  <conditionalFormatting sqref="H23">
    <cfRule type="duplicateValues" dxfId="340" priority="38"/>
  </conditionalFormatting>
  <conditionalFormatting sqref="D23 F23">
    <cfRule type="cellIs" dxfId="339" priority="37" operator="equal">
      <formula>13</formula>
    </cfRule>
  </conditionalFormatting>
  <conditionalFormatting sqref="E23">
    <cfRule type="cellIs" dxfId="338" priority="36" operator="equal">
      <formula>13</formula>
    </cfRule>
  </conditionalFormatting>
  <conditionalFormatting sqref="H16">
    <cfRule type="duplicateValues" dxfId="337" priority="35"/>
  </conditionalFormatting>
  <conditionalFormatting sqref="B17">
    <cfRule type="duplicateValues" dxfId="336" priority="34"/>
  </conditionalFormatting>
  <conditionalFormatting sqref="B20">
    <cfRule type="duplicateValues" dxfId="335" priority="32"/>
  </conditionalFormatting>
  <conditionalFormatting sqref="B32">
    <cfRule type="duplicateValues" dxfId="334" priority="31"/>
  </conditionalFormatting>
  <conditionalFormatting sqref="H32">
    <cfRule type="duplicateValues" dxfId="333" priority="30"/>
  </conditionalFormatting>
  <conditionalFormatting sqref="D32 F32">
    <cfRule type="cellIs" dxfId="332" priority="29" operator="equal">
      <formula>13</formula>
    </cfRule>
  </conditionalFormatting>
  <conditionalFormatting sqref="E32">
    <cfRule type="cellIs" dxfId="331" priority="28" operator="equal">
      <formula>13</formula>
    </cfRule>
  </conditionalFormatting>
  <conditionalFormatting sqref="H25">
    <cfRule type="duplicateValues" dxfId="330" priority="27"/>
  </conditionalFormatting>
  <conditionalFormatting sqref="H27">
    <cfRule type="duplicateValues" dxfId="329" priority="26"/>
  </conditionalFormatting>
  <conditionalFormatting sqref="B30">
    <cfRule type="duplicateValues" dxfId="328" priority="25"/>
  </conditionalFormatting>
  <conditionalFormatting sqref="B31">
    <cfRule type="duplicateValues" dxfId="327" priority="24"/>
  </conditionalFormatting>
  <conditionalFormatting sqref="H41">
    <cfRule type="duplicateValues" dxfId="326" priority="23"/>
  </conditionalFormatting>
  <conditionalFormatting sqref="D41 F41">
    <cfRule type="cellIs" dxfId="325" priority="22" operator="equal">
      <formula>13</formula>
    </cfRule>
  </conditionalFormatting>
  <conditionalFormatting sqref="E41">
    <cfRule type="cellIs" dxfId="324" priority="21" operator="equal">
      <formula>13</formula>
    </cfRule>
  </conditionalFormatting>
  <conditionalFormatting sqref="B34">
    <cfRule type="duplicateValues" dxfId="323" priority="20"/>
  </conditionalFormatting>
  <conditionalFormatting sqref="H37">
    <cfRule type="duplicateValues" dxfId="322" priority="19"/>
  </conditionalFormatting>
  <conditionalFormatting sqref="H38">
    <cfRule type="duplicateValues" dxfId="321" priority="18"/>
  </conditionalFormatting>
  <conditionalFormatting sqref="H39">
    <cfRule type="duplicateValues" dxfId="320" priority="17"/>
  </conditionalFormatting>
  <conditionalFormatting sqref="H40">
    <cfRule type="duplicateValues" dxfId="319" priority="16"/>
  </conditionalFormatting>
  <conditionalFormatting sqref="H50:H51">
    <cfRule type="duplicateValues" dxfId="318" priority="15"/>
  </conditionalFormatting>
  <conditionalFormatting sqref="D50:D51 F50:F51">
    <cfRule type="cellIs" dxfId="317" priority="14" operator="equal">
      <formula>13</formula>
    </cfRule>
  </conditionalFormatting>
  <conditionalFormatting sqref="E50:E51">
    <cfRule type="cellIs" dxfId="316" priority="13" operator="equal">
      <formula>13</formula>
    </cfRule>
  </conditionalFormatting>
  <conditionalFormatting sqref="B45">
    <cfRule type="duplicateValues" dxfId="315" priority="12"/>
  </conditionalFormatting>
  <conditionalFormatting sqref="H45">
    <cfRule type="duplicateValues" dxfId="314" priority="11"/>
  </conditionalFormatting>
  <conditionalFormatting sqref="B48">
    <cfRule type="duplicateValues" dxfId="313" priority="10"/>
  </conditionalFormatting>
  <conditionalFormatting sqref="H48">
    <cfRule type="duplicateValues" dxfId="312" priority="9"/>
  </conditionalFormatting>
  <conditionalFormatting sqref="B49">
    <cfRule type="duplicateValues" dxfId="311" priority="8"/>
  </conditionalFormatting>
  <conditionalFormatting sqref="H57">
    <cfRule type="duplicateValues" dxfId="310" priority="6"/>
  </conditionalFormatting>
  <conditionalFormatting sqref="H61">
    <cfRule type="duplicateValues" dxfId="309" priority="5"/>
  </conditionalFormatting>
  <conditionalFormatting sqref="H55">
    <cfRule type="duplicateValues" dxfId="308" priority="4"/>
  </conditionalFormatting>
  <conditionalFormatting sqref="H60">
    <cfRule type="duplicateValues" dxfId="307" priority="1"/>
  </conditionalFormatting>
  <pageMargins left="0.78740157480314965" right="0.39370078740157483" top="0.59055118110236227" bottom="0.39370078740157483" header="0.39370078740157483" footer="0"/>
  <pageSetup paperSize="9" fitToHeight="0" orientation="portrait" verticalDpi="1200" r:id="rId1"/>
  <headerFooter>
    <oddHeader>&amp;R&amp;"Arial,Regular"&amp;9Page &amp;P of &amp;N</oddHeader>
  </headerFooter>
  <rowBreaks count="3" manualBreakCount="3">
    <brk id="94" max="16383" man="1"/>
    <brk id="132" max="16383" man="1"/>
    <brk id="167" max="16383" man="1"/>
  </rowBreaks>
  <ignoredErrors>
    <ignoredError sqref="G54 G55 G56 G57 G58 G59" twoDigitTextYea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61"/>
  <sheetViews>
    <sheetView showGridLines="0" showRowColHeaders="0" zoomScaleNormal="100" workbookViewId="0">
      <pane ySplit="2" topLeftCell="A40" activePane="bottomLeft" state="frozen"/>
      <selection activeCell="K30" sqref="K30"/>
      <selection pane="bottomLeft" activeCell="I1" sqref="I1"/>
    </sheetView>
  </sheetViews>
  <sheetFormatPr defaultRowHeight="12.75" x14ac:dyDescent="0.2"/>
  <cols>
    <col min="1" max="1" width="5.5703125" style="152" customWidth="1"/>
    <col min="2" max="2" width="33.7109375" style="152" customWidth="1"/>
    <col min="3" max="3" width="2.28515625" style="152" customWidth="1"/>
    <col min="4" max="4" width="3" style="152" bestFit="1" customWidth="1"/>
    <col min="5" max="5" width="1.5703125" style="152" bestFit="1" customWidth="1"/>
    <col min="6" max="6" width="3" style="152" bestFit="1" customWidth="1"/>
    <col min="7" max="7" width="2.28515625" style="152" customWidth="1"/>
    <col min="8" max="8" width="33.7109375" style="152" customWidth="1"/>
    <col min="9" max="9" width="3" style="152" bestFit="1" customWidth="1"/>
    <col min="10" max="10" width="3" style="152" hidden="1" customWidth="1"/>
    <col min="11" max="11" width="3.5703125" style="152" hidden="1" customWidth="1"/>
    <col min="12" max="12" width="2.7109375" style="152" bestFit="1" customWidth="1"/>
    <col min="13" max="16384" width="9.140625" style="152"/>
  </cols>
  <sheetData>
    <row r="1" spans="1:11" x14ac:dyDescent="0.2">
      <c r="A1" s="151" t="str">
        <f>UPPER((Kalend!E21)&amp;" - "&amp;(Kalend!C21)&amp;" - "&amp;(Kalend!D21))</f>
        <v>V4 - VOKA 4. KV 4. ETAPP - DUO</v>
      </c>
      <c r="D1" s="113" t="str">
        <f>HYPERLINK("#Kalend!I1","Kalender")</f>
        <v>Kalender</v>
      </c>
      <c r="E1" s="113"/>
      <c r="F1" s="113"/>
      <c r="G1" s="2"/>
      <c r="H1" s="113" t="str">
        <f>HYPERLINK("#Reit!G1","Reiting")</f>
        <v>Reiting</v>
      </c>
      <c r="I1" s="2"/>
      <c r="J1" s="2"/>
    </row>
    <row r="2" spans="1:11" x14ac:dyDescent="0.2">
      <c r="A2" s="2" t="str">
        <f>"Toimumisaeg: "&amp;(Kalend!A21)&amp;" kell "&amp;(Kalend!B21)</f>
        <v>Toimumisaeg: K, 21.06.2017 kell 18:00</v>
      </c>
    </row>
    <row r="3" spans="1:11" x14ac:dyDescent="0.2">
      <c r="A3" s="2" t="str">
        <f>"Toimumiskoht: "&amp;(Kalend!F21)</f>
        <v>Toimumiskoht: Voka staadion</v>
      </c>
    </row>
    <row r="4" spans="1:11" x14ac:dyDescent="0.2">
      <c r="A4" s="2" t="str">
        <f>"Korraldaja: "&amp;(Kalend!G21)</f>
        <v>Korraldaja: Johannes Neiland</v>
      </c>
      <c r="H4" s="547" t="s">
        <v>113</v>
      </c>
    </row>
    <row r="5" spans="1:11" x14ac:dyDescent="0.2">
      <c r="A5" s="2"/>
    </row>
    <row r="6" spans="1:11" x14ac:dyDescent="0.2">
      <c r="A6" s="195" t="s">
        <v>114</v>
      </c>
      <c r="B6" s="196"/>
    </row>
    <row r="7" spans="1:11" x14ac:dyDescent="0.2">
      <c r="A7" s="2"/>
      <c r="B7" s="206"/>
      <c r="C7" s="207"/>
      <c r="D7" s="615"/>
      <c r="E7" s="616"/>
      <c r="F7" s="617"/>
      <c r="G7" s="208"/>
      <c r="H7" s="206"/>
      <c r="J7" s="152">
        <v>1</v>
      </c>
      <c r="K7" s="152">
        <v>15</v>
      </c>
    </row>
    <row r="8" spans="1:11" x14ac:dyDescent="0.2">
      <c r="A8" s="2"/>
      <c r="B8" s="197"/>
      <c r="C8" s="207"/>
      <c r="D8" s="615"/>
      <c r="E8" s="616"/>
      <c r="F8" s="617"/>
      <c r="G8" s="208"/>
      <c r="H8" s="206"/>
      <c r="J8" s="152">
        <v>2</v>
      </c>
      <c r="K8" s="152">
        <v>14</v>
      </c>
    </row>
    <row r="9" spans="1:11" x14ac:dyDescent="0.2">
      <c r="A9" s="2"/>
      <c r="B9" s="206"/>
      <c r="C9" s="207"/>
      <c r="D9" s="615"/>
      <c r="E9" s="616"/>
      <c r="F9" s="617"/>
      <c r="G9" s="208"/>
      <c r="H9" s="206"/>
      <c r="J9" s="152">
        <v>3</v>
      </c>
      <c r="K9" s="152">
        <v>13</v>
      </c>
    </row>
    <row r="10" spans="1:11" x14ac:dyDescent="0.2">
      <c r="A10" s="2"/>
      <c r="B10" s="197"/>
      <c r="C10" s="207"/>
      <c r="D10" s="615"/>
      <c r="E10" s="616"/>
      <c r="F10" s="617"/>
      <c r="G10" s="208"/>
      <c r="H10" s="206"/>
      <c r="J10" s="152">
        <v>4</v>
      </c>
      <c r="K10" s="152">
        <v>12</v>
      </c>
    </row>
    <row r="11" spans="1:11" x14ac:dyDescent="0.2">
      <c r="A11" s="2"/>
      <c r="B11" s="206"/>
      <c r="C11" s="208"/>
      <c r="D11" s="615"/>
      <c r="E11" s="616"/>
      <c r="F11" s="617"/>
      <c r="G11" s="207"/>
      <c r="H11" s="614"/>
      <c r="J11" s="152">
        <v>5</v>
      </c>
      <c r="K11" s="152">
        <v>11</v>
      </c>
    </row>
    <row r="12" spans="1:11" x14ac:dyDescent="0.2">
      <c r="A12" s="2"/>
      <c r="B12" s="206"/>
      <c r="C12" s="208"/>
      <c r="D12" s="615"/>
      <c r="E12" s="616"/>
      <c r="F12" s="617"/>
      <c r="G12" s="207"/>
      <c r="H12" s="206"/>
      <c r="J12" s="152">
        <v>6</v>
      </c>
      <c r="K12" s="152">
        <v>10</v>
      </c>
    </row>
    <row r="13" spans="1:11" x14ac:dyDescent="0.2">
      <c r="A13" s="2"/>
      <c r="B13" s="206"/>
      <c r="C13" s="207"/>
      <c r="D13" s="615"/>
      <c r="E13" s="616"/>
      <c r="F13" s="617"/>
      <c r="G13" s="207"/>
      <c r="H13" s="206"/>
      <c r="J13" s="152">
        <v>7</v>
      </c>
      <c r="K13" s="152">
        <v>9</v>
      </c>
    </row>
    <row r="14" spans="1:11" x14ac:dyDescent="0.2">
      <c r="A14" s="2"/>
      <c r="B14" s="206"/>
      <c r="C14" s="207"/>
      <c r="D14" s="615"/>
      <c r="E14" s="616"/>
      <c r="F14" s="617"/>
      <c r="G14" s="207"/>
      <c r="H14" s="206"/>
      <c r="J14" s="152">
        <v>8</v>
      </c>
    </row>
    <row r="15" spans="1:11" x14ac:dyDescent="0.2">
      <c r="A15" s="195" t="s">
        <v>115</v>
      </c>
      <c r="B15" s="196"/>
      <c r="C15" s="209"/>
      <c r="D15" s="213"/>
      <c r="E15" s="213"/>
      <c r="F15" s="213"/>
      <c r="G15" s="209"/>
      <c r="H15" s="210"/>
    </row>
    <row r="16" spans="1:11" x14ac:dyDescent="0.2">
      <c r="A16" s="2"/>
      <c r="B16" s="197"/>
      <c r="C16" s="207"/>
      <c r="D16" s="615"/>
      <c r="E16" s="616"/>
      <c r="F16" s="617"/>
      <c r="G16" s="207"/>
      <c r="H16" s="206"/>
    </row>
    <row r="17" spans="1:8" x14ac:dyDescent="0.2">
      <c r="A17" s="2"/>
      <c r="B17" s="197"/>
      <c r="C17" s="207"/>
      <c r="D17" s="615"/>
      <c r="E17" s="616"/>
      <c r="F17" s="617"/>
      <c r="G17" s="207"/>
      <c r="H17" s="206"/>
    </row>
    <row r="18" spans="1:8" x14ac:dyDescent="0.2">
      <c r="A18" s="2"/>
      <c r="B18" s="206"/>
      <c r="C18" s="207"/>
      <c r="D18" s="615"/>
      <c r="E18" s="616"/>
      <c r="F18" s="617"/>
      <c r="G18" s="207"/>
      <c r="H18" s="206"/>
    </row>
    <row r="19" spans="1:8" x14ac:dyDescent="0.2">
      <c r="A19" s="2"/>
      <c r="B19" s="206"/>
      <c r="C19" s="208"/>
      <c r="D19" s="615"/>
      <c r="E19" s="616"/>
      <c r="F19" s="617"/>
      <c r="G19" s="207"/>
      <c r="H19" s="206"/>
    </row>
    <row r="20" spans="1:8" x14ac:dyDescent="0.2">
      <c r="A20" s="2"/>
      <c r="B20" s="197"/>
      <c r="C20" s="208"/>
      <c r="D20" s="615"/>
      <c r="E20" s="616"/>
      <c r="F20" s="617"/>
      <c r="G20" s="207"/>
      <c r="H20" s="206"/>
    </row>
    <row r="21" spans="1:8" x14ac:dyDescent="0.2">
      <c r="A21" s="2"/>
      <c r="B21" s="206"/>
      <c r="C21" s="208"/>
      <c r="D21" s="615"/>
      <c r="E21" s="616"/>
      <c r="F21" s="617"/>
      <c r="G21" s="207"/>
      <c r="H21" s="206"/>
    </row>
    <row r="22" spans="1:8" x14ac:dyDescent="0.2">
      <c r="A22" s="2"/>
      <c r="B22" s="614"/>
      <c r="C22" s="207"/>
      <c r="D22" s="615"/>
      <c r="E22" s="616"/>
      <c r="F22" s="617"/>
      <c r="G22" s="207"/>
      <c r="H22" s="206"/>
    </row>
    <row r="23" spans="1:8" x14ac:dyDescent="0.2">
      <c r="A23" s="2"/>
      <c r="B23" s="206"/>
      <c r="C23" s="207"/>
      <c r="D23" s="615"/>
      <c r="E23" s="616"/>
      <c r="F23" s="617"/>
      <c r="G23" s="207"/>
      <c r="H23" s="206"/>
    </row>
    <row r="24" spans="1:8" x14ac:dyDescent="0.2">
      <c r="A24" s="195" t="s">
        <v>116</v>
      </c>
      <c r="B24" s="196"/>
      <c r="C24" s="209"/>
      <c r="D24" s="213"/>
      <c r="E24" s="213"/>
      <c r="F24" s="213"/>
      <c r="G24" s="209"/>
      <c r="H24" s="210"/>
    </row>
    <row r="25" spans="1:8" x14ac:dyDescent="0.2">
      <c r="A25" s="2"/>
      <c r="B25" s="206"/>
      <c r="C25" s="207"/>
      <c r="D25" s="615"/>
      <c r="E25" s="616"/>
      <c r="F25" s="617"/>
      <c r="G25" s="207"/>
      <c r="H25" s="206"/>
    </row>
    <row r="26" spans="1:8" x14ac:dyDescent="0.2">
      <c r="A26" s="2"/>
      <c r="B26" s="197"/>
      <c r="C26" s="207"/>
      <c r="D26" s="615"/>
      <c r="E26" s="616"/>
      <c r="F26" s="617"/>
      <c r="G26" s="207"/>
      <c r="H26" s="614"/>
    </row>
    <row r="27" spans="1:8" x14ac:dyDescent="0.2">
      <c r="A27" s="2"/>
      <c r="B27" s="206"/>
      <c r="C27" s="207"/>
      <c r="D27" s="615"/>
      <c r="E27" s="616"/>
      <c r="F27" s="617"/>
      <c r="G27" s="207"/>
      <c r="H27" s="206"/>
    </row>
    <row r="28" spans="1:8" x14ac:dyDescent="0.2">
      <c r="A28" s="2"/>
      <c r="B28" s="206"/>
      <c r="C28" s="207"/>
      <c r="D28" s="615"/>
      <c r="E28" s="616"/>
      <c r="F28" s="617"/>
      <c r="G28" s="207"/>
      <c r="H28" s="206"/>
    </row>
    <row r="29" spans="1:8" x14ac:dyDescent="0.2">
      <c r="A29" s="2"/>
      <c r="B29" s="197"/>
      <c r="C29" s="207"/>
      <c r="D29" s="615"/>
      <c r="E29" s="616"/>
      <c r="F29" s="617"/>
      <c r="G29" s="207"/>
      <c r="H29" s="206"/>
    </row>
    <row r="30" spans="1:8" x14ac:dyDescent="0.2">
      <c r="A30" s="2"/>
      <c r="B30" s="197"/>
      <c r="C30" s="208"/>
      <c r="D30" s="615"/>
      <c r="E30" s="616"/>
      <c r="F30" s="617"/>
      <c r="G30" s="207"/>
      <c r="H30" s="206"/>
    </row>
    <row r="31" spans="1:8" x14ac:dyDescent="0.2">
      <c r="A31" s="2"/>
      <c r="B31" s="206"/>
      <c r="C31" s="207"/>
      <c r="D31" s="615"/>
      <c r="E31" s="616"/>
      <c r="F31" s="617"/>
      <c r="G31" s="207"/>
      <c r="H31" s="206"/>
    </row>
    <row r="32" spans="1:8" x14ac:dyDescent="0.2">
      <c r="A32" s="2"/>
      <c r="B32" s="206"/>
      <c r="C32" s="207"/>
      <c r="D32" s="615"/>
      <c r="E32" s="616"/>
      <c r="F32" s="617"/>
      <c r="G32" s="207"/>
      <c r="H32" s="206"/>
    </row>
    <row r="33" spans="1:8" x14ac:dyDescent="0.2">
      <c r="A33" s="195" t="s">
        <v>117</v>
      </c>
      <c r="B33" s="196"/>
      <c r="C33" s="209"/>
      <c r="D33" s="213"/>
      <c r="E33" s="213"/>
      <c r="F33" s="213"/>
      <c r="G33" s="209"/>
      <c r="H33" s="210"/>
    </row>
    <row r="34" spans="1:8" x14ac:dyDescent="0.2">
      <c r="A34" s="2"/>
      <c r="B34" s="197"/>
      <c r="C34" s="207"/>
      <c r="D34" s="615"/>
      <c r="E34" s="616"/>
      <c r="F34" s="617"/>
      <c r="G34" s="207"/>
      <c r="H34" s="614"/>
    </row>
    <row r="35" spans="1:8" x14ac:dyDescent="0.2">
      <c r="A35" s="2"/>
      <c r="B35" s="197"/>
      <c r="C35" s="207"/>
      <c r="D35" s="615"/>
      <c r="E35" s="616"/>
      <c r="F35" s="617"/>
      <c r="G35" s="207"/>
      <c r="H35" s="206"/>
    </row>
    <row r="36" spans="1:8" x14ac:dyDescent="0.2">
      <c r="A36" s="2"/>
      <c r="B36" s="206"/>
      <c r="C36" s="207"/>
      <c r="D36" s="615"/>
      <c r="E36" s="616"/>
      <c r="F36" s="617"/>
      <c r="G36" s="207"/>
      <c r="H36" s="206"/>
    </row>
    <row r="37" spans="1:8" x14ac:dyDescent="0.2">
      <c r="A37" s="2"/>
      <c r="B37" s="206"/>
      <c r="C37" s="207"/>
      <c r="D37" s="615"/>
      <c r="E37" s="616"/>
      <c r="F37" s="617"/>
      <c r="G37" s="207"/>
      <c r="H37" s="206"/>
    </row>
    <row r="38" spans="1:8" x14ac:dyDescent="0.2">
      <c r="A38" s="2"/>
      <c r="B38" s="197"/>
      <c r="C38" s="207"/>
      <c r="D38" s="615"/>
      <c r="E38" s="616"/>
      <c r="F38" s="617"/>
      <c r="G38" s="207"/>
      <c r="H38" s="206"/>
    </row>
    <row r="39" spans="1:8" x14ac:dyDescent="0.2">
      <c r="A39" s="2"/>
      <c r="B39" s="206"/>
      <c r="C39" s="207"/>
      <c r="D39" s="615"/>
      <c r="E39" s="616"/>
      <c r="F39" s="617"/>
      <c r="G39" s="207"/>
      <c r="H39" s="206"/>
    </row>
    <row r="40" spans="1:8" x14ac:dyDescent="0.2">
      <c r="A40" s="2"/>
      <c r="B40" s="206"/>
      <c r="C40" s="207"/>
      <c r="D40" s="615"/>
      <c r="E40" s="616"/>
      <c r="F40" s="617"/>
      <c r="G40" s="207"/>
      <c r="H40" s="206"/>
    </row>
    <row r="41" spans="1:8" x14ac:dyDescent="0.2">
      <c r="A41" s="2"/>
      <c r="B41" s="206"/>
      <c r="C41" s="207"/>
      <c r="D41" s="615"/>
      <c r="E41" s="616"/>
      <c r="F41" s="617"/>
      <c r="G41" s="207"/>
      <c r="H41" s="206"/>
    </row>
    <row r="42" spans="1:8" x14ac:dyDescent="0.2">
      <c r="A42" s="195" t="s">
        <v>118</v>
      </c>
      <c r="B42" s="196"/>
      <c r="C42" s="209"/>
      <c r="D42" s="213"/>
      <c r="E42" s="213"/>
      <c r="F42" s="213"/>
      <c r="G42" s="209"/>
      <c r="H42" s="210"/>
    </row>
    <row r="43" spans="1:8" x14ac:dyDescent="0.2">
      <c r="A43" s="2"/>
      <c r="B43" s="206"/>
      <c r="C43" s="208"/>
      <c r="D43" s="615"/>
      <c r="E43" s="616"/>
      <c r="F43" s="617"/>
      <c r="G43" s="207"/>
      <c r="H43" s="614"/>
    </row>
    <row r="44" spans="1:8" x14ac:dyDescent="0.2">
      <c r="A44" s="2"/>
      <c r="B44" s="197"/>
      <c r="C44" s="208"/>
      <c r="D44" s="615"/>
      <c r="E44" s="616"/>
      <c r="F44" s="617"/>
      <c r="G44" s="207"/>
      <c r="H44" s="206"/>
    </row>
    <row r="45" spans="1:8" x14ac:dyDescent="0.2">
      <c r="A45" s="2"/>
      <c r="B45" s="206"/>
      <c r="C45" s="208"/>
      <c r="D45" s="615"/>
      <c r="E45" s="616"/>
      <c r="F45" s="617"/>
      <c r="G45" s="207"/>
      <c r="H45" s="206"/>
    </row>
    <row r="46" spans="1:8" x14ac:dyDescent="0.2">
      <c r="A46" s="2"/>
      <c r="B46" s="206"/>
      <c r="C46" s="208"/>
      <c r="D46" s="615"/>
      <c r="E46" s="616"/>
      <c r="F46" s="617"/>
      <c r="G46" s="207"/>
      <c r="H46" s="206"/>
    </row>
    <row r="47" spans="1:8" x14ac:dyDescent="0.2">
      <c r="A47" s="2"/>
      <c r="B47" s="206"/>
      <c r="C47" s="208"/>
      <c r="D47" s="615"/>
      <c r="E47" s="616"/>
      <c r="F47" s="617"/>
      <c r="G47" s="207"/>
      <c r="H47" s="206"/>
    </row>
    <row r="48" spans="1:8" x14ac:dyDescent="0.2">
      <c r="A48" s="2"/>
      <c r="B48" s="206"/>
      <c r="C48" s="207"/>
      <c r="D48" s="615"/>
      <c r="E48" s="616"/>
      <c r="F48" s="617"/>
      <c r="G48" s="207"/>
      <c r="H48" s="206"/>
    </row>
    <row r="49" spans="1:12" x14ac:dyDescent="0.2">
      <c r="A49" s="2"/>
      <c r="B49" s="206"/>
      <c r="C49" s="208"/>
      <c r="D49" s="615"/>
      <c r="E49" s="616"/>
      <c r="F49" s="617"/>
      <c r="G49" s="207"/>
      <c r="H49" s="206"/>
    </row>
    <row r="50" spans="1:12" x14ac:dyDescent="0.2">
      <c r="A50" s="2"/>
      <c r="B50" s="206"/>
      <c r="C50" s="207"/>
      <c r="D50" s="615"/>
      <c r="E50" s="616"/>
      <c r="F50" s="617"/>
      <c r="G50" s="207"/>
      <c r="H50" s="197"/>
    </row>
    <row r="51" spans="1:12" x14ac:dyDescent="0.2">
      <c r="A51" s="2"/>
      <c r="B51" s="211"/>
      <c r="C51" s="853"/>
      <c r="D51" s="854"/>
      <c r="E51" s="855"/>
      <c r="F51" s="854"/>
      <c r="G51" s="853"/>
      <c r="H51" s="214"/>
    </row>
    <row r="52" spans="1:12" x14ac:dyDescent="0.2">
      <c r="A52" s="2"/>
      <c r="B52" s="211"/>
      <c r="C52" s="211"/>
      <c r="D52" s="212"/>
      <c r="E52" s="212"/>
      <c r="F52" s="212"/>
      <c r="G52" s="212"/>
      <c r="H52" s="213"/>
    </row>
    <row r="53" spans="1:12" x14ac:dyDescent="0.2">
      <c r="A53" s="782" t="s">
        <v>145</v>
      </c>
      <c r="B53" s="810" t="s">
        <v>84</v>
      </c>
      <c r="C53" s="811" t="s">
        <v>77</v>
      </c>
      <c r="D53" s="812"/>
      <c r="F53" s="1454" t="s">
        <v>145</v>
      </c>
      <c r="G53" s="1455"/>
      <c r="H53" s="730" t="s">
        <v>84</v>
      </c>
      <c r="I53" s="721" t="s">
        <v>77</v>
      </c>
      <c r="J53" s="718"/>
      <c r="K53" s="718"/>
      <c r="L53" s="719"/>
    </row>
    <row r="54" spans="1:12" x14ac:dyDescent="0.2">
      <c r="A54" s="813">
        <v>1</v>
      </c>
      <c r="B54" s="814" t="s">
        <v>333</v>
      </c>
      <c r="C54" s="815">
        <v>4</v>
      </c>
      <c r="D54" s="812"/>
      <c r="F54" s="1459">
        <v>9</v>
      </c>
      <c r="G54" s="1460"/>
      <c r="H54" s="728" t="s">
        <v>516</v>
      </c>
      <c r="I54" s="720">
        <v>2</v>
      </c>
      <c r="J54" s="718"/>
      <c r="K54" s="718"/>
      <c r="L54" s="719"/>
    </row>
    <row r="55" spans="1:12" x14ac:dyDescent="0.2">
      <c r="A55" s="816">
        <v>2</v>
      </c>
      <c r="B55" s="817" t="s">
        <v>335</v>
      </c>
      <c r="C55" s="815">
        <v>4</v>
      </c>
      <c r="D55" s="812"/>
      <c r="F55" s="1459">
        <v>10</v>
      </c>
      <c r="G55" s="1460"/>
      <c r="H55" s="727" t="s">
        <v>517</v>
      </c>
      <c r="I55" s="720">
        <v>2</v>
      </c>
      <c r="J55" s="718"/>
      <c r="K55" s="718"/>
      <c r="L55" s="719"/>
    </row>
    <row r="56" spans="1:12" x14ac:dyDescent="0.2">
      <c r="A56" s="816">
        <v>3</v>
      </c>
      <c r="B56" s="818" t="s">
        <v>334</v>
      </c>
      <c r="C56" s="819">
        <v>4</v>
      </c>
      <c r="D56" s="812"/>
      <c r="F56" s="1459">
        <v>11</v>
      </c>
      <c r="G56" s="1460"/>
      <c r="H56" s="728" t="s">
        <v>435</v>
      </c>
      <c r="I56" s="720">
        <v>2</v>
      </c>
      <c r="J56" s="718"/>
      <c r="K56" s="718"/>
      <c r="L56" s="719"/>
    </row>
    <row r="57" spans="1:12" x14ac:dyDescent="0.2">
      <c r="A57" s="813">
        <v>4</v>
      </c>
      <c r="B57" s="820" t="s">
        <v>431</v>
      </c>
      <c r="C57" s="815">
        <v>4</v>
      </c>
      <c r="D57" s="812"/>
      <c r="F57" s="1459">
        <v>12</v>
      </c>
      <c r="G57" s="1460"/>
      <c r="H57" s="728" t="s">
        <v>342</v>
      </c>
      <c r="I57" s="720">
        <v>2</v>
      </c>
      <c r="J57" s="718"/>
      <c r="K57" s="718"/>
      <c r="L57" s="719"/>
    </row>
    <row r="58" spans="1:12" x14ac:dyDescent="0.2">
      <c r="A58" s="816">
        <v>5</v>
      </c>
      <c r="B58" s="821" t="s">
        <v>515</v>
      </c>
      <c r="C58" s="815">
        <v>3</v>
      </c>
      <c r="D58" s="812"/>
      <c r="F58" s="1459">
        <v>13</v>
      </c>
      <c r="G58" s="1460"/>
      <c r="H58" s="727" t="s">
        <v>518</v>
      </c>
      <c r="I58" s="720">
        <v>2</v>
      </c>
      <c r="J58" s="718"/>
      <c r="K58" s="718"/>
      <c r="L58" s="719"/>
    </row>
    <row r="59" spans="1:12" x14ac:dyDescent="0.2">
      <c r="A59" s="816">
        <v>6</v>
      </c>
      <c r="B59" s="821" t="s">
        <v>405</v>
      </c>
      <c r="C59" s="815">
        <v>3</v>
      </c>
      <c r="D59" s="812"/>
      <c r="F59" s="1459">
        <v>14</v>
      </c>
      <c r="G59" s="1460"/>
      <c r="H59" s="728" t="s">
        <v>519</v>
      </c>
      <c r="I59" s="720">
        <v>1</v>
      </c>
      <c r="J59" s="718"/>
      <c r="K59" s="718"/>
      <c r="L59" s="719"/>
    </row>
    <row r="60" spans="1:12" x14ac:dyDescent="0.2">
      <c r="A60" s="813">
        <v>6</v>
      </c>
      <c r="B60" s="821" t="s">
        <v>363</v>
      </c>
      <c r="C60" s="815">
        <v>3</v>
      </c>
      <c r="D60" s="812"/>
      <c r="F60" s="1459">
        <v>15</v>
      </c>
      <c r="G60" s="1460"/>
      <c r="H60" s="728" t="s">
        <v>520</v>
      </c>
      <c r="I60" s="720">
        <v>1</v>
      </c>
      <c r="J60" s="718"/>
      <c r="K60" s="718"/>
      <c r="L60" s="719"/>
    </row>
    <row r="61" spans="1:12" x14ac:dyDescent="0.2">
      <c r="A61" s="823">
        <v>8</v>
      </c>
      <c r="B61" s="825" t="s">
        <v>339</v>
      </c>
      <c r="C61" s="824">
        <v>2</v>
      </c>
      <c r="D61" s="822"/>
    </row>
  </sheetData>
  <mergeCells count="8">
    <mergeCell ref="F59:G59"/>
    <mergeCell ref="F60:G60"/>
    <mergeCell ref="F53:G53"/>
    <mergeCell ref="F54:G54"/>
    <mergeCell ref="F55:G55"/>
    <mergeCell ref="F56:G56"/>
    <mergeCell ref="F57:G57"/>
    <mergeCell ref="F58:G58"/>
  </mergeCells>
  <conditionalFormatting sqref="B54">
    <cfRule type="duplicateValues" dxfId="306" priority="45" stopIfTrue="1"/>
  </conditionalFormatting>
  <conditionalFormatting sqref="B10">
    <cfRule type="duplicateValues" dxfId="305" priority="44"/>
  </conditionalFormatting>
  <conditionalFormatting sqref="B12">
    <cfRule type="duplicateValues" dxfId="304" priority="43"/>
  </conditionalFormatting>
  <conditionalFormatting sqref="H14">
    <cfRule type="duplicateValues" dxfId="303" priority="42"/>
  </conditionalFormatting>
  <conditionalFormatting sqref="B14">
    <cfRule type="duplicateValues" dxfId="302" priority="41"/>
  </conditionalFormatting>
  <conditionalFormatting sqref="H18">
    <cfRule type="duplicateValues" dxfId="301" priority="30"/>
  </conditionalFormatting>
  <conditionalFormatting sqref="D7:D22 F7:F22 F24:F31 D24:D31 D33:D40 F33:F40 F42:F49 D42:D49">
    <cfRule type="cellIs" dxfId="300" priority="40" operator="equal">
      <formula>13</formula>
    </cfRule>
  </conditionalFormatting>
  <conditionalFormatting sqref="E7:E22 E24:E31 E33:E40 E42:E49">
    <cfRule type="cellIs" dxfId="299" priority="39" operator="equal">
      <formula>13</formula>
    </cfRule>
  </conditionalFormatting>
  <conditionalFormatting sqref="B9">
    <cfRule type="duplicateValues" dxfId="298" priority="38"/>
  </conditionalFormatting>
  <conditionalFormatting sqref="H13">
    <cfRule type="duplicateValues" dxfId="297" priority="37"/>
  </conditionalFormatting>
  <conditionalFormatting sqref="B23">
    <cfRule type="duplicateValues" dxfId="296" priority="36"/>
  </conditionalFormatting>
  <conditionalFormatting sqref="H23">
    <cfRule type="duplicateValues" dxfId="295" priority="35"/>
  </conditionalFormatting>
  <conditionalFormatting sqref="D23 F23">
    <cfRule type="cellIs" dxfId="294" priority="34" operator="equal">
      <formula>13</formula>
    </cfRule>
  </conditionalFormatting>
  <conditionalFormatting sqref="E23">
    <cfRule type="cellIs" dxfId="293" priority="33" operator="equal">
      <formula>13</formula>
    </cfRule>
  </conditionalFormatting>
  <conditionalFormatting sqref="H16">
    <cfRule type="duplicateValues" dxfId="292" priority="32"/>
  </conditionalFormatting>
  <conditionalFormatting sqref="B17">
    <cfRule type="duplicateValues" dxfId="291" priority="31"/>
  </conditionalFormatting>
  <conditionalFormatting sqref="B20">
    <cfRule type="duplicateValues" dxfId="290" priority="29"/>
  </conditionalFormatting>
  <conditionalFormatting sqref="B32">
    <cfRule type="duplicateValues" dxfId="289" priority="28"/>
  </conditionalFormatting>
  <conditionalFormatting sqref="H32">
    <cfRule type="duplicateValues" dxfId="288" priority="27"/>
  </conditionalFormatting>
  <conditionalFormatting sqref="D32 F32">
    <cfRule type="cellIs" dxfId="287" priority="26" operator="equal">
      <formula>13</formula>
    </cfRule>
  </conditionalFormatting>
  <conditionalFormatting sqref="E32">
    <cfRule type="cellIs" dxfId="286" priority="25" operator="equal">
      <formula>13</formula>
    </cfRule>
  </conditionalFormatting>
  <conditionalFormatting sqref="H25">
    <cfRule type="duplicateValues" dxfId="285" priority="24"/>
  </conditionalFormatting>
  <conditionalFormatting sqref="H27">
    <cfRule type="duplicateValues" dxfId="284" priority="23"/>
  </conditionalFormatting>
  <conditionalFormatting sqref="B30">
    <cfRule type="duplicateValues" dxfId="283" priority="22"/>
  </conditionalFormatting>
  <conditionalFormatting sqref="B31">
    <cfRule type="duplicateValues" dxfId="282" priority="21"/>
  </conditionalFormatting>
  <conditionalFormatting sqref="H41">
    <cfRule type="duplicateValues" dxfId="281" priority="20"/>
  </conditionalFormatting>
  <conditionalFormatting sqref="D41 F41">
    <cfRule type="cellIs" dxfId="280" priority="19" operator="equal">
      <formula>13</formula>
    </cfRule>
  </conditionalFormatting>
  <conditionalFormatting sqref="E41">
    <cfRule type="cellIs" dxfId="279" priority="18" operator="equal">
      <formula>13</formula>
    </cfRule>
  </conditionalFormatting>
  <conditionalFormatting sqref="B34">
    <cfRule type="duplicateValues" dxfId="278" priority="17"/>
  </conditionalFormatting>
  <conditionalFormatting sqref="H37">
    <cfRule type="duplicateValues" dxfId="277" priority="16"/>
  </conditionalFormatting>
  <conditionalFormatting sqref="H38">
    <cfRule type="duplicateValues" dxfId="276" priority="15"/>
  </conditionalFormatting>
  <conditionalFormatting sqref="H39">
    <cfRule type="duplicateValues" dxfId="275" priority="14"/>
  </conditionalFormatting>
  <conditionalFormatting sqref="H40">
    <cfRule type="duplicateValues" dxfId="274" priority="13"/>
  </conditionalFormatting>
  <conditionalFormatting sqref="H50:H51">
    <cfRule type="duplicateValues" dxfId="273" priority="12"/>
  </conditionalFormatting>
  <conditionalFormatting sqref="D50:D51 F50:F51">
    <cfRule type="cellIs" dxfId="272" priority="11" operator="equal">
      <formula>13</formula>
    </cfRule>
  </conditionalFormatting>
  <conditionalFormatting sqref="E50:E51">
    <cfRule type="cellIs" dxfId="271" priority="10" operator="equal">
      <formula>13</formula>
    </cfRule>
  </conditionalFormatting>
  <conditionalFormatting sqref="B45">
    <cfRule type="duplicateValues" dxfId="270" priority="9"/>
  </conditionalFormatting>
  <conditionalFormatting sqref="H45">
    <cfRule type="duplicateValues" dxfId="269" priority="8"/>
  </conditionalFormatting>
  <conditionalFormatting sqref="B48">
    <cfRule type="duplicateValues" dxfId="268" priority="7"/>
  </conditionalFormatting>
  <conditionalFormatting sqref="H48">
    <cfRule type="duplicateValues" dxfId="267" priority="6"/>
  </conditionalFormatting>
  <conditionalFormatting sqref="B49">
    <cfRule type="duplicateValues" dxfId="266" priority="5"/>
  </conditionalFormatting>
  <conditionalFormatting sqref="H57">
    <cfRule type="duplicateValues" dxfId="265" priority="4"/>
  </conditionalFormatting>
  <conditionalFormatting sqref="H55">
    <cfRule type="duplicateValues" dxfId="264" priority="2"/>
  </conditionalFormatting>
  <conditionalFormatting sqref="H60">
    <cfRule type="duplicateValues" dxfId="263" priority="1"/>
  </conditionalFormatting>
  <pageMargins left="0.78740157480314965" right="0.39370078740157483" top="0.59055118110236227" bottom="0.39370078740157483" header="0.39370078740157483" footer="0"/>
  <pageSetup paperSize="9" fitToHeight="0" orientation="portrait" verticalDpi="1200" r:id="rId1"/>
  <headerFooter>
    <oddHeader>&amp;R&amp;"Arial,Regular"&amp;9Page &amp;P of &amp;N</oddHeader>
  </headerFooter>
  <rowBreaks count="3" manualBreakCount="3">
    <brk id="94" max="16383" man="1"/>
    <brk id="132" max="16383" man="1"/>
    <brk id="167"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68"/>
  <sheetViews>
    <sheetView showGridLines="0" showRowColHeaders="0" zoomScaleNormal="100" workbookViewId="0">
      <pane ySplit="2" topLeftCell="A44" activePane="bottomLeft" state="frozen"/>
      <selection activeCell="K30" sqref="K30"/>
      <selection pane="bottomLeft" activeCell="I1" sqref="I1"/>
    </sheetView>
  </sheetViews>
  <sheetFormatPr defaultRowHeight="12.75" x14ac:dyDescent="0.2"/>
  <cols>
    <col min="1" max="1" width="5.5703125" style="152" customWidth="1"/>
    <col min="2" max="2" width="33.7109375" style="152" customWidth="1"/>
    <col min="3" max="3" width="2.28515625" style="152" customWidth="1"/>
    <col min="4" max="4" width="3" style="152" bestFit="1" customWidth="1"/>
    <col min="5" max="5" width="1.5703125" style="152" bestFit="1" customWidth="1"/>
    <col min="6" max="6" width="3" style="152" bestFit="1" customWidth="1"/>
    <col min="7" max="7" width="2.28515625" style="152" customWidth="1"/>
    <col min="8" max="8" width="33.7109375" style="152" customWidth="1"/>
    <col min="9" max="9" width="3" style="152" bestFit="1" customWidth="1"/>
    <col min="10" max="10" width="3" style="152" hidden="1" customWidth="1"/>
    <col min="11" max="11" width="3.5703125" style="152" hidden="1" customWidth="1"/>
    <col min="12" max="12" width="2.7109375" style="152" bestFit="1" customWidth="1"/>
    <col min="13" max="16384" width="9.140625" style="152"/>
  </cols>
  <sheetData>
    <row r="1" spans="1:11" x14ac:dyDescent="0.2">
      <c r="A1" s="151" t="str">
        <f>UPPER((Kalend!E25)&amp;" - "&amp;(Kalend!C25)&amp;" - "&amp;(Kalend!D25))</f>
        <v>V5 - VOKA 4. KV 5. ETAPP - DUO</v>
      </c>
      <c r="D1" s="113" t="str">
        <f>HYPERLINK("#Kalend!I1","Kalender")</f>
        <v>Kalender</v>
      </c>
      <c r="E1" s="113"/>
      <c r="F1" s="113"/>
      <c r="G1" s="2"/>
      <c r="H1" s="113" t="str">
        <f>HYPERLINK("#Reit!G1","Reiting")</f>
        <v>Reiting</v>
      </c>
      <c r="I1" s="2"/>
      <c r="J1" s="2"/>
    </row>
    <row r="2" spans="1:11" x14ac:dyDescent="0.2">
      <c r="A2" s="2" t="str">
        <f>"Toimumisaeg: "&amp;(Kalend!A25)&amp;" kell "&amp;(Kalend!B25)</f>
        <v>Toimumisaeg: K, 05.07.2017 kell 18:00</v>
      </c>
    </row>
    <row r="3" spans="1:11" x14ac:dyDescent="0.2">
      <c r="A3" s="2" t="str">
        <f>"Toimumiskoht: "&amp;(Kalend!F25)</f>
        <v>Toimumiskoht: Voka staadion</v>
      </c>
    </row>
    <row r="4" spans="1:11" x14ac:dyDescent="0.2">
      <c r="A4" s="2" t="str">
        <f>"Korraldaja: "&amp;(Kalend!G25)</f>
        <v>Korraldaja: Johannes Neiland</v>
      </c>
      <c r="H4" s="547" t="s">
        <v>113</v>
      </c>
    </row>
    <row r="5" spans="1:11" x14ac:dyDescent="0.2">
      <c r="A5" s="2"/>
    </row>
    <row r="6" spans="1:11" x14ac:dyDescent="0.2">
      <c r="A6" s="195" t="s">
        <v>114</v>
      </c>
      <c r="B6" s="196"/>
    </row>
    <row r="7" spans="1:11" x14ac:dyDescent="0.2">
      <c r="A7" s="2"/>
      <c r="B7" s="206"/>
      <c r="C7" s="207"/>
      <c r="D7" s="615"/>
      <c r="E7" s="616"/>
      <c r="F7" s="617"/>
      <c r="G7" s="208"/>
      <c r="H7" s="206"/>
      <c r="J7" s="152">
        <v>1</v>
      </c>
      <c r="K7" s="152">
        <v>15</v>
      </c>
    </row>
    <row r="8" spans="1:11" x14ac:dyDescent="0.2">
      <c r="A8" s="2"/>
      <c r="B8" s="197"/>
      <c r="C8" s="207"/>
      <c r="D8" s="615"/>
      <c r="E8" s="616"/>
      <c r="F8" s="617"/>
      <c r="G8" s="208"/>
      <c r="H8" s="206"/>
      <c r="J8" s="152">
        <v>2</v>
      </c>
      <c r="K8" s="152">
        <v>14</v>
      </c>
    </row>
    <row r="9" spans="1:11" x14ac:dyDescent="0.2">
      <c r="A9" s="2"/>
      <c r="B9" s="863"/>
      <c r="C9" s="861"/>
      <c r="D9" s="858"/>
      <c r="E9" s="859"/>
      <c r="F9" s="860"/>
      <c r="G9" s="857"/>
      <c r="H9" s="856"/>
    </row>
    <row r="10" spans="1:11" x14ac:dyDescent="0.2">
      <c r="A10" s="2"/>
      <c r="B10" s="206"/>
      <c r="C10" s="207"/>
      <c r="D10" s="615"/>
      <c r="E10" s="616"/>
      <c r="F10" s="617"/>
      <c r="G10" s="208"/>
      <c r="H10" s="206"/>
      <c r="J10" s="152">
        <v>3</v>
      </c>
      <c r="K10" s="152">
        <v>13</v>
      </c>
    </row>
    <row r="11" spans="1:11" x14ac:dyDescent="0.2">
      <c r="A11" s="2"/>
      <c r="B11" s="197"/>
      <c r="C11" s="207"/>
      <c r="D11" s="615"/>
      <c r="E11" s="616"/>
      <c r="F11" s="617"/>
      <c r="G11" s="208"/>
      <c r="H11" s="206"/>
      <c r="J11" s="152">
        <v>4</v>
      </c>
      <c r="K11" s="152">
        <v>12</v>
      </c>
    </row>
    <row r="12" spans="1:11" x14ac:dyDescent="0.2">
      <c r="A12" s="2"/>
      <c r="B12" s="206"/>
      <c r="C12" s="208"/>
      <c r="D12" s="615"/>
      <c r="E12" s="616"/>
      <c r="F12" s="617"/>
      <c r="G12" s="207"/>
      <c r="H12" s="614"/>
      <c r="J12" s="152">
        <v>5</v>
      </c>
      <c r="K12" s="152">
        <v>11</v>
      </c>
    </row>
    <row r="13" spans="1:11" x14ac:dyDescent="0.2">
      <c r="A13" s="2"/>
      <c r="B13" s="206"/>
      <c r="C13" s="208"/>
      <c r="D13" s="615"/>
      <c r="E13" s="616"/>
      <c r="F13" s="617"/>
      <c r="G13" s="207"/>
      <c r="H13" s="206"/>
      <c r="J13" s="152">
        <v>6</v>
      </c>
      <c r="K13" s="152">
        <v>10</v>
      </c>
    </row>
    <row r="14" spans="1:11" x14ac:dyDescent="0.2">
      <c r="A14" s="2"/>
      <c r="B14" s="206"/>
      <c r="C14" s="207"/>
      <c r="D14" s="615"/>
      <c r="E14" s="616"/>
      <c r="F14" s="617"/>
      <c r="G14" s="207"/>
      <c r="H14" s="206"/>
      <c r="J14" s="152">
        <v>7</v>
      </c>
      <c r="K14" s="152">
        <v>9</v>
      </c>
    </row>
    <row r="15" spans="1:11" x14ac:dyDescent="0.2">
      <c r="A15" s="2"/>
      <c r="B15" s="206"/>
      <c r="C15" s="207"/>
      <c r="D15" s="615"/>
      <c r="E15" s="616"/>
      <c r="F15" s="617"/>
      <c r="G15" s="207"/>
      <c r="H15" s="206"/>
      <c r="J15" s="152">
        <v>8</v>
      </c>
    </row>
    <row r="16" spans="1:11" x14ac:dyDescent="0.2">
      <c r="A16" s="195" t="s">
        <v>115</v>
      </c>
      <c r="B16" s="196"/>
      <c r="C16" s="209"/>
      <c r="D16" s="213"/>
      <c r="E16" s="213"/>
      <c r="F16" s="213"/>
      <c r="G16" s="209"/>
      <c r="H16" s="210"/>
    </row>
    <row r="17" spans="1:8" x14ac:dyDescent="0.2">
      <c r="A17" s="2"/>
      <c r="B17" s="197"/>
      <c r="C17" s="207"/>
      <c r="D17" s="615"/>
      <c r="E17" s="616"/>
      <c r="F17" s="617"/>
      <c r="G17" s="207"/>
      <c r="H17" s="206"/>
    </row>
    <row r="18" spans="1:8" x14ac:dyDescent="0.2">
      <c r="A18" s="2"/>
      <c r="B18" s="197"/>
      <c r="C18" s="207"/>
      <c r="D18" s="615"/>
      <c r="E18" s="616"/>
      <c r="F18" s="617"/>
      <c r="G18" s="207"/>
      <c r="H18" s="206"/>
    </row>
    <row r="19" spans="1:8" x14ac:dyDescent="0.2">
      <c r="A19" s="2"/>
      <c r="B19" s="863"/>
      <c r="C19" s="861"/>
      <c r="D19" s="858"/>
      <c r="E19" s="859"/>
      <c r="F19" s="860"/>
      <c r="G19" s="861"/>
      <c r="H19" s="856"/>
    </row>
    <row r="20" spans="1:8" x14ac:dyDescent="0.2">
      <c r="A20" s="2"/>
      <c r="B20" s="206"/>
      <c r="C20" s="207"/>
      <c r="D20" s="615"/>
      <c r="E20" s="616"/>
      <c r="F20" s="617"/>
      <c r="G20" s="207"/>
      <c r="H20" s="206"/>
    </row>
    <row r="21" spans="1:8" x14ac:dyDescent="0.2">
      <c r="A21" s="2"/>
      <c r="B21" s="206"/>
      <c r="C21" s="208"/>
      <c r="D21" s="615"/>
      <c r="E21" s="616"/>
      <c r="F21" s="617"/>
      <c r="G21" s="207"/>
      <c r="H21" s="206"/>
    </row>
    <row r="22" spans="1:8" x14ac:dyDescent="0.2">
      <c r="A22" s="2"/>
      <c r="B22" s="197"/>
      <c r="C22" s="208"/>
      <c r="D22" s="615"/>
      <c r="E22" s="616"/>
      <c r="F22" s="617"/>
      <c r="G22" s="207"/>
      <c r="H22" s="206"/>
    </row>
    <row r="23" spans="1:8" x14ac:dyDescent="0.2">
      <c r="A23" s="2"/>
      <c r="B23" s="206"/>
      <c r="C23" s="208"/>
      <c r="D23" s="615"/>
      <c r="E23" s="616"/>
      <c r="F23" s="617"/>
      <c r="G23" s="207"/>
      <c r="H23" s="206"/>
    </row>
    <row r="24" spans="1:8" x14ac:dyDescent="0.2">
      <c r="A24" s="2"/>
      <c r="B24" s="614"/>
      <c r="C24" s="207"/>
      <c r="D24" s="615"/>
      <c r="E24" s="616"/>
      <c r="F24" s="617"/>
      <c r="G24" s="207"/>
      <c r="H24" s="206"/>
    </row>
    <row r="25" spans="1:8" x14ac:dyDescent="0.2">
      <c r="A25" s="2"/>
      <c r="B25" s="206"/>
      <c r="C25" s="207"/>
      <c r="D25" s="615"/>
      <c r="E25" s="616"/>
      <c r="F25" s="617"/>
      <c r="G25" s="207"/>
      <c r="H25" s="206"/>
    </row>
    <row r="26" spans="1:8" x14ac:dyDescent="0.2">
      <c r="A26" s="195" t="s">
        <v>116</v>
      </c>
      <c r="B26" s="196"/>
      <c r="C26" s="209"/>
      <c r="D26" s="213"/>
      <c r="E26" s="213"/>
      <c r="F26" s="213"/>
      <c r="G26" s="209"/>
      <c r="H26" s="210"/>
    </row>
    <row r="27" spans="1:8" x14ac:dyDescent="0.2">
      <c r="A27" s="2"/>
      <c r="B27" s="206"/>
      <c r="C27" s="207"/>
      <c r="D27" s="615"/>
      <c r="E27" s="616"/>
      <c r="F27" s="617"/>
      <c r="G27" s="207"/>
      <c r="H27" s="206"/>
    </row>
    <row r="28" spans="1:8" x14ac:dyDescent="0.2">
      <c r="A28" s="2"/>
      <c r="B28" s="856"/>
      <c r="C28" s="861"/>
      <c r="D28" s="858"/>
      <c r="E28" s="859"/>
      <c r="F28" s="860"/>
      <c r="G28" s="861"/>
      <c r="H28" s="856"/>
    </row>
    <row r="29" spans="1:8" x14ac:dyDescent="0.2">
      <c r="A29" s="2"/>
      <c r="B29" s="197"/>
      <c r="C29" s="207"/>
      <c r="D29" s="615"/>
      <c r="E29" s="616"/>
      <c r="F29" s="617"/>
      <c r="G29" s="207"/>
      <c r="H29" s="614"/>
    </row>
    <row r="30" spans="1:8" x14ac:dyDescent="0.2">
      <c r="A30" s="2"/>
      <c r="B30" s="206"/>
      <c r="C30" s="207"/>
      <c r="D30" s="615"/>
      <c r="E30" s="616"/>
      <c r="F30" s="617"/>
      <c r="G30" s="207"/>
      <c r="H30" s="206"/>
    </row>
    <row r="31" spans="1:8" x14ac:dyDescent="0.2">
      <c r="A31" s="2"/>
      <c r="B31" s="206"/>
      <c r="C31" s="207"/>
      <c r="D31" s="615"/>
      <c r="E31" s="616"/>
      <c r="F31" s="617"/>
      <c r="G31" s="207"/>
      <c r="H31" s="206"/>
    </row>
    <row r="32" spans="1:8" x14ac:dyDescent="0.2">
      <c r="A32" s="2"/>
      <c r="B32" s="197"/>
      <c r="C32" s="207"/>
      <c r="D32" s="615"/>
      <c r="E32" s="616"/>
      <c r="F32" s="617"/>
      <c r="G32" s="207"/>
      <c r="H32" s="206"/>
    </row>
    <row r="33" spans="1:8" x14ac:dyDescent="0.2">
      <c r="A33" s="2"/>
      <c r="B33" s="197"/>
      <c r="C33" s="208"/>
      <c r="D33" s="615"/>
      <c r="E33" s="616"/>
      <c r="F33" s="617"/>
      <c r="G33" s="207"/>
      <c r="H33" s="206"/>
    </row>
    <row r="34" spans="1:8" x14ac:dyDescent="0.2">
      <c r="A34" s="2"/>
      <c r="B34" s="206"/>
      <c r="C34" s="207"/>
      <c r="D34" s="615"/>
      <c r="E34" s="616"/>
      <c r="F34" s="617"/>
      <c r="G34" s="207"/>
      <c r="H34" s="206"/>
    </row>
    <row r="35" spans="1:8" x14ac:dyDescent="0.2">
      <c r="A35" s="2"/>
      <c r="B35" s="206"/>
      <c r="C35" s="207"/>
      <c r="D35" s="615"/>
      <c r="E35" s="616"/>
      <c r="F35" s="617"/>
      <c r="G35" s="207"/>
      <c r="H35" s="206"/>
    </row>
    <row r="36" spans="1:8" x14ac:dyDescent="0.2">
      <c r="A36" s="195" t="s">
        <v>117</v>
      </c>
      <c r="B36" s="196"/>
      <c r="C36" s="209"/>
      <c r="D36" s="213"/>
      <c r="E36" s="213"/>
      <c r="F36" s="213"/>
      <c r="G36" s="209"/>
      <c r="H36" s="210"/>
    </row>
    <row r="37" spans="1:8" x14ac:dyDescent="0.2">
      <c r="A37" s="2"/>
      <c r="B37" s="197"/>
      <c r="C37" s="207"/>
      <c r="D37" s="615"/>
      <c r="E37" s="616"/>
      <c r="F37" s="617"/>
      <c r="G37" s="207"/>
      <c r="H37" s="614"/>
    </row>
    <row r="38" spans="1:8" x14ac:dyDescent="0.2">
      <c r="A38" s="2"/>
      <c r="B38" s="863"/>
      <c r="C38" s="861"/>
      <c r="D38" s="858"/>
      <c r="E38" s="859"/>
      <c r="F38" s="860"/>
      <c r="G38" s="861"/>
      <c r="H38" s="862"/>
    </row>
    <row r="39" spans="1:8" x14ac:dyDescent="0.2">
      <c r="A39" s="2"/>
      <c r="B39" s="197"/>
      <c r="C39" s="207"/>
      <c r="D39" s="615"/>
      <c r="E39" s="616"/>
      <c r="F39" s="617"/>
      <c r="G39" s="207"/>
      <c r="H39" s="206"/>
    </row>
    <row r="40" spans="1:8" x14ac:dyDescent="0.2">
      <c r="A40" s="2"/>
      <c r="B40" s="206"/>
      <c r="C40" s="207"/>
      <c r="D40" s="615"/>
      <c r="E40" s="616"/>
      <c r="F40" s="617"/>
      <c r="G40" s="207"/>
      <c r="H40" s="206"/>
    </row>
    <row r="41" spans="1:8" x14ac:dyDescent="0.2">
      <c r="A41" s="2"/>
      <c r="B41" s="206"/>
      <c r="C41" s="207"/>
      <c r="D41" s="615"/>
      <c r="E41" s="616"/>
      <c r="F41" s="617"/>
      <c r="G41" s="207"/>
      <c r="H41" s="206"/>
    </row>
    <row r="42" spans="1:8" x14ac:dyDescent="0.2">
      <c r="A42" s="2"/>
      <c r="B42" s="197"/>
      <c r="C42" s="207"/>
      <c r="D42" s="615"/>
      <c r="E42" s="616"/>
      <c r="F42" s="617"/>
      <c r="G42" s="207"/>
      <c r="H42" s="206"/>
    </row>
    <row r="43" spans="1:8" x14ac:dyDescent="0.2">
      <c r="A43" s="2"/>
      <c r="B43" s="206"/>
      <c r="C43" s="207"/>
      <c r="D43" s="615"/>
      <c r="E43" s="616"/>
      <c r="F43" s="617"/>
      <c r="G43" s="207"/>
      <c r="H43" s="206"/>
    </row>
    <row r="44" spans="1:8" x14ac:dyDescent="0.2">
      <c r="A44" s="2"/>
      <c r="B44" s="206"/>
      <c r="C44" s="207"/>
      <c r="D44" s="615"/>
      <c r="E44" s="616"/>
      <c r="F44" s="617"/>
      <c r="G44" s="207"/>
      <c r="H44" s="206"/>
    </row>
    <row r="45" spans="1:8" x14ac:dyDescent="0.2">
      <c r="A45" s="2"/>
      <c r="B45" s="206"/>
      <c r="C45" s="207"/>
      <c r="D45" s="615"/>
      <c r="E45" s="616"/>
      <c r="F45" s="617"/>
      <c r="G45" s="207"/>
      <c r="H45" s="206"/>
    </row>
    <row r="46" spans="1:8" x14ac:dyDescent="0.2">
      <c r="A46" s="195" t="s">
        <v>118</v>
      </c>
      <c r="B46" s="196"/>
      <c r="C46" s="209"/>
      <c r="D46" s="213"/>
      <c r="E46" s="213"/>
      <c r="F46" s="213"/>
      <c r="G46" s="209"/>
      <c r="H46" s="210"/>
    </row>
    <row r="47" spans="1:8" x14ac:dyDescent="0.2">
      <c r="A47" s="2"/>
      <c r="B47" s="206"/>
      <c r="C47" s="208"/>
      <c r="D47" s="615"/>
      <c r="E47" s="616"/>
      <c r="F47" s="617"/>
      <c r="G47" s="207"/>
      <c r="H47" s="614"/>
    </row>
    <row r="48" spans="1:8" x14ac:dyDescent="0.2">
      <c r="A48" s="2"/>
      <c r="B48" s="856"/>
      <c r="C48" s="857"/>
      <c r="D48" s="858"/>
      <c r="E48" s="859"/>
      <c r="F48" s="860"/>
      <c r="G48" s="861"/>
      <c r="H48" s="862"/>
    </row>
    <row r="49" spans="1:12" x14ac:dyDescent="0.2">
      <c r="A49" s="2"/>
      <c r="B49" s="197"/>
      <c r="C49" s="208"/>
      <c r="D49" s="615"/>
      <c r="E49" s="616"/>
      <c r="F49" s="617"/>
      <c r="G49" s="207"/>
      <c r="H49" s="206"/>
    </row>
    <row r="50" spans="1:12" x14ac:dyDescent="0.2">
      <c r="A50" s="2"/>
      <c r="B50" s="206"/>
      <c r="C50" s="208"/>
      <c r="D50" s="615"/>
      <c r="E50" s="616"/>
      <c r="F50" s="617"/>
      <c r="G50" s="207"/>
      <c r="H50" s="206"/>
    </row>
    <row r="51" spans="1:12" x14ac:dyDescent="0.2">
      <c r="A51" s="2"/>
      <c r="B51" s="206"/>
      <c r="C51" s="208"/>
      <c r="D51" s="615"/>
      <c r="E51" s="616"/>
      <c r="F51" s="617"/>
      <c r="G51" s="207"/>
      <c r="H51" s="206"/>
    </row>
    <row r="52" spans="1:12" x14ac:dyDescent="0.2">
      <c r="A52" s="2"/>
      <c r="B52" s="206"/>
      <c r="C52" s="208"/>
      <c r="D52" s="615"/>
      <c r="E52" s="616"/>
      <c r="F52" s="617"/>
      <c r="G52" s="207"/>
      <c r="H52" s="206"/>
    </row>
    <row r="53" spans="1:12" x14ac:dyDescent="0.2">
      <c r="A53" s="2"/>
      <c r="B53" s="206"/>
      <c r="C53" s="207"/>
      <c r="D53" s="615"/>
      <c r="E53" s="616"/>
      <c r="F53" s="617"/>
      <c r="G53" s="207"/>
      <c r="H53" s="206"/>
    </row>
    <row r="54" spans="1:12" x14ac:dyDescent="0.2">
      <c r="A54" s="2"/>
      <c r="B54" s="206"/>
      <c r="C54" s="208"/>
      <c r="D54" s="615"/>
      <c r="E54" s="616"/>
      <c r="F54" s="617"/>
      <c r="G54" s="207"/>
      <c r="H54" s="206"/>
    </row>
    <row r="55" spans="1:12" x14ac:dyDescent="0.2">
      <c r="A55" s="2"/>
      <c r="B55" s="206"/>
      <c r="C55" s="207"/>
      <c r="D55" s="615"/>
      <c r="E55" s="616"/>
      <c r="F55" s="617"/>
      <c r="G55" s="207"/>
      <c r="H55" s="197"/>
    </row>
    <row r="56" spans="1:12" x14ac:dyDescent="0.2">
      <c r="A56" s="2"/>
      <c r="B56" s="211"/>
      <c r="C56" s="853"/>
      <c r="D56" s="854"/>
      <c r="E56" s="855"/>
      <c r="F56" s="854"/>
      <c r="G56" s="853"/>
      <c r="H56" s="214"/>
    </row>
    <row r="57" spans="1:12" x14ac:dyDescent="0.2">
      <c r="A57" s="2"/>
      <c r="B57" s="211"/>
      <c r="C57" s="211"/>
      <c r="D57" s="212"/>
      <c r="E57" s="212"/>
      <c r="F57" s="212"/>
      <c r="G57" s="212"/>
      <c r="H57" s="213"/>
    </row>
    <row r="58" spans="1:12" x14ac:dyDescent="0.2">
      <c r="A58" s="782" t="s">
        <v>145</v>
      </c>
      <c r="B58" s="810" t="s">
        <v>84</v>
      </c>
      <c r="C58" s="811" t="s">
        <v>77</v>
      </c>
      <c r="D58" s="812"/>
      <c r="F58" s="1454" t="s">
        <v>145</v>
      </c>
      <c r="G58" s="1455"/>
      <c r="H58" s="730" t="s">
        <v>84</v>
      </c>
      <c r="I58" s="721" t="s">
        <v>77</v>
      </c>
      <c r="J58" s="718"/>
      <c r="K58" s="718"/>
      <c r="L58" s="719"/>
    </row>
    <row r="59" spans="1:12" x14ac:dyDescent="0.2">
      <c r="A59" s="813">
        <v>1</v>
      </c>
      <c r="B59" s="814" t="s">
        <v>363</v>
      </c>
      <c r="C59" s="815">
        <v>4</v>
      </c>
      <c r="D59" s="812"/>
      <c r="F59" s="1459">
        <v>9</v>
      </c>
      <c r="G59" s="1460"/>
      <c r="H59" s="821" t="s">
        <v>405</v>
      </c>
      <c r="I59" s="720">
        <v>2</v>
      </c>
      <c r="J59" s="718"/>
      <c r="K59" s="718"/>
      <c r="L59" s="719"/>
    </row>
    <row r="60" spans="1:12" x14ac:dyDescent="0.2">
      <c r="A60" s="816" t="s">
        <v>279</v>
      </c>
      <c r="B60" s="817" t="s">
        <v>431</v>
      </c>
      <c r="C60" s="815">
        <v>4</v>
      </c>
      <c r="D60" s="812"/>
      <c r="F60" s="1459">
        <v>10</v>
      </c>
      <c r="G60" s="1460"/>
      <c r="H60" s="727" t="s">
        <v>336</v>
      </c>
      <c r="I60" s="720">
        <v>2</v>
      </c>
      <c r="J60" s="718"/>
      <c r="K60" s="718"/>
      <c r="L60" s="719"/>
    </row>
    <row r="61" spans="1:12" x14ac:dyDescent="0.2">
      <c r="A61" s="816" t="s">
        <v>279</v>
      </c>
      <c r="B61" s="817" t="s">
        <v>338</v>
      </c>
      <c r="C61" s="819">
        <v>4</v>
      </c>
      <c r="D61" s="812"/>
      <c r="F61" s="1459">
        <v>11</v>
      </c>
      <c r="G61" s="1460"/>
      <c r="H61" s="728" t="s">
        <v>521</v>
      </c>
      <c r="I61" s="720">
        <v>2</v>
      </c>
      <c r="J61" s="718"/>
      <c r="K61" s="718"/>
      <c r="L61" s="719"/>
    </row>
    <row r="62" spans="1:12" x14ac:dyDescent="0.2">
      <c r="A62" s="816" t="s">
        <v>279</v>
      </c>
      <c r="B62" s="817" t="s">
        <v>537</v>
      </c>
      <c r="C62" s="815">
        <v>4</v>
      </c>
      <c r="D62" s="812"/>
      <c r="F62" s="1459">
        <v>12</v>
      </c>
      <c r="G62" s="1460"/>
      <c r="H62" s="728" t="s">
        <v>435</v>
      </c>
      <c r="I62" s="720">
        <v>2</v>
      </c>
      <c r="J62" s="718"/>
      <c r="K62" s="718"/>
      <c r="L62" s="719"/>
    </row>
    <row r="63" spans="1:12" x14ac:dyDescent="0.2">
      <c r="A63" s="816" t="s">
        <v>529</v>
      </c>
      <c r="B63" s="821" t="s">
        <v>539</v>
      </c>
      <c r="C63" s="815">
        <v>3</v>
      </c>
      <c r="D63" s="812"/>
      <c r="F63" s="1459">
        <v>13</v>
      </c>
      <c r="G63" s="1460"/>
      <c r="H63" s="727" t="s">
        <v>541</v>
      </c>
      <c r="I63" s="720">
        <v>2</v>
      </c>
      <c r="J63" s="718"/>
      <c r="K63" s="718"/>
      <c r="L63" s="719"/>
    </row>
    <row r="64" spans="1:12" x14ac:dyDescent="0.2">
      <c r="A64" s="816" t="s">
        <v>529</v>
      </c>
      <c r="B64" s="821" t="s">
        <v>335</v>
      </c>
      <c r="C64" s="815">
        <v>3</v>
      </c>
      <c r="D64" s="812"/>
      <c r="F64" s="1459">
        <v>14</v>
      </c>
      <c r="G64" s="1460"/>
      <c r="H64" s="728" t="s">
        <v>542</v>
      </c>
      <c r="I64" s="720">
        <v>2</v>
      </c>
      <c r="J64" s="718"/>
      <c r="K64" s="718"/>
      <c r="L64" s="719"/>
    </row>
    <row r="65" spans="1:12" x14ac:dyDescent="0.2">
      <c r="A65" s="816" t="s">
        <v>538</v>
      </c>
      <c r="B65" s="727" t="s">
        <v>540</v>
      </c>
      <c r="C65" s="815">
        <v>3</v>
      </c>
      <c r="D65" s="812"/>
      <c r="F65" s="1459">
        <v>15</v>
      </c>
      <c r="G65" s="1460"/>
      <c r="H65" s="728" t="s">
        <v>342</v>
      </c>
      <c r="I65" s="720">
        <v>2</v>
      </c>
      <c r="J65" s="718"/>
      <c r="K65" s="718"/>
      <c r="L65" s="719"/>
    </row>
    <row r="66" spans="1:12" x14ac:dyDescent="0.2">
      <c r="A66" s="850" t="s">
        <v>538</v>
      </c>
      <c r="B66" s="825" t="s">
        <v>334</v>
      </c>
      <c r="C66" s="824">
        <v>3</v>
      </c>
      <c r="D66" s="822"/>
      <c r="F66" s="1459">
        <v>16</v>
      </c>
      <c r="G66" s="1460"/>
      <c r="H66" s="728" t="s">
        <v>543</v>
      </c>
      <c r="I66" s="720">
        <v>2</v>
      </c>
      <c r="J66" s="718"/>
      <c r="K66" s="718"/>
      <c r="L66" s="719"/>
    </row>
    <row r="67" spans="1:12" x14ac:dyDescent="0.2">
      <c r="F67" s="1459">
        <v>17</v>
      </c>
      <c r="G67" s="1460"/>
      <c r="H67" s="728" t="s">
        <v>545</v>
      </c>
      <c r="I67" s="720">
        <v>1</v>
      </c>
      <c r="J67" s="718"/>
      <c r="K67" s="718"/>
      <c r="L67" s="719"/>
    </row>
    <row r="68" spans="1:12" x14ac:dyDescent="0.2">
      <c r="F68" s="1459">
        <v>18</v>
      </c>
      <c r="G68" s="1460"/>
      <c r="H68" s="728" t="s">
        <v>546</v>
      </c>
      <c r="I68" s="720">
        <v>0</v>
      </c>
      <c r="J68" s="718"/>
      <c r="K68" s="718"/>
      <c r="L68" s="719"/>
    </row>
  </sheetData>
  <mergeCells count="11">
    <mergeCell ref="F64:G64"/>
    <mergeCell ref="F65:G65"/>
    <mergeCell ref="F66:G66"/>
    <mergeCell ref="F67:G67"/>
    <mergeCell ref="F68:G68"/>
    <mergeCell ref="F63:G63"/>
    <mergeCell ref="F58:G58"/>
    <mergeCell ref="F59:G59"/>
    <mergeCell ref="F60:G60"/>
    <mergeCell ref="F61:G61"/>
    <mergeCell ref="F62:G62"/>
  </mergeCells>
  <conditionalFormatting sqref="B59">
    <cfRule type="duplicateValues" dxfId="262" priority="48" stopIfTrue="1"/>
  </conditionalFormatting>
  <conditionalFormatting sqref="B11">
    <cfRule type="duplicateValues" dxfId="261" priority="47"/>
  </conditionalFormatting>
  <conditionalFormatting sqref="B13">
    <cfRule type="duplicateValues" dxfId="260" priority="46"/>
  </conditionalFormatting>
  <conditionalFormatting sqref="H15">
    <cfRule type="duplicateValues" dxfId="259" priority="45"/>
  </conditionalFormatting>
  <conditionalFormatting sqref="B15">
    <cfRule type="duplicateValues" dxfId="258" priority="44"/>
  </conditionalFormatting>
  <conditionalFormatting sqref="H20">
    <cfRule type="duplicateValues" dxfId="257" priority="33"/>
  </conditionalFormatting>
  <conditionalFormatting sqref="D7:D24 F7:F24 F26:F34 D26:D34 D36:D44 F36:F44 F46:F54 D46:D54">
    <cfRule type="cellIs" dxfId="256" priority="43" operator="equal">
      <formula>13</formula>
    </cfRule>
  </conditionalFormatting>
  <conditionalFormatting sqref="E7:E24 E26:E34 E36:E44 E46:E54">
    <cfRule type="cellIs" dxfId="255" priority="42" operator="equal">
      <formula>13</formula>
    </cfRule>
  </conditionalFormatting>
  <conditionalFormatting sqref="B10">
    <cfRule type="duplicateValues" dxfId="254" priority="41"/>
  </conditionalFormatting>
  <conditionalFormatting sqref="H14">
    <cfRule type="duplicateValues" dxfId="253" priority="40"/>
  </conditionalFormatting>
  <conditionalFormatting sqref="B25">
    <cfRule type="duplicateValues" dxfId="252" priority="39"/>
  </conditionalFormatting>
  <conditionalFormatting sqref="H25">
    <cfRule type="duplicateValues" dxfId="251" priority="38"/>
  </conditionalFormatting>
  <conditionalFormatting sqref="D25 F25">
    <cfRule type="cellIs" dxfId="250" priority="37" operator="equal">
      <formula>13</formula>
    </cfRule>
  </conditionalFormatting>
  <conditionalFormatting sqref="E25">
    <cfRule type="cellIs" dxfId="249" priority="36" operator="equal">
      <formula>13</formula>
    </cfRule>
  </conditionalFormatting>
  <conditionalFormatting sqref="H17">
    <cfRule type="duplicateValues" dxfId="248" priority="35"/>
  </conditionalFormatting>
  <conditionalFormatting sqref="B18:B19">
    <cfRule type="duplicateValues" dxfId="247" priority="34"/>
  </conditionalFormatting>
  <conditionalFormatting sqref="B22">
    <cfRule type="duplicateValues" dxfId="246" priority="32"/>
  </conditionalFormatting>
  <conditionalFormatting sqref="B35">
    <cfRule type="duplicateValues" dxfId="245" priority="31"/>
  </conditionalFormatting>
  <conditionalFormatting sqref="H35">
    <cfRule type="duplicateValues" dxfId="244" priority="30"/>
  </conditionalFormatting>
  <conditionalFormatting sqref="D35 F35">
    <cfRule type="cellIs" dxfId="243" priority="29" operator="equal">
      <formula>13</formula>
    </cfRule>
  </conditionalFormatting>
  <conditionalFormatting sqref="E35">
    <cfRule type="cellIs" dxfId="242" priority="28" operator="equal">
      <formula>13</formula>
    </cfRule>
  </conditionalFormatting>
  <conditionalFormatting sqref="H27:H28">
    <cfRule type="duplicateValues" dxfId="241" priority="27"/>
  </conditionalFormatting>
  <conditionalFormatting sqref="H30">
    <cfRule type="duplicateValues" dxfId="240" priority="26"/>
  </conditionalFormatting>
  <conditionalFormatting sqref="B33">
    <cfRule type="duplicateValues" dxfId="239" priority="25"/>
  </conditionalFormatting>
  <conditionalFormatting sqref="B34">
    <cfRule type="duplicateValues" dxfId="238" priority="24"/>
  </conditionalFormatting>
  <conditionalFormatting sqref="D45 F45">
    <cfRule type="cellIs" dxfId="237" priority="22" operator="equal">
      <formula>13</formula>
    </cfRule>
  </conditionalFormatting>
  <conditionalFormatting sqref="E45">
    <cfRule type="cellIs" dxfId="236" priority="21" operator="equal">
      <formula>13</formula>
    </cfRule>
  </conditionalFormatting>
  <conditionalFormatting sqref="B37:B38">
    <cfRule type="duplicateValues" dxfId="235" priority="20"/>
  </conditionalFormatting>
  <conditionalFormatting sqref="H41">
    <cfRule type="duplicateValues" dxfId="234" priority="19"/>
  </conditionalFormatting>
  <conditionalFormatting sqref="H42">
    <cfRule type="duplicateValues" dxfId="233" priority="18"/>
  </conditionalFormatting>
  <conditionalFormatting sqref="H43">
    <cfRule type="duplicateValues" dxfId="232" priority="17"/>
  </conditionalFormatting>
  <conditionalFormatting sqref="H44">
    <cfRule type="duplicateValues" dxfId="231" priority="16"/>
  </conditionalFormatting>
  <conditionalFormatting sqref="H55:H56">
    <cfRule type="duplicateValues" dxfId="230" priority="15"/>
  </conditionalFormatting>
  <conditionalFormatting sqref="D55:D56 F55:F56">
    <cfRule type="cellIs" dxfId="229" priority="14" operator="equal">
      <formula>13</formula>
    </cfRule>
  </conditionalFormatting>
  <conditionalFormatting sqref="E55:E56">
    <cfRule type="cellIs" dxfId="228" priority="13" operator="equal">
      <formula>13</formula>
    </cfRule>
  </conditionalFormatting>
  <conditionalFormatting sqref="B50">
    <cfRule type="duplicateValues" dxfId="227" priority="12"/>
  </conditionalFormatting>
  <conditionalFormatting sqref="H50">
    <cfRule type="duplicateValues" dxfId="226" priority="11"/>
  </conditionalFormatting>
  <conditionalFormatting sqref="B53">
    <cfRule type="duplicateValues" dxfId="225" priority="10"/>
  </conditionalFormatting>
  <conditionalFormatting sqref="H53">
    <cfRule type="duplicateValues" dxfId="224" priority="9"/>
  </conditionalFormatting>
  <conditionalFormatting sqref="B54">
    <cfRule type="duplicateValues" dxfId="223" priority="8"/>
  </conditionalFormatting>
  <conditionalFormatting sqref="H62">
    <cfRule type="duplicateValues" dxfId="222" priority="7"/>
  </conditionalFormatting>
  <conditionalFormatting sqref="H60">
    <cfRule type="duplicateValues" dxfId="221" priority="6"/>
  </conditionalFormatting>
  <conditionalFormatting sqref="B65">
    <cfRule type="duplicateValues" dxfId="220" priority="3"/>
  </conditionalFormatting>
  <conditionalFormatting sqref="H65">
    <cfRule type="duplicateValues" dxfId="219" priority="2"/>
  </conditionalFormatting>
  <conditionalFormatting sqref="H66:H68">
    <cfRule type="duplicateValues" dxfId="218" priority="1"/>
  </conditionalFormatting>
  <conditionalFormatting sqref="H45">
    <cfRule type="duplicateValues" dxfId="217" priority="304"/>
  </conditionalFormatting>
  <pageMargins left="0.78740157480314965" right="0.39370078740157483" top="0.59055118110236227" bottom="0.39370078740157483" header="0.39370078740157483" footer="0"/>
  <pageSetup paperSize="9" fitToHeight="0" orientation="portrait" verticalDpi="1200" r:id="rId1"/>
  <headerFooter>
    <oddHeader>&amp;R&amp;"Arial,Regular"&amp;9Page &amp;P of &amp;N</oddHeader>
  </headerFooter>
  <rowBreaks count="3" manualBreakCount="3">
    <brk id="99" max="16383" man="1"/>
    <brk id="137" max="16383" man="1"/>
    <brk id="17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62"/>
  <sheetViews>
    <sheetView showGridLines="0" showRowColHeaders="0" zoomScaleNormal="100" workbookViewId="0">
      <pane ySplit="2" topLeftCell="A40" activePane="bottomLeft" state="frozen"/>
      <selection activeCell="K30" sqref="K30"/>
      <selection pane="bottomLeft" activeCell="I1" sqref="I1"/>
    </sheetView>
  </sheetViews>
  <sheetFormatPr defaultRowHeight="12.75" x14ac:dyDescent="0.2"/>
  <cols>
    <col min="1" max="1" width="5.5703125" style="152" customWidth="1"/>
    <col min="2" max="2" width="33.7109375" style="152" customWidth="1"/>
    <col min="3" max="3" width="2.28515625" style="152" customWidth="1"/>
    <col min="4" max="4" width="3" style="152" bestFit="1" customWidth="1"/>
    <col min="5" max="5" width="1.5703125" style="152" bestFit="1" customWidth="1"/>
    <col min="6" max="6" width="3" style="152" bestFit="1" customWidth="1"/>
    <col min="7" max="7" width="2.28515625" style="152" customWidth="1"/>
    <col min="8" max="8" width="33.7109375" style="152" customWidth="1"/>
    <col min="9" max="9" width="3" style="152" bestFit="1" customWidth="1"/>
    <col min="10" max="10" width="3" style="152" hidden="1" customWidth="1"/>
    <col min="11" max="11" width="3.5703125" style="152" hidden="1" customWidth="1"/>
    <col min="12" max="12" width="2.7109375" style="152" bestFit="1" customWidth="1"/>
    <col min="13" max="16384" width="9.140625" style="152"/>
  </cols>
  <sheetData>
    <row r="1" spans="1:11" x14ac:dyDescent="0.2">
      <c r="A1" s="151" t="str">
        <f>UPPER((Kalend!E28)&amp;" - "&amp;(Kalend!C28)&amp;" - "&amp;(Kalend!D28))</f>
        <v>V6 - VOKA 4. KV 6. ETAPP - DUO</v>
      </c>
      <c r="D1" s="113" t="str">
        <f>HYPERLINK("#Kalend!I1","Kalender")</f>
        <v>Kalender</v>
      </c>
      <c r="E1" s="113"/>
      <c r="F1" s="113"/>
      <c r="G1" s="2"/>
      <c r="H1" s="113" t="str">
        <f>HYPERLINK("#Reit!G1","Reiting")</f>
        <v>Reiting</v>
      </c>
      <c r="I1" s="2"/>
      <c r="J1" s="2"/>
    </row>
    <row r="2" spans="1:11" x14ac:dyDescent="0.2">
      <c r="A2" s="2" t="str">
        <f>"Toimumisaeg: "&amp;(Kalend!A28)&amp;" kell "&amp;(Kalend!B28)</f>
        <v>Toimumisaeg: K, 19.07.2017 kell 18:00</v>
      </c>
    </row>
    <row r="3" spans="1:11" x14ac:dyDescent="0.2">
      <c r="A3" s="2" t="str">
        <f>"Toimumiskoht: "&amp;(Kalend!F28)</f>
        <v>Toimumiskoht: Voka staadion</v>
      </c>
    </row>
    <row r="4" spans="1:11" x14ac:dyDescent="0.2">
      <c r="A4" s="2" t="str">
        <f>"Korraldaja: "&amp;(Kalend!G28)</f>
        <v>Korraldaja: Johannes Neiland</v>
      </c>
      <c r="H4" s="547" t="s">
        <v>113</v>
      </c>
    </row>
    <row r="5" spans="1:11" x14ac:dyDescent="0.2">
      <c r="A5" s="2"/>
    </row>
    <row r="6" spans="1:11" x14ac:dyDescent="0.2">
      <c r="A6" s="195" t="s">
        <v>114</v>
      </c>
      <c r="B6" s="196"/>
    </row>
    <row r="7" spans="1:11" x14ac:dyDescent="0.2">
      <c r="A7" s="2"/>
      <c r="B7" s="206"/>
      <c r="C7" s="207"/>
      <c r="D7" s="615"/>
      <c r="E7" s="616"/>
      <c r="F7" s="617"/>
      <c r="G7" s="208"/>
      <c r="H7" s="206"/>
      <c r="J7" s="152">
        <v>1</v>
      </c>
      <c r="K7" s="152">
        <v>15</v>
      </c>
    </row>
    <row r="8" spans="1:11" x14ac:dyDescent="0.2">
      <c r="A8" s="2"/>
      <c r="B8" s="197"/>
      <c r="C8" s="207"/>
      <c r="D8" s="615"/>
      <c r="E8" s="616"/>
      <c r="F8" s="617"/>
      <c r="G8" s="208"/>
      <c r="H8" s="206"/>
      <c r="J8" s="152">
        <v>2</v>
      </c>
      <c r="K8" s="152">
        <v>14</v>
      </c>
    </row>
    <row r="9" spans="1:11" x14ac:dyDescent="0.2">
      <c r="A9" s="2"/>
      <c r="B9" s="863"/>
      <c r="C9" s="861"/>
      <c r="D9" s="858"/>
      <c r="E9" s="859"/>
      <c r="F9" s="860"/>
      <c r="G9" s="857"/>
      <c r="H9" s="856"/>
    </row>
    <row r="10" spans="1:11" x14ac:dyDescent="0.2">
      <c r="A10" s="2"/>
      <c r="B10" s="206"/>
      <c r="C10" s="207"/>
      <c r="D10" s="615"/>
      <c r="E10" s="616"/>
      <c r="F10" s="617"/>
      <c r="G10" s="208"/>
      <c r="H10" s="206"/>
      <c r="J10" s="152">
        <v>3</v>
      </c>
      <c r="K10" s="152">
        <v>13</v>
      </c>
    </row>
    <row r="11" spans="1:11" x14ac:dyDescent="0.2">
      <c r="A11" s="2"/>
      <c r="B11" s="206"/>
      <c r="C11" s="208"/>
      <c r="D11" s="615"/>
      <c r="E11" s="616"/>
      <c r="F11" s="617"/>
      <c r="G11" s="207"/>
      <c r="H11" s="614"/>
      <c r="J11" s="152">
        <v>5</v>
      </c>
      <c r="K11" s="152">
        <v>11</v>
      </c>
    </row>
    <row r="12" spans="1:11" x14ac:dyDescent="0.2">
      <c r="A12" s="2"/>
      <c r="B12" s="206"/>
      <c r="C12" s="208"/>
      <c r="D12" s="615"/>
      <c r="E12" s="616"/>
      <c r="F12" s="617"/>
      <c r="G12" s="207"/>
      <c r="H12" s="206"/>
      <c r="J12" s="152">
        <v>6</v>
      </c>
      <c r="K12" s="152">
        <v>10</v>
      </c>
    </row>
    <row r="13" spans="1:11" x14ac:dyDescent="0.2">
      <c r="A13" s="2"/>
      <c r="B13" s="206"/>
      <c r="C13" s="207"/>
      <c r="D13" s="615"/>
      <c r="E13" s="616"/>
      <c r="F13" s="617"/>
      <c r="G13" s="207"/>
      <c r="H13" s="206"/>
      <c r="J13" s="152">
        <v>7</v>
      </c>
      <c r="K13" s="152">
        <v>9</v>
      </c>
    </row>
    <row r="14" spans="1:11" x14ac:dyDescent="0.2">
      <c r="A14" s="2"/>
      <c r="B14" s="206"/>
      <c r="C14" s="207"/>
      <c r="D14" s="615"/>
      <c r="E14" s="616"/>
      <c r="F14" s="617"/>
      <c r="G14" s="207"/>
      <c r="H14" s="206"/>
      <c r="J14" s="152">
        <v>8</v>
      </c>
    </row>
    <row r="15" spans="1:11" x14ac:dyDescent="0.2">
      <c r="A15" s="195" t="s">
        <v>115</v>
      </c>
      <c r="B15" s="196"/>
      <c r="C15" s="209"/>
      <c r="D15" s="213"/>
      <c r="E15" s="213"/>
      <c r="F15" s="213"/>
      <c r="G15" s="209"/>
      <c r="H15" s="210"/>
    </row>
    <row r="16" spans="1:11" x14ac:dyDescent="0.2">
      <c r="A16" s="2"/>
      <c r="B16" s="197"/>
      <c r="C16" s="207"/>
      <c r="D16" s="615"/>
      <c r="E16" s="616"/>
      <c r="F16" s="617"/>
      <c r="G16" s="207"/>
      <c r="H16" s="206"/>
    </row>
    <row r="17" spans="1:8" x14ac:dyDescent="0.2">
      <c r="A17" s="2"/>
      <c r="B17" s="197"/>
      <c r="C17" s="207"/>
      <c r="D17" s="615"/>
      <c r="E17" s="616"/>
      <c r="F17" s="617"/>
      <c r="G17" s="207"/>
      <c r="H17" s="206"/>
    </row>
    <row r="18" spans="1:8" x14ac:dyDescent="0.2">
      <c r="A18" s="2"/>
      <c r="B18" s="863"/>
      <c r="C18" s="861"/>
      <c r="D18" s="858"/>
      <c r="E18" s="859"/>
      <c r="F18" s="860"/>
      <c r="G18" s="861"/>
      <c r="H18" s="856"/>
    </row>
    <row r="19" spans="1:8" x14ac:dyDescent="0.2">
      <c r="A19" s="2"/>
      <c r="B19" s="206"/>
      <c r="C19" s="208"/>
      <c r="D19" s="615"/>
      <c r="E19" s="616"/>
      <c r="F19" s="617"/>
      <c r="G19" s="207"/>
      <c r="H19" s="206"/>
    </row>
    <row r="20" spans="1:8" x14ac:dyDescent="0.2">
      <c r="A20" s="2"/>
      <c r="B20" s="197"/>
      <c r="C20" s="208"/>
      <c r="D20" s="615"/>
      <c r="E20" s="616"/>
      <c r="F20" s="617"/>
      <c r="G20" s="207"/>
      <c r="H20" s="206"/>
    </row>
    <row r="21" spans="1:8" x14ac:dyDescent="0.2">
      <c r="A21" s="2"/>
      <c r="B21" s="206"/>
      <c r="C21" s="208"/>
      <c r="D21" s="615"/>
      <c r="E21" s="616"/>
      <c r="F21" s="617"/>
      <c r="G21" s="207"/>
      <c r="H21" s="206"/>
    </row>
    <row r="22" spans="1:8" x14ac:dyDescent="0.2">
      <c r="A22" s="2"/>
      <c r="B22" s="614"/>
      <c r="C22" s="207"/>
      <c r="D22" s="615"/>
      <c r="E22" s="616"/>
      <c r="F22" s="617"/>
      <c r="G22" s="207"/>
      <c r="H22" s="206"/>
    </row>
    <row r="23" spans="1:8" x14ac:dyDescent="0.2">
      <c r="A23" s="2"/>
      <c r="B23" s="206"/>
      <c r="C23" s="207"/>
      <c r="D23" s="615"/>
      <c r="E23" s="616"/>
      <c r="F23" s="617"/>
      <c r="G23" s="207"/>
      <c r="H23" s="206"/>
    </row>
    <row r="24" spans="1:8" x14ac:dyDescent="0.2">
      <c r="A24" s="195" t="s">
        <v>116</v>
      </c>
      <c r="B24" s="196"/>
      <c r="C24" s="209"/>
      <c r="D24" s="213"/>
      <c r="E24" s="213"/>
      <c r="F24" s="213"/>
      <c r="G24" s="209"/>
      <c r="H24" s="210"/>
    </row>
    <row r="25" spans="1:8" x14ac:dyDescent="0.2">
      <c r="A25" s="2"/>
      <c r="B25" s="206"/>
      <c r="C25" s="207"/>
      <c r="D25" s="615"/>
      <c r="E25" s="616"/>
      <c r="F25" s="617"/>
      <c r="G25" s="207"/>
      <c r="H25" s="206"/>
    </row>
    <row r="26" spans="1:8" x14ac:dyDescent="0.2">
      <c r="A26" s="2"/>
      <c r="B26" s="856"/>
      <c r="C26" s="861"/>
      <c r="D26" s="858"/>
      <c r="E26" s="859"/>
      <c r="F26" s="860"/>
      <c r="G26" s="861"/>
      <c r="H26" s="856"/>
    </row>
    <row r="27" spans="1:8" x14ac:dyDescent="0.2">
      <c r="A27" s="2"/>
      <c r="B27" s="197"/>
      <c r="C27" s="207"/>
      <c r="D27" s="615"/>
      <c r="E27" s="616"/>
      <c r="F27" s="617"/>
      <c r="G27" s="207"/>
      <c r="H27" s="614"/>
    </row>
    <row r="28" spans="1:8" x14ac:dyDescent="0.2">
      <c r="A28" s="2"/>
      <c r="B28" s="206"/>
      <c r="C28" s="207"/>
      <c r="D28" s="615"/>
      <c r="E28" s="616"/>
      <c r="F28" s="617"/>
      <c r="G28" s="207"/>
      <c r="H28" s="206"/>
    </row>
    <row r="29" spans="1:8" x14ac:dyDescent="0.2">
      <c r="A29" s="2"/>
      <c r="B29" s="197"/>
      <c r="C29" s="207"/>
      <c r="D29" s="615"/>
      <c r="E29" s="616"/>
      <c r="F29" s="617"/>
      <c r="G29" s="207"/>
      <c r="H29" s="206"/>
    </row>
    <row r="30" spans="1:8" x14ac:dyDescent="0.2">
      <c r="A30" s="2"/>
      <c r="B30" s="197"/>
      <c r="C30" s="208"/>
      <c r="D30" s="615"/>
      <c r="E30" s="616"/>
      <c r="F30" s="617"/>
      <c r="G30" s="207"/>
      <c r="H30" s="206"/>
    </row>
    <row r="31" spans="1:8" x14ac:dyDescent="0.2">
      <c r="A31" s="2"/>
      <c r="B31" s="206"/>
      <c r="C31" s="207"/>
      <c r="D31" s="615"/>
      <c r="E31" s="616"/>
      <c r="F31" s="617"/>
      <c r="G31" s="207"/>
      <c r="H31" s="206"/>
    </row>
    <row r="32" spans="1:8" x14ac:dyDescent="0.2">
      <c r="A32" s="2"/>
      <c r="B32" s="206"/>
      <c r="C32" s="207"/>
      <c r="D32" s="615"/>
      <c r="E32" s="616"/>
      <c r="F32" s="617"/>
      <c r="G32" s="207"/>
      <c r="H32" s="206"/>
    </row>
    <row r="33" spans="1:8" x14ac:dyDescent="0.2">
      <c r="A33" s="195" t="s">
        <v>117</v>
      </c>
      <c r="B33" s="196"/>
      <c r="C33" s="209"/>
      <c r="D33" s="213"/>
      <c r="E33" s="213"/>
      <c r="F33" s="213"/>
      <c r="G33" s="209"/>
      <c r="H33" s="210"/>
    </row>
    <row r="34" spans="1:8" x14ac:dyDescent="0.2">
      <c r="A34" s="2"/>
      <c r="B34" s="197"/>
      <c r="C34" s="207"/>
      <c r="D34" s="615"/>
      <c r="E34" s="616"/>
      <c r="F34" s="617"/>
      <c r="G34" s="207"/>
      <c r="H34" s="614"/>
    </row>
    <row r="35" spans="1:8" x14ac:dyDescent="0.2">
      <c r="A35" s="2"/>
      <c r="B35" s="863"/>
      <c r="C35" s="861"/>
      <c r="D35" s="858"/>
      <c r="E35" s="859"/>
      <c r="F35" s="860"/>
      <c r="G35" s="861"/>
      <c r="H35" s="862"/>
    </row>
    <row r="36" spans="1:8" x14ac:dyDescent="0.2">
      <c r="A36" s="2"/>
      <c r="B36" s="197"/>
      <c r="C36" s="207"/>
      <c r="D36" s="615"/>
      <c r="E36" s="616"/>
      <c r="F36" s="617"/>
      <c r="G36" s="207"/>
      <c r="H36" s="206"/>
    </row>
    <row r="37" spans="1:8" x14ac:dyDescent="0.2">
      <c r="A37" s="2"/>
      <c r="B37" s="206"/>
      <c r="C37" s="207"/>
      <c r="D37" s="615"/>
      <c r="E37" s="616"/>
      <c r="F37" s="617"/>
      <c r="G37" s="207"/>
      <c r="H37" s="206"/>
    </row>
    <row r="38" spans="1:8" x14ac:dyDescent="0.2">
      <c r="A38" s="2"/>
      <c r="B38" s="206"/>
      <c r="C38" s="207"/>
      <c r="D38" s="615"/>
      <c r="E38" s="616"/>
      <c r="F38" s="617"/>
      <c r="G38" s="207"/>
      <c r="H38" s="206"/>
    </row>
    <row r="39" spans="1:8" x14ac:dyDescent="0.2">
      <c r="A39" s="2"/>
      <c r="B39" s="206"/>
      <c r="C39" s="207"/>
      <c r="D39" s="615"/>
      <c r="E39" s="616"/>
      <c r="F39" s="617"/>
      <c r="G39" s="207"/>
      <c r="H39" s="206"/>
    </row>
    <row r="40" spans="1:8" x14ac:dyDescent="0.2">
      <c r="A40" s="2"/>
      <c r="B40" s="206"/>
      <c r="C40" s="207"/>
      <c r="D40" s="615"/>
      <c r="E40" s="616"/>
      <c r="F40" s="617"/>
      <c r="G40" s="207"/>
      <c r="H40" s="206"/>
    </row>
    <row r="41" spans="1:8" x14ac:dyDescent="0.2">
      <c r="A41" s="2"/>
      <c r="B41" s="206"/>
      <c r="C41" s="207"/>
      <c r="D41" s="615"/>
      <c r="E41" s="616"/>
      <c r="F41" s="617"/>
      <c r="G41" s="207"/>
      <c r="H41" s="206"/>
    </row>
    <row r="42" spans="1:8" x14ac:dyDescent="0.2">
      <c r="A42" s="195" t="s">
        <v>118</v>
      </c>
      <c r="B42" s="196"/>
      <c r="C42" s="209"/>
      <c r="D42" s="213"/>
      <c r="E42" s="213"/>
      <c r="F42" s="213"/>
      <c r="G42" s="209"/>
      <c r="H42" s="210"/>
    </row>
    <row r="43" spans="1:8" x14ac:dyDescent="0.2">
      <c r="A43" s="2"/>
      <c r="B43" s="206"/>
      <c r="C43" s="208"/>
      <c r="D43" s="615"/>
      <c r="E43" s="616"/>
      <c r="F43" s="617"/>
      <c r="G43" s="207"/>
      <c r="H43" s="614"/>
    </row>
    <row r="44" spans="1:8" x14ac:dyDescent="0.2">
      <c r="A44" s="2"/>
      <c r="B44" s="856"/>
      <c r="C44" s="857"/>
      <c r="D44" s="858"/>
      <c r="E44" s="859"/>
      <c r="F44" s="860"/>
      <c r="G44" s="861"/>
      <c r="H44" s="862"/>
    </row>
    <row r="45" spans="1:8" x14ac:dyDescent="0.2">
      <c r="A45" s="2"/>
      <c r="B45" s="197"/>
      <c r="C45" s="208"/>
      <c r="D45" s="615"/>
      <c r="E45" s="616"/>
      <c r="F45" s="617"/>
      <c r="G45" s="207"/>
      <c r="H45" s="206"/>
    </row>
    <row r="46" spans="1:8" x14ac:dyDescent="0.2">
      <c r="A46" s="2"/>
      <c r="B46" s="206"/>
      <c r="C46" s="208"/>
      <c r="D46" s="615"/>
      <c r="E46" s="616"/>
      <c r="F46" s="617"/>
      <c r="G46" s="207"/>
      <c r="H46" s="206"/>
    </row>
    <row r="47" spans="1:8" x14ac:dyDescent="0.2">
      <c r="A47" s="2"/>
      <c r="B47" s="206"/>
      <c r="C47" s="208"/>
      <c r="D47" s="615"/>
      <c r="E47" s="616"/>
      <c r="F47" s="617"/>
      <c r="G47" s="207"/>
      <c r="H47" s="206"/>
    </row>
    <row r="48" spans="1:8" x14ac:dyDescent="0.2">
      <c r="A48" s="2"/>
      <c r="B48" s="206"/>
      <c r="C48" s="208"/>
      <c r="D48" s="615"/>
      <c r="E48" s="616"/>
      <c r="F48" s="617"/>
      <c r="G48" s="207"/>
      <c r="H48" s="206"/>
    </row>
    <row r="49" spans="1:12" x14ac:dyDescent="0.2">
      <c r="A49" s="2"/>
      <c r="B49" s="206"/>
      <c r="C49" s="207"/>
      <c r="D49" s="615"/>
      <c r="E49" s="616"/>
      <c r="F49" s="617"/>
      <c r="G49" s="207"/>
      <c r="H49" s="206"/>
    </row>
    <row r="50" spans="1:12" x14ac:dyDescent="0.2">
      <c r="A50" s="2"/>
      <c r="B50" s="206"/>
      <c r="C50" s="207"/>
      <c r="D50" s="615"/>
      <c r="E50" s="616"/>
      <c r="F50" s="617"/>
      <c r="G50" s="207"/>
      <c r="H50" s="197"/>
    </row>
    <row r="51" spans="1:12" x14ac:dyDescent="0.2">
      <c r="A51" s="2"/>
      <c r="B51" s="211"/>
      <c r="C51" s="853"/>
      <c r="D51" s="854"/>
      <c r="E51" s="855"/>
      <c r="F51" s="854"/>
      <c r="G51" s="853"/>
      <c r="H51" s="214"/>
    </row>
    <row r="52" spans="1:12" x14ac:dyDescent="0.2">
      <c r="A52" s="2"/>
      <c r="B52" s="211"/>
      <c r="C52" s="211"/>
      <c r="D52" s="212"/>
      <c r="E52" s="212"/>
      <c r="F52" s="212"/>
      <c r="G52" s="212"/>
      <c r="H52" s="213"/>
    </row>
    <row r="53" spans="1:12" x14ac:dyDescent="0.2">
      <c r="A53" s="782" t="s">
        <v>145</v>
      </c>
      <c r="B53" s="810" t="s">
        <v>84</v>
      </c>
      <c r="C53" s="811" t="s">
        <v>77</v>
      </c>
      <c r="D53" s="812"/>
      <c r="F53" s="1454" t="s">
        <v>145</v>
      </c>
      <c r="G53" s="1455"/>
      <c r="H53" s="730" t="s">
        <v>84</v>
      </c>
      <c r="I53" s="721" t="s">
        <v>77</v>
      </c>
      <c r="J53" s="718"/>
      <c r="K53" s="718"/>
      <c r="L53" s="719"/>
    </row>
    <row r="54" spans="1:12" x14ac:dyDescent="0.2">
      <c r="A54" s="813">
        <v>1</v>
      </c>
      <c r="B54" s="203" t="s">
        <v>334</v>
      </c>
      <c r="C54" s="815">
        <v>4</v>
      </c>
      <c r="D54" s="812"/>
      <c r="F54" s="888">
        <v>10</v>
      </c>
      <c r="G54" s="889"/>
      <c r="H54" s="727" t="s">
        <v>585</v>
      </c>
      <c r="I54" s="720">
        <v>2</v>
      </c>
      <c r="J54" s="718"/>
      <c r="K54" s="718"/>
      <c r="L54" s="719"/>
    </row>
    <row r="55" spans="1:12" x14ac:dyDescent="0.2">
      <c r="A55" s="816">
        <v>2</v>
      </c>
      <c r="B55" s="817" t="s">
        <v>338</v>
      </c>
      <c r="C55" s="815">
        <v>4</v>
      </c>
      <c r="D55" s="812"/>
      <c r="F55" s="888">
        <v>11</v>
      </c>
      <c r="G55" s="889"/>
      <c r="H55" s="727" t="s">
        <v>336</v>
      </c>
      <c r="I55" s="720">
        <v>2</v>
      </c>
      <c r="J55" s="718"/>
      <c r="K55" s="718"/>
      <c r="L55" s="719"/>
    </row>
    <row r="56" spans="1:12" x14ac:dyDescent="0.2">
      <c r="A56" s="816">
        <v>3</v>
      </c>
      <c r="B56" s="205" t="s">
        <v>333</v>
      </c>
      <c r="C56" s="819">
        <v>4</v>
      </c>
      <c r="D56" s="812"/>
      <c r="F56" s="898" t="s">
        <v>346</v>
      </c>
      <c r="G56" s="889"/>
      <c r="H56" s="821" t="s">
        <v>405</v>
      </c>
      <c r="I56" s="720">
        <v>2</v>
      </c>
      <c r="J56" s="718"/>
      <c r="K56" s="718"/>
      <c r="L56" s="719"/>
    </row>
    <row r="57" spans="1:12" x14ac:dyDescent="0.2">
      <c r="A57" s="816">
        <v>4</v>
      </c>
      <c r="B57" s="542" t="s">
        <v>363</v>
      </c>
      <c r="C57" s="815">
        <v>3</v>
      </c>
      <c r="D57" s="812"/>
      <c r="F57" s="898" t="s">
        <v>346</v>
      </c>
      <c r="G57" s="889"/>
      <c r="H57" s="727" t="s">
        <v>518</v>
      </c>
      <c r="I57" s="720">
        <v>2</v>
      </c>
      <c r="J57" s="718"/>
      <c r="K57" s="718"/>
      <c r="L57" s="719"/>
    </row>
    <row r="58" spans="1:12" x14ac:dyDescent="0.2">
      <c r="A58" s="816">
        <v>5</v>
      </c>
      <c r="B58" s="184" t="s">
        <v>431</v>
      </c>
      <c r="C58" s="815">
        <v>3</v>
      </c>
      <c r="D58" s="812"/>
      <c r="F58" s="898" t="s">
        <v>586</v>
      </c>
      <c r="G58" s="889"/>
      <c r="H58" s="728" t="s">
        <v>435</v>
      </c>
      <c r="I58" s="720">
        <v>1</v>
      </c>
      <c r="J58" s="718"/>
      <c r="K58" s="718"/>
      <c r="L58" s="719"/>
    </row>
    <row r="59" spans="1:12" x14ac:dyDescent="0.2">
      <c r="A59" s="896" t="s">
        <v>583</v>
      </c>
      <c r="B59" s="728" t="s">
        <v>342</v>
      </c>
      <c r="C59" s="815">
        <v>3</v>
      </c>
      <c r="D59" s="812"/>
      <c r="F59" s="898" t="s">
        <v>586</v>
      </c>
      <c r="G59" s="889"/>
      <c r="H59" s="728" t="s">
        <v>337</v>
      </c>
      <c r="I59" s="720">
        <v>1</v>
      </c>
      <c r="J59" s="718"/>
      <c r="K59" s="718"/>
      <c r="L59" s="719"/>
    </row>
    <row r="60" spans="1:12" x14ac:dyDescent="0.2">
      <c r="A60" s="816" t="s">
        <v>583</v>
      </c>
      <c r="B60" s="727" t="s">
        <v>541</v>
      </c>
      <c r="C60" s="815">
        <v>3</v>
      </c>
      <c r="D60" s="812"/>
    </row>
    <row r="61" spans="1:12" x14ac:dyDescent="0.2">
      <c r="A61" s="850">
        <v>8</v>
      </c>
      <c r="B61" s="825" t="s">
        <v>584</v>
      </c>
      <c r="C61" s="824">
        <v>3</v>
      </c>
      <c r="D61" s="822"/>
    </row>
    <row r="62" spans="1:12" x14ac:dyDescent="0.2">
      <c r="A62" s="850">
        <v>9</v>
      </c>
      <c r="B62" s="825" t="s">
        <v>516</v>
      </c>
      <c r="C62" s="824">
        <v>3</v>
      </c>
      <c r="D62" s="822"/>
    </row>
  </sheetData>
  <mergeCells count="1">
    <mergeCell ref="F53:G53"/>
  </mergeCells>
  <conditionalFormatting sqref="B12">
    <cfRule type="duplicateValues" dxfId="216" priority="49"/>
  </conditionalFormatting>
  <conditionalFormatting sqref="H14">
    <cfRule type="duplicateValues" dxfId="215" priority="48"/>
  </conditionalFormatting>
  <conditionalFormatting sqref="B14">
    <cfRule type="duplicateValues" dxfId="214" priority="47"/>
  </conditionalFormatting>
  <conditionalFormatting sqref="F42:F49 D42:D49 D33:F40 D24:F31 D7:F22">
    <cfRule type="cellIs" dxfId="213" priority="46" operator="equal">
      <formula>13</formula>
    </cfRule>
  </conditionalFormatting>
  <conditionalFormatting sqref="E42:E49">
    <cfRule type="cellIs" dxfId="212" priority="45" operator="equal">
      <formula>13</formula>
    </cfRule>
  </conditionalFormatting>
  <conditionalFormatting sqref="B10">
    <cfRule type="duplicateValues" dxfId="211" priority="44"/>
  </conditionalFormatting>
  <conditionalFormatting sqref="H13">
    <cfRule type="duplicateValues" dxfId="210" priority="43"/>
  </conditionalFormatting>
  <conditionalFormatting sqref="B23">
    <cfRule type="duplicateValues" dxfId="209" priority="42"/>
  </conditionalFormatting>
  <conditionalFormatting sqref="H23">
    <cfRule type="duplicateValues" dxfId="208" priority="41"/>
  </conditionalFormatting>
  <conditionalFormatting sqref="D23 F23">
    <cfRule type="cellIs" dxfId="207" priority="40" operator="equal">
      <formula>13</formula>
    </cfRule>
  </conditionalFormatting>
  <conditionalFormatting sqref="E23">
    <cfRule type="cellIs" dxfId="206" priority="39" operator="equal">
      <formula>13</formula>
    </cfRule>
  </conditionalFormatting>
  <conditionalFormatting sqref="H16">
    <cfRule type="duplicateValues" dxfId="205" priority="38"/>
  </conditionalFormatting>
  <conditionalFormatting sqref="B17:B18">
    <cfRule type="duplicateValues" dxfId="204" priority="37"/>
  </conditionalFormatting>
  <conditionalFormatting sqref="B20">
    <cfRule type="duplicateValues" dxfId="203" priority="35"/>
  </conditionalFormatting>
  <conditionalFormatting sqref="B32">
    <cfRule type="duplicateValues" dxfId="202" priority="34"/>
  </conditionalFormatting>
  <conditionalFormatting sqref="H32">
    <cfRule type="duplicateValues" dxfId="201" priority="33"/>
  </conditionalFormatting>
  <conditionalFormatting sqref="D32 F32">
    <cfRule type="cellIs" dxfId="200" priority="32" operator="equal">
      <formula>13</formula>
    </cfRule>
  </conditionalFormatting>
  <conditionalFormatting sqref="E32">
    <cfRule type="cellIs" dxfId="199" priority="31" operator="equal">
      <formula>13</formula>
    </cfRule>
  </conditionalFormatting>
  <conditionalFormatting sqref="H25:H26">
    <cfRule type="duplicateValues" dxfId="198" priority="30"/>
  </conditionalFormatting>
  <conditionalFormatting sqref="H28">
    <cfRule type="duplicateValues" dxfId="197" priority="29"/>
  </conditionalFormatting>
  <conditionalFormatting sqref="B30">
    <cfRule type="duplicateValues" dxfId="196" priority="28"/>
  </conditionalFormatting>
  <conditionalFormatting sqref="B31">
    <cfRule type="duplicateValues" dxfId="195" priority="27"/>
  </conditionalFormatting>
  <conditionalFormatting sqref="D41 F41">
    <cfRule type="cellIs" dxfId="194" priority="25" operator="equal">
      <formula>13</formula>
    </cfRule>
  </conditionalFormatting>
  <conditionalFormatting sqref="E41">
    <cfRule type="cellIs" dxfId="193" priority="24" operator="equal">
      <formula>13</formula>
    </cfRule>
  </conditionalFormatting>
  <conditionalFormatting sqref="B34:B35">
    <cfRule type="duplicateValues" dxfId="192" priority="23"/>
  </conditionalFormatting>
  <conditionalFormatting sqref="H38">
    <cfRule type="duplicateValues" dxfId="191" priority="22"/>
  </conditionalFormatting>
  <conditionalFormatting sqref="H39">
    <cfRule type="duplicateValues" dxfId="190" priority="20"/>
  </conditionalFormatting>
  <conditionalFormatting sqref="H40">
    <cfRule type="duplicateValues" dxfId="189" priority="19"/>
  </conditionalFormatting>
  <conditionalFormatting sqref="H50:H51">
    <cfRule type="duplicateValues" dxfId="188" priority="18"/>
  </conditionalFormatting>
  <conditionalFormatting sqref="D50:D51 F50:F51">
    <cfRule type="cellIs" dxfId="187" priority="17" operator="equal">
      <formula>13</formula>
    </cfRule>
  </conditionalFormatting>
  <conditionalFormatting sqref="E50:E51">
    <cfRule type="cellIs" dxfId="186" priority="16" operator="equal">
      <formula>13</formula>
    </cfRule>
  </conditionalFormatting>
  <conditionalFormatting sqref="B46">
    <cfRule type="duplicateValues" dxfId="185" priority="15"/>
  </conditionalFormatting>
  <conditionalFormatting sqref="H46">
    <cfRule type="duplicateValues" dxfId="184" priority="14"/>
  </conditionalFormatting>
  <conditionalFormatting sqref="B49">
    <cfRule type="duplicateValues" dxfId="183" priority="13"/>
  </conditionalFormatting>
  <conditionalFormatting sqref="H49">
    <cfRule type="duplicateValues" dxfId="182" priority="12"/>
  </conditionalFormatting>
  <conditionalFormatting sqref="H54">
    <cfRule type="duplicateValues" dxfId="181" priority="9"/>
  </conditionalFormatting>
  <conditionalFormatting sqref="B54">
    <cfRule type="duplicateValues" dxfId="180" priority="5" stopIfTrue="1"/>
  </conditionalFormatting>
  <conditionalFormatting sqref="B57">
    <cfRule type="duplicateValues" dxfId="179" priority="4" stopIfTrue="1"/>
  </conditionalFormatting>
  <conditionalFormatting sqref="B58">
    <cfRule type="duplicateValues" dxfId="178" priority="3" stopIfTrue="1"/>
  </conditionalFormatting>
  <conditionalFormatting sqref="B59">
    <cfRule type="duplicateValues" dxfId="177" priority="2"/>
  </conditionalFormatting>
  <conditionalFormatting sqref="H55">
    <cfRule type="duplicateValues" dxfId="176" priority="1"/>
  </conditionalFormatting>
  <conditionalFormatting sqref="H41">
    <cfRule type="duplicateValues" dxfId="175" priority="305"/>
  </conditionalFormatting>
  <pageMargins left="0.78740157480314965" right="0.39370078740157483" top="0.59055118110236227" bottom="0.39370078740157483" header="0.39370078740157483" footer="0"/>
  <pageSetup paperSize="9" fitToHeight="0" orientation="portrait" verticalDpi="1200" r:id="rId1"/>
  <headerFooter>
    <oddHeader>&amp;R&amp;"Arial,Regular"&amp;9Page &amp;P of &amp;N</oddHeader>
  </headerFooter>
  <rowBreaks count="3" manualBreakCount="3">
    <brk id="94" max="16383" man="1"/>
    <brk id="132" max="16383" man="1"/>
    <brk id="167"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61"/>
  <sheetViews>
    <sheetView showGridLines="0" showRowColHeaders="0" zoomScaleNormal="100" workbookViewId="0">
      <pane ySplit="2" topLeftCell="A40" activePane="bottomLeft" state="frozen"/>
      <selection activeCell="K30" sqref="K30"/>
      <selection pane="bottomLeft" activeCell="I1" sqref="I1"/>
    </sheetView>
  </sheetViews>
  <sheetFormatPr defaultRowHeight="12.75" x14ac:dyDescent="0.2"/>
  <cols>
    <col min="1" max="1" width="5.5703125" style="152" customWidth="1"/>
    <col min="2" max="2" width="33.7109375" style="152" customWidth="1"/>
    <col min="3" max="3" width="2.28515625" style="152" customWidth="1"/>
    <col min="4" max="4" width="3" style="152" bestFit="1" customWidth="1"/>
    <col min="5" max="5" width="1.5703125" style="152" bestFit="1" customWidth="1"/>
    <col min="6" max="6" width="3" style="152" bestFit="1" customWidth="1"/>
    <col min="7" max="7" width="2.28515625" style="152" customWidth="1"/>
    <col min="8" max="8" width="33.7109375" style="152" customWidth="1"/>
    <col min="9" max="9" width="3" style="152" bestFit="1" customWidth="1"/>
    <col min="10" max="10" width="3" style="152" hidden="1" customWidth="1"/>
    <col min="11" max="11" width="3.5703125" style="152" hidden="1" customWidth="1"/>
    <col min="12" max="12" width="2.7109375" style="152" bestFit="1" customWidth="1"/>
    <col min="13" max="16384" width="9.140625" style="152"/>
  </cols>
  <sheetData>
    <row r="1" spans="1:11" x14ac:dyDescent="0.2">
      <c r="A1" s="151" t="str">
        <f>UPPER((Kalend!E31)&amp;" - "&amp;(Kalend!C31)&amp;" - "&amp;(Kalend!D31))</f>
        <v>V7 - VOKA 4. KV 7. ETAPP - DUO</v>
      </c>
      <c r="D1" s="113" t="str">
        <f>HYPERLINK("#Kalend!I1","Kalender")</f>
        <v>Kalender</v>
      </c>
      <c r="E1" s="113"/>
      <c r="F1" s="113"/>
      <c r="G1" s="2"/>
      <c r="H1" s="113" t="str">
        <f>HYPERLINK("#Reit!G1","Reiting")</f>
        <v>Reiting</v>
      </c>
      <c r="I1" s="2"/>
      <c r="J1" s="2"/>
    </row>
    <row r="2" spans="1:11" x14ac:dyDescent="0.2">
      <c r="A2" s="2" t="str">
        <f>"Toimumisaeg: "&amp;(Kalend!A31)&amp;" kell "&amp;(Kalend!B31)</f>
        <v>Toimumisaeg: K, 02.08.2017 kell 18:00</v>
      </c>
    </row>
    <row r="3" spans="1:11" x14ac:dyDescent="0.2">
      <c r="A3" s="2" t="str">
        <f>"Toimumiskoht: "&amp;(Kalend!F31)</f>
        <v>Toimumiskoht: Voka staadion</v>
      </c>
    </row>
    <row r="4" spans="1:11" x14ac:dyDescent="0.2">
      <c r="A4" s="2" t="str">
        <f>"Korraldaja: "&amp;(Kalend!G31)</f>
        <v>Korraldaja: Johannes Neiland</v>
      </c>
      <c r="H4" s="547" t="s">
        <v>113</v>
      </c>
    </row>
    <row r="5" spans="1:11" x14ac:dyDescent="0.2">
      <c r="A5" s="2"/>
    </row>
    <row r="6" spans="1:11" x14ac:dyDescent="0.2">
      <c r="A6" s="195" t="s">
        <v>114</v>
      </c>
      <c r="B6" s="196"/>
    </row>
    <row r="7" spans="1:11" x14ac:dyDescent="0.2">
      <c r="A7" s="2"/>
      <c r="B7" s="206"/>
      <c r="C7" s="207"/>
      <c r="D7" s="615"/>
      <c r="E7" s="616"/>
      <c r="F7" s="617"/>
      <c r="G7" s="208"/>
      <c r="H7" s="206"/>
      <c r="J7" s="152">
        <v>1</v>
      </c>
      <c r="K7" s="152">
        <v>15</v>
      </c>
    </row>
    <row r="8" spans="1:11" x14ac:dyDescent="0.2">
      <c r="A8" s="2"/>
      <c r="B8" s="197"/>
      <c r="C8" s="207"/>
      <c r="D8" s="615"/>
      <c r="E8" s="616"/>
      <c r="F8" s="617"/>
      <c r="G8" s="208"/>
      <c r="H8" s="206"/>
      <c r="J8" s="152">
        <v>2</v>
      </c>
      <c r="K8" s="152">
        <v>14</v>
      </c>
    </row>
    <row r="9" spans="1:11" x14ac:dyDescent="0.2">
      <c r="A9" s="2"/>
      <c r="B9" s="863"/>
      <c r="C9" s="861"/>
      <c r="D9" s="858"/>
      <c r="E9" s="859"/>
      <c r="F9" s="860"/>
      <c r="G9" s="857"/>
      <c r="H9" s="856"/>
    </row>
    <row r="10" spans="1:11" x14ac:dyDescent="0.2">
      <c r="A10" s="2"/>
      <c r="B10" s="206"/>
      <c r="C10" s="207"/>
      <c r="D10" s="615"/>
      <c r="E10" s="616"/>
      <c r="F10" s="617"/>
      <c r="G10" s="208"/>
      <c r="H10" s="206"/>
      <c r="J10" s="152">
        <v>3</v>
      </c>
      <c r="K10" s="152">
        <v>13</v>
      </c>
    </row>
    <row r="11" spans="1:11" x14ac:dyDescent="0.2">
      <c r="A11" s="2"/>
      <c r="B11" s="206"/>
      <c r="C11" s="208"/>
      <c r="D11" s="615"/>
      <c r="E11" s="616"/>
      <c r="F11" s="617"/>
      <c r="G11" s="207"/>
      <c r="H11" s="614"/>
      <c r="J11" s="152">
        <v>5</v>
      </c>
      <c r="K11" s="152">
        <v>11</v>
      </c>
    </row>
    <row r="12" spans="1:11" x14ac:dyDescent="0.2">
      <c r="A12" s="2"/>
      <c r="B12" s="206"/>
      <c r="C12" s="208"/>
      <c r="D12" s="615"/>
      <c r="E12" s="616"/>
      <c r="F12" s="617"/>
      <c r="G12" s="207"/>
      <c r="H12" s="206"/>
      <c r="J12" s="152">
        <v>6</v>
      </c>
      <c r="K12" s="152">
        <v>10</v>
      </c>
    </row>
    <row r="13" spans="1:11" x14ac:dyDescent="0.2">
      <c r="A13" s="2"/>
      <c r="B13" s="206"/>
      <c r="C13" s="207"/>
      <c r="D13" s="615"/>
      <c r="E13" s="616"/>
      <c r="F13" s="617"/>
      <c r="G13" s="207"/>
      <c r="H13" s="206"/>
      <c r="J13" s="152">
        <v>7</v>
      </c>
      <c r="K13" s="152">
        <v>9</v>
      </c>
    </row>
    <row r="14" spans="1:11" x14ac:dyDescent="0.2">
      <c r="A14" s="2"/>
      <c r="B14" s="206"/>
      <c r="C14" s="207"/>
      <c r="D14" s="615"/>
      <c r="E14" s="616"/>
      <c r="F14" s="617"/>
      <c r="G14" s="207"/>
      <c r="H14" s="206"/>
      <c r="J14" s="152">
        <v>8</v>
      </c>
    </row>
    <row r="15" spans="1:11" x14ac:dyDescent="0.2">
      <c r="A15" s="195" t="s">
        <v>115</v>
      </c>
      <c r="B15" s="196"/>
      <c r="C15" s="209"/>
      <c r="D15" s="213"/>
      <c r="E15" s="213"/>
      <c r="F15" s="213"/>
      <c r="G15" s="209"/>
      <c r="H15" s="210"/>
    </row>
    <row r="16" spans="1:11" x14ac:dyDescent="0.2">
      <c r="A16" s="2"/>
      <c r="B16" s="197"/>
      <c r="C16" s="207"/>
      <c r="D16" s="615"/>
      <c r="E16" s="616"/>
      <c r="F16" s="617"/>
      <c r="G16" s="207"/>
      <c r="H16" s="206"/>
    </row>
    <row r="17" spans="1:8" x14ac:dyDescent="0.2">
      <c r="A17" s="2"/>
      <c r="B17" s="197"/>
      <c r="C17" s="207"/>
      <c r="D17" s="615"/>
      <c r="E17" s="616"/>
      <c r="F17" s="617"/>
      <c r="G17" s="207"/>
      <c r="H17" s="206"/>
    </row>
    <row r="18" spans="1:8" x14ac:dyDescent="0.2">
      <c r="A18" s="2"/>
      <c r="B18" s="863"/>
      <c r="C18" s="861"/>
      <c r="D18" s="858"/>
      <c r="E18" s="859"/>
      <c r="F18" s="860"/>
      <c r="G18" s="861"/>
      <c r="H18" s="856"/>
    </row>
    <row r="19" spans="1:8" x14ac:dyDescent="0.2">
      <c r="A19" s="2"/>
      <c r="B19" s="206"/>
      <c r="C19" s="207"/>
      <c r="D19" s="615"/>
      <c r="E19" s="616"/>
      <c r="F19" s="617"/>
      <c r="G19" s="207"/>
      <c r="H19" s="206"/>
    </row>
    <row r="20" spans="1:8" x14ac:dyDescent="0.2">
      <c r="A20" s="2"/>
      <c r="B20" s="206"/>
      <c r="C20" s="208"/>
      <c r="D20" s="615"/>
      <c r="E20" s="616"/>
      <c r="F20" s="617"/>
      <c r="G20" s="207"/>
      <c r="H20" s="206"/>
    </row>
    <row r="21" spans="1:8" x14ac:dyDescent="0.2">
      <c r="A21" s="2"/>
      <c r="B21" s="206"/>
      <c r="C21" s="208"/>
      <c r="D21" s="615"/>
      <c r="E21" s="616"/>
      <c r="F21" s="617"/>
      <c r="G21" s="207"/>
      <c r="H21" s="206"/>
    </row>
    <row r="22" spans="1:8" x14ac:dyDescent="0.2">
      <c r="A22" s="2"/>
      <c r="B22" s="614"/>
      <c r="C22" s="207"/>
      <c r="D22" s="615"/>
      <c r="E22" s="616"/>
      <c r="F22" s="617"/>
      <c r="G22" s="207"/>
      <c r="H22" s="206"/>
    </row>
    <row r="23" spans="1:8" x14ac:dyDescent="0.2">
      <c r="A23" s="2"/>
      <c r="B23" s="206"/>
      <c r="C23" s="207"/>
      <c r="D23" s="615"/>
      <c r="E23" s="616"/>
      <c r="F23" s="617"/>
      <c r="G23" s="207"/>
      <c r="H23" s="206"/>
    </row>
    <row r="24" spans="1:8" x14ac:dyDescent="0.2">
      <c r="A24" s="195" t="s">
        <v>116</v>
      </c>
      <c r="B24" s="196"/>
      <c r="C24" s="209"/>
      <c r="D24" s="213"/>
      <c r="E24" s="213"/>
      <c r="F24" s="213"/>
      <c r="G24" s="209"/>
      <c r="H24" s="210"/>
    </row>
    <row r="25" spans="1:8" x14ac:dyDescent="0.2">
      <c r="A25" s="2"/>
      <c r="B25" s="206"/>
      <c r="C25" s="207"/>
      <c r="D25" s="615"/>
      <c r="E25" s="616"/>
      <c r="F25" s="617"/>
      <c r="G25" s="207"/>
      <c r="H25" s="206"/>
    </row>
    <row r="26" spans="1:8" x14ac:dyDescent="0.2">
      <c r="A26" s="2"/>
      <c r="B26" s="856"/>
      <c r="C26" s="861"/>
      <c r="D26" s="858"/>
      <c r="E26" s="859"/>
      <c r="F26" s="860"/>
      <c r="G26" s="861"/>
      <c r="H26" s="856"/>
    </row>
    <row r="27" spans="1:8" x14ac:dyDescent="0.2">
      <c r="A27" s="2"/>
      <c r="B27" s="197"/>
      <c r="C27" s="207"/>
      <c r="D27" s="615"/>
      <c r="E27" s="616"/>
      <c r="F27" s="617"/>
      <c r="G27" s="207"/>
      <c r="H27" s="614"/>
    </row>
    <row r="28" spans="1:8" x14ac:dyDescent="0.2">
      <c r="A28" s="2"/>
      <c r="B28" s="206"/>
      <c r="C28" s="207"/>
      <c r="D28" s="615"/>
      <c r="E28" s="616"/>
      <c r="F28" s="617"/>
      <c r="G28" s="207"/>
      <c r="H28" s="206"/>
    </row>
    <row r="29" spans="1:8" x14ac:dyDescent="0.2">
      <c r="A29" s="2"/>
      <c r="B29" s="197"/>
      <c r="C29" s="207"/>
      <c r="D29" s="615"/>
      <c r="E29" s="616"/>
      <c r="F29" s="617"/>
      <c r="G29" s="207"/>
      <c r="H29" s="206"/>
    </row>
    <row r="30" spans="1:8" x14ac:dyDescent="0.2">
      <c r="A30" s="2"/>
      <c r="B30" s="197"/>
      <c r="C30" s="208"/>
      <c r="D30" s="615"/>
      <c r="E30" s="616"/>
      <c r="F30" s="617"/>
      <c r="G30" s="207"/>
      <c r="H30" s="206"/>
    </row>
    <row r="31" spans="1:8" x14ac:dyDescent="0.2">
      <c r="A31" s="2"/>
      <c r="B31" s="206"/>
      <c r="C31" s="207"/>
      <c r="D31" s="615"/>
      <c r="E31" s="616"/>
      <c r="F31" s="617"/>
      <c r="G31" s="207"/>
      <c r="H31" s="206"/>
    </row>
    <row r="32" spans="1:8" x14ac:dyDescent="0.2">
      <c r="A32" s="2"/>
      <c r="B32" s="206"/>
      <c r="C32" s="207"/>
      <c r="D32" s="615"/>
      <c r="E32" s="616"/>
      <c r="F32" s="617"/>
      <c r="G32" s="207"/>
      <c r="H32" s="206"/>
    </row>
    <row r="33" spans="1:8" x14ac:dyDescent="0.2">
      <c r="A33" s="195" t="s">
        <v>117</v>
      </c>
      <c r="B33" s="196"/>
      <c r="C33" s="209"/>
      <c r="D33" s="213"/>
      <c r="E33" s="213"/>
      <c r="F33" s="213"/>
      <c r="G33" s="209"/>
      <c r="H33" s="210"/>
    </row>
    <row r="34" spans="1:8" x14ac:dyDescent="0.2">
      <c r="A34" s="2"/>
      <c r="B34" s="197"/>
      <c r="C34" s="207"/>
      <c r="D34" s="615"/>
      <c r="E34" s="616"/>
      <c r="F34" s="617"/>
      <c r="G34" s="207"/>
      <c r="H34" s="614"/>
    </row>
    <row r="35" spans="1:8" x14ac:dyDescent="0.2">
      <c r="A35" s="2"/>
      <c r="B35" s="863"/>
      <c r="C35" s="861"/>
      <c r="D35" s="858"/>
      <c r="E35" s="859"/>
      <c r="F35" s="860"/>
      <c r="G35" s="861"/>
      <c r="H35" s="862"/>
    </row>
    <row r="36" spans="1:8" x14ac:dyDescent="0.2">
      <c r="A36" s="2"/>
      <c r="B36" s="197"/>
      <c r="C36" s="207"/>
      <c r="D36" s="615"/>
      <c r="E36" s="616"/>
      <c r="F36" s="617"/>
      <c r="G36" s="207"/>
      <c r="H36" s="206"/>
    </row>
    <row r="37" spans="1:8" x14ac:dyDescent="0.2">
      <c r="A37" s="2"/>
      <c r="B37" s="206"/>
      <c r="C37" s="207"/>
      <c r="D37" s="615"/>
      <c r="E37" s="616"/>
      <c r="F37" s="617"/>
      <c r="G37" s="207"/>
      <c r="H37" s="206"/>
    </row>
    <row r="38" spans="1:8" x14ac:dyDescent="0.2">
      <c r="A38" s="2"/>
      <c r="B38" s="206"/>
      <c r="C38" s="207"/>
      <c r="D38" s="615"/>
      <c r="E38" s="616"/>
      <c r="F38" s="617"/>
      <c r="G38" s="207"/>
      <c r="H38" s="206"/>
    </row>
    <row r="39" spans="1:8" x14ac:dyDescent="0.2">
      <c r="A39" s="2"/>
      <c r="B39" s="206"/>
      <c r="C39" s="207"/>
      <c r="D39" s="615"/>
      <c r="E39" s="616"/>
      <c r="F39" s="617"/>
      <c r="G39" s="207"/>
      <c r="H39" s="206"/>
    </row>
    <row r="40" spans="1:8" x14ac:dyDescent="0.2">
      <c r="A40" s="2"/>
      <c r="B40" s="206"/>
      <c r="C40" s="207"/>
      <c r="D40" s="615"/>
      <c r="E40" s="616"/>
      <c r="F40" s="617"/>
      <c r="G40" s="207"/>
      <c r="H40" s="206"/>
    </row>
    <row r="41" spans="1:8" x14ac:dyDescent="0.2">
      <c r="A41" s="2"/>
      <c r="B41" s="206"/>
      <c r="C41" s="207"/>
      <c r="D41" s="615"/>
      <c r="E41" s="616"/>
      <c r="F41" s="617"/>
      <c r="G41" s="207"/>
      <c r="H41" s="206"/>
    </row>
    <row r="42" spans="1:8" x14ac:dyDescent="0.2">
      <c r="A42" s="195" t="s">
        <v>118</v>
      </c>
      <c r="B42" s="196"/>
      <c r="C42" s="209"/>
      <c r="D42" s="213"/>
      <c r="E42" s="213"/>
      <c r="F42" s="213"/>
      <c r="G42" s="209"/>
      <c r="H42" s="210"/>
    </row>
    <row r="43" spans="1:8" x14ac:dyDescent="0.2">
      <c r="A43" s="2"/>
      <c r="B43" s="206"/>
      <c r="C43" s="208"/>
      <c r="D43" s="615"/>
      <c r="E43" s="616"/>
      <c r="F43" s="617"/>
      <c r="G43" s="207"/>
      <c r="H43" s="614"/>
    </row>
    <row r="44" spans="1:8" x14ac:dyDescent="0.2">
      <c r="A44" s="2"/>
      <c r="B44" s="856"/>
      <c r="C44" s="857"/>
      <c r="D44" s="858"/>
      <c r="E44" s="859"/>
      <c r="F44" s="860"/>
      <c r="G44" s="861"/>
      <c r="H44" s="862"/>
    </row>
    <row r="45" spans="1:8" x14ac:dyDescent="0.2">
      <c r="A45" s="2"/>
      <c r="B45" s="197"/>
      <c r="C45" s="208"/>
      <c r="D45" s="615"/>
      <c r="E45" s="616"/>
      <c r="F45" s="617"/>
      <c r="G45" s="207"/>
      <c r="H45" s="206"/>
    </row>
    <row r="46" spans="1:8" x14ac:dyDescent="0.2">
      <c r="A46" s="2"/>
      <c r="B46" s="206"/>
      <c r="C46" s="208"/>
      <c r="D46" s="615"/>
      <c r="E46" s="616"/>
      <c r="F46" s="617"/>
      <c r="G46" s="207"/>
      <c r="H46" s="206"/>
    </row>
    <row r="47" spans="1:8" x14ac:dyDescent="0.2">
      <c r="A47" s="2"/>
      <c r="B47" s="206"/>
      <c r="C47" s="208"/>
      <c r="D47" s="615"/>
      <c r="E47" s="616"/>
      <c r="F47" s="617"/>
      <c r="G47" s="207"/>
      <c r="H47" s="206"/>
    </row>
    <row r="48" spans="1:8" x14ac:dyDescent="0.2">
      <c r="A48" s="2"/>
      <c r="B48" s="206"/>
      <c r="C48" s="207"/>
      <c r="D48" s="615"/>
      <c r="E48" s="616"/>
      <c r="F48" s="617"/>
      <c r="G48" s="207"/>
      <c r="H48" s="206"/>
    </row>
    <row r="49" spans="1:12" x14ac:dyDescent="0.2">
      <c r="A49" s="2"/>
      <c r="B49" s="206"/>
      <c r="C49" s="208"/>
      <c r="D49" s="615"/>
      <c r="E49" s="616"/>
      <c r="F49" s="617"/>
      <c r="G49" s="207"/>
      <c r="H49" s="206"/>
    </row>
    <row r="50" spans="1:12" x14ac:dyDescent="0.2">
      <c r="A50" s="2"/>
      <c r="B50" s="206"/>
      <c r="C50" s="207"/>
      <c r="D50" s="615"/>
      <c r="E50" s="616"/>
      <c r="F50" s="617"/>
      <c r="G50" s="207"/>
      <c r="H50" s="197"/>
    </row>
    <row r="51" spans="1:12" x14ac:dyDescent="0.2">
      <c r="A51" s="2"/>
      <c r="B51" s="211"/>
      <c r="C51" s="853"/>
      <c r="D51" s="854"/>
      <c r="E51" s="855"/>
      <c r="F51" s="854"/>
      <c r="G51" s="853"/>
      <c r="H51" s="214"/>
    </row>
    <row r="52" spans="1:12" x14ac:dyDescent="0.2">
      <c r="A52" s="2"/>
      <c r="B52" s="211"/>
      <c r="C52" s="211"/>
      <c r="D52" s="212"/>
      <c r="E52" s="212"/>
      <c r="F52" s="212"/>
      <c r="G52" s="212"/>
      <c r="H52" s="213"/>
    </row>
    <row r="53" spans="1:12" x14ac:dyDescent="0.2">
      <c r="A53" s="782" t="s">
        <v>145</v>
      </c>
      <c r="B53" s="810" t="s">
        <v>84</v>
      </c>
      <c r="C53" s="811" t="s">
        <v>77</v>
      </c>
      <c r="D53" s="812"/>
      <c r="F53" s="1454" t="s">
        <v>145</v>
      </c>
      <c r="G53" s="1455"/>
      <c r="H53" s="730" t="s">
        <v>84</v>
      </c>
      <c r="I53" s="721" t="s">
        <v>77</v>
      </c>
      <c r="J53" s="718"/>
      <c r="K53" s="718"/>
      <c r="L53" s="719"/>
    </row>
    <row r="54" spans="1:12" x14ac:dyDescent="0.2">
      <c r="A54" s="813">
        <v>1</v>
      </c>
      <c r="B54" s="203" t="s">
        <v>584</v>
      </c>
      <c r="C54" s="815">
        <v>5</v>
      </c>
      <c r="D54" s="812"/>
      <c r="F54" s="898" t="s">
        <v>395</v>
      </c>
      <c r="G54" s="900"/>
      <c r="H54" s="727" t="s">
        <v>594</v>
      </c>
      <c r="I54" s="720">
        <v>2</v>
      </c>
      <c r="J54" s="718"/>
      <c r="K54" s="718"/>
      <c r="L54" s="719"/>
    </row>
    <row r="55" spans="1:12" x14ac:dyDescent="0.2">
      <c r="A55" s="816">
        <v>2</v>
      </c>
      <c r="B55" s="817" t="s">
        <v>540</v>
      </c>
      <c r="C55" s="815">
        <v>4</v>
      </c>
      <c r="D55" s="812"/>
      <c r="F55" s="898" t="s">
        <v>395</v>
      </c>
      <c r="G55" s="900"/>
      <c r="H55" s="727" t="s">
        <v>363</v>
      </c>
      <c r="I55" s="720">
        <v>2</v>
      </c>
      <c r="J55" s="718"/>
      <c r="K55" s="718"/>
      <c r="L55" s="719"/>
    </row>
    <row r="56" spans="1:12" x14ac:dyDescent="0.2">
      <c r="A56" s="816">
        <v>3</v>
      </c>
      <c r="B56" s="205" t="s">
        <v>338</v>
      </c>
      <c r="C56" s="819">
        <v>4</v>
      </c>
      <c r="D56" s="812"/>
      <c r="F56" s="898">
        <v>11</v>
      </c>
      <c r="G56" s="900"/>
      <c r="H56" s="821" t="s">
        <v>342</v>
      </c>
      <c r="I56" s="720">
        <v>2</v>
      </c>
      <c r="J56" s="718"/>
      <c r="K56" s="718"/>
      <c r="L56" s="719"/>
    </row>
    <row r="57" spans="1:12" x14ac:dyDescent="0.2">
      <c r="A57" s="896" t="s">
        <v>360</v>
      </c>
      <c r="B57" s="542" t="s">
        <v>336</v>
      </c>
      <c r="C57" s="815">
        <v>3</v>
      </c>
      <c r="D57" s="812"/>
      <c r="F57" s="898">
        <v>12</v>
      </c>
      <c r="G57" s="900"/>
      <c r="H57" s="727" t="s">
        <v>595</v>
      </c>
      <c r="I57" s="720">
        <v>2</v>
      </c>
      <c r="J57" s="718"/>
      <c r="K57" s="718"/>
      <c r="L57" s="719"/>
    </row>
    <row r="58" spans="1:12" x14ac:dyDescent="0.2">
      <c r="A58" s="896" t="s">
        <v>360</v>
      </c>
      <c r="B58" s="184" t="s">
        <v>435</v>
      </c>
      <c r="C58" s="815">
        <v>3</v>
      </c>
      <c r="D58" s="812"/>
      <c r="F58" s="898">
        <v>13</v>
      </c>
      <c r="G58" s="900"/>
      <c r="H58" s="728" t="s">
        <v>334</v>
      </c>
      <c r="I58" s="720">
        <v>2</v>
      </c>
      <c r="J58" s="718"/>
      <c r="K58" s="718"/>
      <c r="L58" s="719"/>
    </row>
    <row r="59" spans="1:12" x14ac:dyDescent="0.2">
      <c r="A59" s="816">
        <v>6</v>
      </c>
      <c r="B59" s="728" t="s">
        <v>431</v>
      </c>
      <c r="C59" s="815">
        <v>3</v>
      </c>
      <c r="D59" s="812"/>
      <c r="F59" s="898">
        <v>14</v>
      </c>
      <c r="G59" s="900"/>
      <c r="H59" s="728" t="s">
        <v>596</v>
      </c>
      <c r="I59" s="720">
        <v>1</v>
      </c>
      <c r="J59" s="718"/>
      <c r="K59" s="718"/>
      <c r="L59" s="719"/>
    </row>
    <row r="60" spans="1:12" x14ac:dyDescent="0.2">
      <c r="A60" s="816">
        <v>7</v>
      </c>
      <c r="B60" s="727" t="s">
        <v>593</v>
      </c>
      <c r="C60" s="815">
        <v>3</v>
      </c>
      <c r="D60" s="812"/>
      <c r="F60" s="898">
        <v>15</v>
      </c>
      <c r="G60" s="900"/>
      <c r="H60" s="728" t="s">
        <v>597</v>
      </c>
      <c r="I60" s="720">
        <v>1</v>
      </c>
      <c r="J60" s="718"/>
      <c r="K60" s="718"/>
      <c r="L60" s="719"/>
    </row>
    <row r="61" spans="1:12" x14ac:dyDescent="0.2">
      <c r="A61" s="850">
        <v>8</v>
      </c>
      <c r="B61" s="825" t="s">
        <v>366</v>
      </c>
      <c r="C61" s="824">
        <v>3</v>
      </c>
      <c r="D61" s="822"/>
    </row>
  </sheetData>
  <mergeCells count="1">
    <mergeCell ref="F53:G53"/>
  </mergeCells>
  <conditionalFormatting sqref="B12">
    <cfRule type="duplicateValues" dxfId="174" priority="45"/>
  </conditionalFormatting>
  <conditionalFormatting sqref="H14">
    <cfRule type="duplicateValues" dxfId="173" priority="44"/>
  </conditionalFormatting>
  <conditionalFormatting sqref="B14">
    <cfRule type="duplicateValues" dxfId="172" priority="43"/>
  </conditionalFormatting>
  <conditionalFormatting sqref="H19">
    <cfRule type="duplicateValues" dxfId="171" priority="32"/>
  </conditionalFormatting>
  <conditionalFormatting sqref="D42:F49 D33:F40 D24:F31 D7:F22">
    <cfRule type="cellIs" dxfId="170" priority="42" operator="equal">
      <formula>13</formula>
    </cfRule>
  </conditionalFormatting>
  <conditionalFormatting sqref="B10">
    <cfRule type="duplicateValues" dxfId="169" priority="40"/>
  </conditionalFormatting>
  <conditionalFormatting sqref="H13">
    <cfRule type="duplicateValues" dxfId="168" priority="39"/>
  </conditionalFormatting>
  <conditionalFormatting sqref="B23">
    <cfRule type="duplicateValues" dxfId="167" priority="38"/>
  </conditionalFormatting>
  <conditionalFormatting sqref="H23">
    <cfRule type="duplicateValues" dxfId="166" priority="37"/>
  </conditionalFormatting>
  <conditionalFormatting sqref="D23 F23">
    <cfRule type="cellIs" dxfId="165" priority="36" operator="equal">
      <formula>13</formula>
    </cfRule>
  </conditionalFormatting>
  <conditionalFormatting sqref="E23">
    <cfRule type="cellIs" dxfId="164" priority="35" operator="equal">
      <formula>13</formula>
    </cfRule>
  </conditionalFormatting>
  <conditionalFormatting sqref="H16">
    <cfRule type="duplicateValues" dxfId="163" priority="34"/>
  </conditionalFormatting>
  <conditionalFormatting sqref="B17:B18">
    <cfRule type="duplicateValues" dxfId="162" priority="33"/>
  </conditionalFormatting>
  <conditionalFormatting sqref="B32">
    <cfRule type="duplicateValues" dxfId="161" priority="30"/>
  </conditionalFormatting>
  <conditionalFormatting sqref="H32">
    <cfRule type="duplicateValues" dxfId="160" priority="29"/>
  </conditionalFormatting>
  <conditionalFormatting sqref="D32 F32">
    <cfRule type="cellIs" dxfId="159" priority="28" operator="equal">
      <formula>13</formula>
    </cfRule>
  </conditionalFormatting>
  <conditionalFormatting sqref="E32">
    <cfRule type="cellIs" dxfId="158" priority="27" operator="equal">
      <formula>13</formula>
    </cfRule>
  </conditionalFormatting>
  <conditionalFormatting sqref="H25:H26">
    <cfRule type="duplicateValues" dxfId="157" priority="26"/>
  </conditionalFormatting>
  <conditionalFormatting sqref="H28">
    <cfRule type="duplicateValues" dxfId="156" priority="25"/>
  </conditionalFormatting>
  <conditionalFormatting sqref="B30">
    <cfRule type="duplicateValues" dxfId="155" priority="24"/>
  </conditionalFormatting>
  <conditionalFormatting sqref="B31">
    <cfRule type="duplicateValues" dxfId="154" priority="23"/>
  </conditionalFormatting>
  <conditionalFormatting sqref="D41 F41">
    <cfRule type="cellIs" dxfId="153" priority="21" operator="equal">
      <formula>13</formula>
    </cfRule>
  </conditionalFormatting>
  <conditionalFormatting sqref="E41">
    <cfRule type="cellIs" dxfId="152" priority="20" operator="equal">
      <formula>13</formula>
    </cfRule>
  </conditionalFormatting>
  <conditionalFormatting sqref="B34:B35">
    <cfRule type="duplicateValues" dxfId="151" priority="19"/>
  </conditionalFormatting>
  <conditionalFormatting sqref="H38">
    <cfRule type="duplicateValues" dxfId="150" priority="18"/>
  </conditionalFormatting>
  <conditionalFormatting sqref="H39">
    <cfRule type="duplicateValues" dxfId="149" priority="16"/>
  </conditionalFormatting>
  <conditionalFormatting sqref="H40">
    <cfRule type="duplicateValues" dxfId="148" priority="15"/>
  </conditionalFormatting>
  <conditionalFormatting sqref="H50:H51">
    <cfRule type="duplicateValues" dxfId="147" priority="14"/>
  </conditionalFormatting>
  <conditionalFormatting sqref="D50:D51 F50:F51">
    <cfRule type="cellIs" dxfId="146" priority="13" operator="equal">
      <formula>13</formula>
    </cfRule>
  </conditionalFormatting>
  <conditionalFormatting sqref="E50:E51">
    <cfRule type="cellIs" dxfId="145" priority="12" operator="equal">
      <formula>13</formula>
    </cfRule>
  </conditionalFormatting>
  <conditionalFormatting sqref="B46">
    <cfRule type="duplicateValues" dxfId="144" priority="11"/>
  </conditionalFormatting>
  <conditionalFormatting sqref="H46">
    <cfRule type="duplicateValues" dxfId="143" priority="10"/>
  </conditionalFormatting>
  <conditionalFormatting sqref="B48">
    <cfRule type="duplicateValues" dxfId="142" priority="9"/>
  </conditionalFormatting>
  <conditionalFormatting sqref="H48">
    <cfRule type="duplicateValues" dxfId="141" priority="8"/>
  </conditionalFormatting>
  <conditionalFormatting sqref="B49">
    <cfRule type="duplicateValues" dxfId="140" priority="7"/>
  </conditionalFormatting>
  <conditionalFormatting sqref="H54">
    <cfRule type="duplicateValues" dxfId="139" priority="6"/>
  </conditionalFormatting>
  <conditionalFormatting sqref="B54">
    <cfRule type="duplicateValues" dxfId="138" priority="5" stopIfTrue="1"/>
  </conditionalFormatting>
  <conditionalFormatting sqref="B57">
    <cfRule type="duplicateValues" dxfId="137" priority="4" stopIfTrue="1"/>
  </conditionalFormatting>
  <conditionalFormatting sqref="B58">
    <cfRule type="duplicateValues" dxfId="136" priority="3" stopIfTrue="1"/>
  </conditionalFormatting>
  <conditionalFormatting sqref="B59">
    <cfRule type="duplicateValues" dxfId="135" priority="2"/>
  </conditionalFormatting>
  <conditionalFormatting sqref="H55">
    <cfRule type="duplicateValues" dxfId="134" priority="1"/>
  </conditionalFormatting>
  <conditionalFormatting sqref="H41">
    <cfRule type="duplicateValues" dxfId="133" priority="306"/>
  </conditionalFormatting>
  <pageMargins left="0.78740157480314965" right="0.39370078740157483" top="0.59055118110236227" bottom="0.39370078740157483" header="0.39370078740157483" footer="0"/>
  <pageSetup paperSize="9" fitToHeight="0" orientation="portrait" verticalDpi="1200" r:id="rId1"/>
  <headerFooter>
    <oddHeader>&amp;R&amp;"Arial,Regular"&amp;9Page &amp;P of &amp;N</oddHeader>
  </headerFooter>
  <rowBreaks count="3" manualBreakCount="3">
    <brk id="94" max="16383" man="1"/>
    <brk id="132" max="16383" man="1"/>
    <brk id="16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8"/>
  <sheetViews>
    <sheetView showGridLines="0" showRowColHeaders="0" zoomScaleNormal="100" workbookViewId="0">
      <pane ySplit="2" topLeftCell="A44" activePane="bottomLeft" state="frozen"/>
      <selection activeCell="K30" sqref="K30"/>
      <selection pane="bottomLeft" activeCell="I1" sqref="I1"/>
    </sheetView>
  </sheetViews>
  <sheetFormatPr defaultRowHeight="12.75" x14ac:dyDescent="0.2"/>
  <cols>
    <col min="1" max="1" width="5.5703125" style="152" customWidth="1"/>
    <col min="2" max="2" width="33.7109375" style="152" customWidth="1"/>
    <col min="3" max="3" width="2.28515625" style="152" customWidth="1"/>
    <col min="4" max="4" width="3" style="152" bestFit="1" customWidth="1"/>
    <col min="5" max="5" width="1.5703125" style="152" bestFit="1" customWidth="1"/>
    <col min="6" max="6" width="3" style="152" bestFit="1" customWidth="1"/>
    <col min="7" max="7" width="2.28515625" style="152" customWidth="1"/>
    <col min="8" max="8" width="33.7109375" style="152" customWidth="1"/>
    <col min="9" max="9" width="3" style="152" bestFit="1" customWidth="1"/>
    <col min="10" max="10" width="3" style="152" hidden="1" customWidth="1"/>
    <col min="11" max="11" width="3.5703125" style="152" hidden="1" customWidth="1"/>
    <col min="12" max="12" width="2.7109375" style="152" bestFit="1" customWidth="1"/>
    <col min="13" max="16384" width="9.140625" style="152"/>
  </cols>
  <sheetData>
    <row r="1" spans="1:11" x14ac:dyDescent="0.2">
      <c r="A1" s="151" t="str">
        <f>UPPER((Kalend!E33)&amp;" - "&amp;(Kalend!C33)&amp;" - "&amp;(Kalend!D33))</f>
        <v>V8 - VOKA 4. KV 8. ETAPP - DUO</v>
      </c>
      <c r="D1" s="113" t="str">
        <f>HYPERLINK("#Kalend!I1","Kalender")</f>
        <v>Kalender</v>
      </c>
      <c r="E1" s="113"/>
      <c r="F1" s="113"/>
      <c r="G1" s="2"/>
      <c r="H1" s="113" t="str">
        <f>HYPERLINK("#Reit!G1","Reiting")</f>
        <v>Reiting</v>
      </c>
      <c r="I1" s="2"/>
      <c r="J1" s="2"/>
    </row>
    <row r="2" spans="1:11" x14ac:dyDescent="0.2">
      <c r="A2" s="2" t="str">
        <f>"Toimumisaeg: "&amp;(Kalend!A33)&amp;" kell "&amp;(Kalend!B33)</f>
        <v>Toimumisaeg: K, 16.08.2017 kell 18:00</v>
      </c>
    </row>
    <row r="3" spans="1:11" x14ac:dyDescent="0.2">
      <c r="A3" s="2" t="str">
        <f>"Toimumiskoht: "&amp;(Kalend!F33)</f>
        <v>Toimumiskoht: Voka staadion</v>
      </c>
    </row>
    <row r="4" spans="1:11" x14ac:dyDescent="0.2">
      <c r="A4" s="2" t="str">
        <f>"Korraldaja: "&amp;(Kalend!G33)</f>
        <v>Korraldaja: Johannes Neiland</v>
      </c>
      <c r="H4" s="547" t="s">
        <v>113</v>
      </c>
    </row>
    <row r="5" spans="1:11" x14ac:dyDescent="0.2">
      <c r="A5" s="2"/>
    </row>
    <row r="6" spans="1:11" x14ac:dyDescent="0.2">
      <c r="A6" s="195" t="s">
        <v>114</v>
      </c>
      <c r="B6" s="196"/>
    </row>
    <row r="7" spans="1:11" x14ac:dyDescent="0.2">
      <c r="A7" s="2"/>
      <c r="B7" s="206"/>
      <c r="C7" s="207"/>
      <c r="D7" s="615"/>
      <c r="E7" s="616"/>
      <c r="F7" s="617"/>
      <c r="G7" s="208"/>
      <c r="H7" s="206"/>
      <c r="J7" s="152">
        <v>1</v>
      </c>
      <c r="K7" s="152">
        <v>15</v>
      </c>
    </row>
    <row r="8" spans="1:11" x14ac:dyDescent="0.2">
      <c r="A8" s="2"/>
      <c r="B8" s="197"/>
      <c r="C8" s="207"/>
      <c r="D8" s="615"/>
      <c r="E8" s="616"/>
      <c r="F8" s="617"/>
      <c r="G8" s="208"/>
      <c r="H8" s="206"/>
      <c r="J8" s="152">
        <v>2</v>
      </c>
      <c r="K8" s="152">
        <v>14</v>
      </c>
    </row>
    <row r="9" spans="1:11" x14ac:dyDescent="0.2">
      <c r="A9" s="2"/>
      <c r="B9" s="863"/>
      <c r="C9" s="861"/>
      <c r="D9" s="858"/>
      <c r="E9" s="859"/>
      <c r="F9" s="860"/>
      <c r="G9" s="857"/>
      <c r="H9" s="856"/>
    </row>
    <row r="10" spans="1:11" x14ac:dyDescent="0.2">
      <c r="A10" s="2"/>
      <c r="B10" s="206"/>
      <c r="C10" s="207"/>
      <c r="D10" s="615"/>
      <c r="E10" s="616"/>
      <c r="F10" s="617"/>
      <c r="G10" s="208"/>
      <c r="H10" s="206"/>
      <c r="J10" s="152">
        <v>3</v>
      </c>
      <c r="K10" s="152">
        <v>13</v>
      </c>
    </row>
    <row r="11" spans="1:11" x14ac:dyDescent="0.2">
      <c r="A11" s="2"/>
      <c r="B11" s="197"/>
      <c r="C11" s="207"/>
      <c r="D11" s="615"/>
      <c r="E11" s="616"/>
      <c r="F11" s="617"/>
      <c r="G11" s="208"/>
      <c r="H11" s="206"/>
      <c r="J11" s="152">
        <v>4</v>
      </c>
      <c r="K11" s="152">
        <v>12</v>
      </c>
    </row>
    <row r="12" spans="1:11" x14ac:dyDescent="0.2">
      <c r="A12" s="2"/>
      <c r="B12" s="206"/>
      <c r="C12" s="208"/>
      <c r="D12" s="615"/>
      <c r="E12" s="616"/>
      <c r="F12" s="617"/>
      <c r="G12" s="207"/>
      <c r="H12" s="614"/>
      <c r="J12" s="152">
        <v>5</v>
      </c>
      <c r="K12" s="152">
        <v>11</v>
      </c>
    </row>
    <row r="13" spans="1:11" x14ac:dyDescent="0.2">
      <c r="A13" s="2"/>
      <c r="B13" s="206"/>
      <c r="C13" s="208"/>
      <c r="D13" s="615"/>
      <c r="E13" s="616"/>
      <c r="F13" s="617"/>
      <c r="G13" s="207"/>
      <c r="H13" s="206"/>
      <c r="J13" s="152">
        <v>6</v>
      </c>
      <c r="K13" s="152">
        <v>10</v>
      </c>
    </row>
    <row r="14" spans="1:11" x14ac:dyDescent="0.2">
      <c r="A14" s="2"/>
      <c r="B14" s="206"/>
      <c r="C14" s="207"/>
      <c r="D14" s="615"/>
      <c r="E14" s="616"/>
      <c r="F14" s="617"/>
      <c r="G14" s="207"/>
      <c r="H14" s="206"/>
      <c r="J14" s="152">
        <v>7</v>
      </c>
      <c r="K14" s="152">
        <v>9</v>
      </c>
    </row>
    <row r="15" spans="1:11" x14ac:dyDescent="0.2">
      <c r="A15" s="2"/>
      <c r="B15" s="206"/>
      <c r="C15" s="207"/>
      <c r="D15" s="615"/>
      <c r="E15" s="616"/>
      <c r="F15" s="617"/>
      <c r="G15" s="207"/>
      <c r="H15" s="206"/>
      <c r="J15" s="152">
        <v>8</v>
      </c>
    </row>
    <row r="16" spans="1:11" x14ac:dyDescent="0.2">
      <c r="A16" s="195" t="s">
        <v>115</v>
      </c>
      <c r="B16" s="196"/>
      <c r="C16" s="209"/>
      <c r="D16" s="213"/>
      <c r="E16" s="213"/>
      <c r="F16" s="213"/>
      <c r="G16" s="209"/>
      <c r="H16" s="210"/>
    </row>
    <row r="17" spans="1:8" x14ac:dyDescent="0.2">
      <c r="A17" s="2"/>
      <c r="B17" s="197"/>
      <c r="C17" s="207"/>
      <c r="D17" s="615"/>
      <c r="E17" s="616"/>
      <c r="F17" s="617"/>
      <c r="G17" s="207"/>
      <c r="H17" s="206"/>
    </row>
    <row r="18" spans="1:8" x14ac:dyDescent="0.2">
      <c r="A18" s="2"/>
      <c r="B18" s="197"/>
      <c r="C18" s="207"/>
      <c r="D18" s="615"/>
      <c r="E18" s="616"/>
      <c r="F18" s="617"/>
      <c r="G18" s="207"/>
      <c r="H18" s="206"/>
    </row>
    <row r="19" spans="1:8" x14ac:dyDescent="0.2">
      <c r="A19" s="2"/>
      <c r="B19" s="863"/>
      <c r="C19" s="861"/>
      <c r="D19" s="858"/>
      <c r="E19" s="859"/>
      <c r="F19" s="860"/>
      <c r="G19" s="861"/>
      <c r="H19" s="856"/>
    </row>
    <row r="20" spans="1:8" x14ac:dyDescent="0.2">
      <c r="A20" s="2"/>
      <c r="B20" s="206"/>
      <c r="C20" s="207"/>
      <c r="D20" s="615"/>
      <c r="E20" s="616"/>
      <c r="F20" s="617"/>
      <c r="G20" s="207"/>
      <c r="H20" s="206"/>
    </row>
    <row r="21" spans="1:8" x14ac:dyDescent="0.2">
      <c r="A21" s="2"/>
      <c r="B21" s="206"/>
      <c r="C21" s="208"/>
      <c r="D21" s="615"/>
      <c r="E21" s="616"/>
      <c r="F21" s="617"/>
      <c r="G21" s="207"/>
      <c r="H21" s="206"/>
    </row>
    <row r="22" spans="1:8" x14ac:dyDescent="0.2">
      <c r="A22" s="2"/>
      <c r="B22" s="197"/>
      <c r="C22" s="208"/>
      <c r="D22" s="615"/>
      <c r="E22" s="616"/>
      <c r="F22" s="617"/>
      <c r="G22" s="207"/>
      <c r="H22" s="206"/>
    </row>
    <row r="23" spans="1:8" x14ac:dyDescent="0.2">
      <c r="A23" s="2"/>
      <c r="B23" s="206"/>
      <c r="C23" s="208"/>
      <c r="D23" s="615"/>
      <c r="E23" s="616"/>
      <c r="F23" s="617"/>
      <c r="G23" s="207"/>
      <c r="H23" s="206"/>
    </row>
    <row r="24" spans="1:8" x14ac:dyDescent="0.2">
      <c r="A24" s="2"/>
      <c r="B24" s="614"/>
      <c r="C24" s="207"/>
      <c r="D24" s="615"/>
      <c r="E24" s="616"/>
      <c r="F24" s="617"/>
      <c r="G24" s="207"/>
      <c r="H24" s="206"/>
    </row>
    <row r="25" spans="1:8" x14ac:dyDescent="0.2">
      <c r="A25" s="2"/>
      <c r="B25" s="206"/>
      <c r="C25" s="207"/>
      <c r="D25" s="615"/>
      <c r="E25" s="616"/>
      <c r="F25" s="617"/>
      <c r="G25" s="207"/>
      <c r="H25" s="206"/>
    </row>
    <row r="26" spans="1:8" x14ac:dyDescent="0.2">
      <c r="A26" s="195" t="s">
        <v>116</v>
      </c>
      <c r="B26" s="196"/>
      <c r="C26" s="209"/>
      <c r="D26" s="213"/>
      <c r="E26" s="213"/>
      <c r="F26" s="213"/>
      <c r="G26" s="209"/>
      <c r="H26" s="210"/>
    </row>
    <row r="27" spans="1:8" x14ac:dyDescent="0.2">
      <c r="A27" s="2"/>
      <c r="B27" s="206"/>
      <c r="C27" s="207"/>
      <c r="D27" s="615"/>
      <c r="E27" s="616"/>
      <c r="F27" s="617"/>
      <c r="G27" s="207"/>
      <c r="H27" s="206"/>
    </row>
    <row r="28" spans="1:8" x14ac:dyDescent="0.2">
      <c r="A28" s="2"/>
      <c r="B28" s="856"/>
      <c r="C28" s="861"/>
      <c r="D28" s="858"/>
      <c r="E28" s="859"/>
      <c r="F28" s="860"/>
      <c r="G28" s="861"/>
      <c r="H28" s="856"/>
    </row>
    <row r="29" spans="1:8" x14ac:dyDescent="0.2">
      <c r="A29" s="2"/>
      <c r="B29" s="197"/>
      <c r="C29" s="207"/>
      <c r="D29" s="615"/>
      <c r="E29" s="616"/>
      <c r="F29" s="617"/>
      <c r="G29" s="207"/>
      <c r="H29" s="614"/>
    </row>
    <row r="30" spans="1:8" x14ac:dyDescent="0.2">
      <c r="A30" s="2"/>
      <c r="B30" s="206"/>
      <c r="C30" s="207"/>
      <c r="D30" s="615"/>
      <c r="E30" s="616"/>
      <c r="F30" s="617"/>
      <c r="G30" s="207"/>
      <c r="H30" s="206"/>
    </row>
    <row r="31" spans="1:8" x14ac:dyDescent="0.2">
      <c r="A31" s="2"/>
      <c r="B31" s="206"/>
      <c r="C31" s="207"/>
      <c r="D31" s="615"/>
      <c r="E31" s="616"/>
      <c r="F31" s="617"/>
      <c r="G31" s="207"/>
      <c r="H31" s="206"/>
    </row>
    <row r="32" spans="1:8" x14ac:dyDescent="0.2">
      <c r="A32" s="2"/>
      <c r="B32" s="197"/>
      <c r="C32" s="207"/>
      <c r="D32" s="615"/>
      <c r="E32" s="616"/>
      <c r="F32" s="617"/>
      <c r="G32" s="207"/>
      <c r="H32" s="206"/>
    </row>
    <row r="33" spans="1:8" x14ac:dyDescent="0.2">
      <c r="A33" s="2"/>
      <c r="B33" s="197"/>
      <c r="C33" s="208"/>
      <c r="D33" s="615"/>
      <c r="E33" s="616"/>
      <c r="F33" s="617"/>
      <c r="G33" s="207"/>
      <c r="H33" s="206"/>
    </row>
    <row r="34" spans="1:8" x14ac:dyDescent="0.2">
      <c r="A34" s="2"/>
      <c r="B34" s="206"/>
      <c r="C34" s="207"/>
      <c r="D34" s="615"/>
      <c r="E34" s="616"/>
      <c r="F34" s="617"/>
      <c r="G34" s="207"/>
      <c r="H34" s="206"/>
    </row>
    <row r="35" spans="1:8" x14ac:dyDescent="0.2">
      <c r="A35" s="2"/>
      <c r="B35" s="206"/>
      <c r="C35" s="207"/>
      <c r="D35" s="615"/>
      <c r="E35" s="616"/>
      <c r="F35" s="617"/>
      <c r="G35" s="207"/>
      <c r="H35" s="206"/>
    </row>
    <row r="36" spans="1:8" x14ac:dyDescent="0.2">
      <c r="A36" s="195" t="s">
        <v>117</v>
      </c>
      <c r="B36" s="196"/>
      <c r="C36" s="209"/>
      <c r="D36" s="213"/>
      <c r="E36" s="213"/>
      <c r="F36" s="213"/>
      <c r="G36" s="209"/>
      <c r="H36" s="210"/>
    </row>
    <row r="37" spans="1:8" x14ac:dyDescent="0.2">
      <c r="A37" s="2"/>
      <c r="B37" s="197"/>
      <c r="C37" s="207"/>
      <c r="D37" s="615"/>
      <c r="E37" s="616"/>
      <c r="F37" s="617"/>
      <c r="G37" s="207"/>
      <c r="H37" s="614"/>
    </row>
    <row r="38" spans="1:8" x14ac:dyDescent="0.2">
      <c r="A38" s="2"/>
      <c r="B38" s="863"/>
      <c r="C38" s="861"/>
      <c r="D38" s="858"/>
      <c r="E38" s="859"/>
      <c r="F38" s="860"/>
      <c r="G38" s="861"/>
      <c r="H38" s="862"/>
    </row>
    <row r="39" spans="1:8" x14ac:dyDescent="0.2">
      <c r="A39" s="2"/>
      <c r="B39" s="197"/>
      <c r="C39" s="207"/>
      <c r="D39" s="615"/>
      <c r="E39" s="616"/>
      <c r="F39" s="617"/>
      <c r="G39" s="207"/>
      <c r="H39" s="206"/>
    </row>
    <row r="40" spans="1:8" x14ac:dyDescent="0.2">
      <c r="A40" s="2"/>
      <c r="B40" s="206"/>
      <c r="C40" s="207"/>
      <c r="D40" s="615"/>
      <c r="E40" s="616"/>
      <c r="F40" s="617"/>
      <c r="G40" s="207"/>
      <c r="H40" s="206"/>
    </row>
    <row r="41" spans="1:8" x14ac:dyDescent="0.2">
      <c r="A41" s="2"/>
      <c r="B41" s="206"/>
      <c r="C41" s="207"/>
      <c r="D41" s="615"/>
      <c r="E41" s="616"/>
      <c r="F41" s="617"/>
      <c r="G41" s="207"/>
      <c r="H41" s="206"/>
    </row>
    <row r="42" spans="1:8" x14ac:dyDescent="0.2">
      <c r="A42" s="2"/>
      <c r="B42" s="197"/>
      <c r="C42" s="207"/>
      <c r="D42" s="615"/>
      <c r="E42" s="616"/>
      <c r="F42" s="617"/>
      <c r="G42" s="207"/>
      <c r="H42" s="206"/>
    </row>
    <row r="43" spans="1:8" x14ac:dyDescent="0.2">
      <c r="A43" s="2"/>
      <c r="B43" s="206"/>
      <c r="C43" s="207"/>
      <c r="D43" s="615"/>
      <c r="E43" s="616"/>
      <c r="F43" s="617"/>
      <c r="G43" s="207"/>
      <c r="H43" s="206"/>
    </row>
    <row r="44" spans="1:8" x14ac:dyDescent="0.2">
      <c r="A44" s="2"/>
      <c r="B44" s="206"/>
      <c r="C44" s="207"/>
      <c r="D44" s="615"/>
      <c r="E44" s="616"/>
      <c r="F44" s="617"/>
      <c r="G44" s="207"/>
      <c r="H44" s="206"/>
    </row>
    <row r="45" spans="1:8" x14ac:dyDescent="0.2">
      <c r="A45" s="2"/>
      <c r="B45" s="206"/>
      <c r="C45" s="207"/>
      <c r="D45" s="615"/>
      <c r="E45" s="616"/>
      <c r="F45" s="617"/>
      <c r="G45" s="207"/>
      <c r="H45" s="206"/>
    </row>
    <row r="46" spans="1:8" x14ac:dyDescent="0.2">
      <c r="A46" s="195" t="s">
        <v>118</v>
      </c>
      <c r="B46" s="196"/>
      <c r="C46" s="209"/>
      <c r="D46" s="213"/>
      <c r="E46" s="213"/>
      <c r="F46" s="213"/>
      <c r="G46" s="209"/>
      <c r="H46" s="210"/>
    </row>
    <row r="47" spans="1:8" x14ac:dyDescent="0.2">
      <c r="A47" s="2"/>
      <c r="B47" s="206"/>
      <c r="C47" s="208"/>
      <c r="D47" s="615"/>
      <c r="E47" s="616"/>
      <c r="F47" s="617"/>
      <c r="G47" s="207"/>
      <c r="H47" s="614"/>
    </row>
    <row r="48" spans="1:8" x14ac:dyDescent="0.2">
      <c r="A48" s="2"/>
      <c r="B48" s="856"/>
      <c r="C48" s="857"/>
      <c r="D48" s="858"/>
      <c r="E48" s="859"/>
      <c r="F48" s="860"/>
      <c r="G48" s="861"/>
      <c r="H48" s="862"/>
    </row>
    <row r="49" spans="1:15" x14ac:dyDescent="0.2">
      <c r="A49" s="2"/>
      <c r="B49" s="197"/>
      <c r="C49" s="208"/>
      <c r="D49" s="615"/>
      <c r="E49" s="616"/>
      <c r="F49" s="617"/>
      <c r="G49" s="207"/>
      <c r="H49" s="206"/>
    </row>
    <row r="50" spans="1:15" x14ac:dyDescent="0.2">
      <c r="A50" s="2"/>
      <c r="B50" s="206"/>
      <c r="C50" s="208"/>
      <c r="D50" s="615"/>
      <c r="E50" s="616"/>
      <c r="F50" s="617"/>
      <c r="G50" s="207"/>
      <c r="H50" s="206"/>
    </row>
    <row r="51" spans="1:15" x14ac:dyDescent="0.2">
      <c r="A51" s="2"/>
      <c r="B51" s="206"/>
      <c r="C51" s="208"/>
      <c r="D51" s="615"/>
      <c r="E51" s="616"/>
      <c r="F51" s="617"/>
      <c r="G51" s="207"/>
      <c r="H51" s="206"/>
    </row>
    <row r="52" spans="1:15" x14ac:dyDescent="0.2">
      <c r="A52" s="2"/>
      <c r="B52" s="206"/>
      <c r="C52" s="208"/>
      <c r="D52" s="615"/>
      <c r="E52" s="616"/>
      <c r="F52" s="617"/>
      <c r="G52" s="207"/>
      <c r="H52" s="206"/>
    </row>
    <row r="53" spans="1:15" x14ac:dyDescent="0.2">
      <c r="A53" s="2"/>
      <c r="B53" s="206"/>
      <c r="C53" s="207"/>
      <c r="D53" s="615"/>
      <c r="E53" s="616"/>
      <c r="F53" s="617"/>
      <c r="G53" s="207"/>
      <c r="H53" s="206"/>
    </row>
    <row r="54" spans="1:15" x14ac:dyDescent="0.2">
      <c r="A54" s="2"/>
      <c r="B54" s="206"/>
      <c r="C54" s="208"/>
      <c r="D54" s="615"/>
      <c r="E54" s="616"/>
      <c r="F54" s="617"/>
      <c r="G54" s="207"/>
      <c r="H54" s="206"/>
    </row>
    <row r="55" spans="1:15" x14ac:dyDescent="0.2">
      <c r="A55" s="2"/>
      <c r="B55" s="206"/>
      <c r="C55" s="207"/>
      <c r="D55" s="615"/>
      <c r="E55" s="616"/>
      <c r="F55" s="617"/>
      <c r="G55" s="207"/>
      <c r="H55" s="197"/>
    </row>
    <row r="56" spans="1:15" x14ac:dyDescent="0.2">
      <c r="A56" s="2"/>
      <c r="B56" s="211"/>
      <c r="C56" s="853"/>
      <c r="D56" s="854"/>
      <c r="E56" s="855"/>
      <c r="F56" s="854"/>
      <c r="G56" s="853"/>
      <c r="H56" s="214"/>
    </row>
    <row r="57" spans="1:15" x14ac:dyDescent="0.2">
      <c r="A57" s="2"/>
      <c r="B57" s="211"/>
      <c r="C57" s="211"/>
      <c r="D57" s="212"/>
      <c r="E57" s="212"/>
      <c r="F57" s="212"/>
      <c r="G57" s="212"/>
      <c r="H57" s="213"/>
    </row>
    <row r="58" spans="1:15" x14ac:dyDescent="0.2">
      <c r="A58" s="782" t="s">
        <v>145</v>
      </c>
      <c r="B58" s="810" t="s">
        <v>84</v>
      </c>
      <c r="C58" s="811" t="s">
        <v>77</v>
      </c>
      <c r="D58" s="812"/>
      <c r="F58" s="1454" t="s">
        <v>145</v>
      </c>
      <c r="G58" s="1455"/>
      <c r="H58" s="730" t="s">
        <v>84</v>
      </c>
      <c r="I58" s="721" t="s">
        <v>77</v>
      </c>
      <c r="J58" s="718"/>
      <c r="K58" s="718"/>
      <c r="L58" s="719"/>
      <c r="O58" s="801"/>
    </row>
    <row r="59" spans="1:15" x14ac:dyDescent="0.2">
      <c r="A59" s="813">
        <v>1</v>
      </c>
      <c r="B59" s="203" t="s">
        <v>363</v>
      </c>
      <c r="C59" s="815">
        <v>5</v>
      </c>
      <c r="D59" s="812"/>
      <c r="F59" s="898">
        <v>9</v>
      </c>
      <c r="G59" s="923"/>
      <c r="H59" s="727" t="s">
        <v>613</v>
      </c>
      <c r="I59" s="720">
        <v>2</v>
      </c>
      <c r="J59" s="718"/>
      <c r="K59" s="718"/>
      <c r="L59" s="719"/>
    </row>
    <row r="60" spans="1:15" x14ac:dyDescent="0.2">
      <c r="A60" s="816">
        <v>2</v>
      </c>
      <c r="B60" s="817" t="s">
        <v>335</v>
      </c>
      <c r="C60" s="815">
        <v>4</v>
      </c>
      <c r="D60" s="812"/>
      <c r="F60" s="898">
        <v>10</v>
      </c>
      <c r="G60" s="923"/>
      <c r="H60" s="197" t="s">
        <v>518</v>
      </c>
      <c r="I60" s="720">
        <v>2</v>
      </c>
      <c r="J60" s="718"/>
      <c r="K60" s="718"/>
      <c r="L60" s="719"/>
    </row>
    <row r="61" spans="1:15" x14ac:dyDescent="0.2">
      <c r="A61" s="816">
        <v>3</v>
      </c>
      <c r="B61" s="205" t="s">
        <v>610</v>
      </c>
      <c r="C61" s="819">
        <v>4</v>
      </c>
      <c r="D61" s="812"/>
      <c r="F61" s="898">
        <v>11</v>
      </c>
      <c r="G61" s="923"/>
      <c r="H61" s="206" t="s">
        <v>593</v>
      </c>
      <c r="I61" s="720">
        <v>2</v>
      </c>
      <c r="J61" s="718"/>
      <c r="K61" s="718"/>
      <c r="L61" s="719"/>
    </row>
    <row r="62" spans="1:15" x14ac:dyDescent="0.2">
      <c r="A62" s="816">
        <v>3</v>
      </c>
      <c r="B62" s="205" t="s">
        <v>367</v>
      </c>
      <c r="C62" s="815">
        <v>4</v>
      </c>
      <c r="D62" s="812"/>
      <c r="F62" s="898" t="s">
        <v>612</v>
      </c>
      <c r="G62" s="923"/>
      <c r="H62" s="197" t="s">
        <v>333</v>
      </c>
      <c r="I62" s="720">
        <v>2</v>
      </c>
      <c r="J62" s="718"/>
      <c r="K62" s="718"/>
      <c r="L62" s="719"/>
    </row>
    <row r="63" spans="1:15" x14ac:dyDescent="0.2">
      <c r="A63" s="896" t="s">
        <v>611</v>
      </c>
      <c r="B63" s="184" t="s">
        <v>431</v>
      </c>
      <c r="C63" s="815">
        <v>3</v>
      </c>
      <c r="D63" s="812"/>
      <c r="F63" s="898" t="s">
        <v>612</v>
      </c>
      <c r="G63" s="923"/>
      <c r="H63" s="197" t="s">
        <v>405</v>
      </c>
      <c r="I63" s="720">
        <v>2</v>
      </c>
      <c r="J63" s="718"/>
      <c r="K63" s="718"/>
      <c r="L63" s="719"/>
      <c r="O63" s="801"/>
    </row>
    <row r="64" spans="1:15" x14ac:dyDescent="0.2">
      <c r="A64" s="896" t="s">
        <v>611</v>
      </c>
      <c r="B64" s="728" t="s">
        <v>338</v>
      </c>
      <c r="C64" s="815">
        <v>3</v>
      </c>
      <c r="D64" s="812"/>
      <c r="F64" s="898" t="s">
        <v>612</v>
      </c>
      <c r="G64" s="923"/>
      <c r="H64" s="206" t="s">
        <v>631</v>
      </c>
      <c r="I64" s="720">
        <v>2</v>
      </c>
      <c r="J64" s="718"/>
      <c r="K64" s="718"/>
      <c r="L64" s="719"/>
      <c r="O64" s="801"/>
    </row>
    <row r="65" spans="1:12" x14ac:dyDescent="0.2">
      <c r="A65" s="896" t="s">
        <v>611</v>
      </c>
      <c r="B65" s="727" t="s">
        <v>540</v>
      </c>
      <c r="C65" s="815">
        <v>3</v>
      </c>
      <c r="D65" s="812"/>
      <c r="F65" s="898">
        <v>15</v>
      </c>
      <c r="G65" s="923"/>
      <c r="H65" s="206" t="s">
        <v>337</v>
      </c>
      <c r="I65" s="720">
        <v>1</v>
      </c>
      <c r="J65" s="718"/>
      <c r="K65" s="718"/>
      <c r="L65" s="719"/>
    </row>
    <row r="66" spans="1:12" x14ac:dyDescent="0.2">
      <c r="A66" s="896" t="s">
        <v>611</v>
      </c>
      <c r="B66" s="825" t="s">
        <v>334</v>
      </c>
      <c r="C66" s="824">
        <v>3</v>
      </c>
      <c r="D66" s="822"/>
      <c r="F66" s="898">
        <v>16</v>
      </c>
      <c r="G66" s="923"/>
      <c r="H66" s="206" t="s">
        <v>516</v>
      </c>
      <c r="I66" s="720">
        <v>1</v>
      </c>
      <c r="J66" s="718"/>
      <c r="K66" s="718"/>
      <c r="L66" s="719"/>
    </row>
    <row r="67" spans="1:12" x14ac:dyDescent="0.2">
      <c r="F67" s="898">
        <v>17</v>
      </c>
      <c r="G67" s="923"/>
      <c r="H67" s="200" t="s">
        <v>435</v>
      </c>
      <c r="I67" s="720">
        <v>1</v>
      </c>
      <c r="J67" s="718"/>
      <c r="K67" s="718"/>
      <c r="L67" s="719"/>
    </row>
    <row r="68" spans="1:12" x14ac:dyDescent="0.2">
      <c r="F68" s="898">
        <v>18</v>
      </c>
      <c r="G68" s="923"/>
      <c r="H68" s="728" t="s">
        <v>596</v>
      </c>
      <c r="I68" s="720">
        <v>1</v>
      </c>
      <c r="J68" s="718"/>
      <c r="K68" s="718"/>
      <c r="L68" s="719"/>
    </row>
  </sheetData>
  <mergeCells count="1">
    <mergeCell ref="F58:G58"/>
  </mergeCells>
  <conditionalFormatting sqref="B11">
    <cfRule type="duplicateValues" dxfId="132" priority="47"/>
  </conditionalFormatting>
  <conditionalFormatting sqref="B13">
    <cfRule type="duplicateValues" dxfId="131" priority="46"/>
  </conditionalFormatting>
  <conditionalFormatting sqref="H15">
    <cfRule type="duplicateValues" dxfId="130" priority="45"/>
  </conditionalFormatting>
  <conditionalFormatting sqref="B15">
    <cfRule type="duplicateValues" dxfId="129" priority="44"/>
  </conditionalFormatting>
  <conditionalFormatting sqref="H20">
    <cfRule type="duplicateValues" dxfId="128" priority="33"/>
  </conditionalFormatting>
  <conditionalFormatting sqref="D7:D24 F7:F24 F26:F34 D26:D34 D36:D44 F36:F44 F46:F54 D46:D54">
    <cfRule type="cellIs" dxfId="127" priority="43" operator="equal">
      <formula>13</formula>
    </cfRule>
  </conditionalFormatting>
  <conditionalFormatting sqref="E7:E24 E26:E34 E36:E44 E46:E54">
    <cfRule type="cellIs" dxfId="126" priority="42" operator="equal">
      <formula>13</formula>
    </cfRule>
  </conditionalFormatting>
  <conditionalFormatting sqref="B10">
    <cfRule type="duplicateValues" dxfId="125" priority="41"/>
  </conditionalFormatting>
  <conditionalFormatting sqref="H14">
    <cfRule type="duplicateValues" dxfId="124" priority="40"/>
  </conditionalFormatting>
  <conditionalFormatting sqref="B25">
    <cfRule type="duplicateValues" dxfId="123" priority="39"/>
  </conditionalFormatting>
  <conditionalFormatting sqref="H25">
    <cfRule type="duplicateValues" dxfId="122" priority="38"/>
  </conditionalFormatting>
  <conditionalFormatting sqref="D25 F25">
    <cfRule type="cellIs" dxfId="121" priority="37" operator="equal">
      <formula>13</formula>
    </cfRule>
  </conditionalFormatting>
  <conditionalFormatting sqref="E25">
    <cfRule type="cellIs" dxfId="120" priority="36" operator="equal">
      <formula>13</formula>
    </cfRule>
  </conditionalFormatting>
  <conditionalFormatting sqref="H17">
    <cfRule type="duplicateValues" dxfId="119" priority="35"/>
  </conditionalFormatting>
  <conditionalFormatting sqref="B18:B19">
    <cfRule type="duplicateValues" dxfId="118" priority="34"/>
  </conditionalFormatting>
  <conditionalFormatting sqref="B22">
    <cfRule type="duplicateValues" dxfId="117" priority="32"/>
  </conditionalFormatting>
  <conditionalFormatting sqref="B35">
    <cfRule type="duplicateValues" dxfId="116" priority="31"/>
  </conditionalFormatting>
  <conditionalFormatting sqref="H35">
    <cfRule type="duplicateValues" dxfId="115" priority="30"/>
  </conditionalFormatting>
  <conditionalFormatting sqref="D35 F35">
    <cfRule type="cellIs" dxfId="114" priority="29" operator="equal">
      <formula>13</formula>
    </cfRule>
  </conditionalFormatting>
  <conditionalFormatting sqref="E35">
    <cfRule type="cellIs" dxfId="113" priority="28" operator="equal">
      <formula>13</formula>
    </cfRule>
  </conditionalFormatting>
  <conditionalFormatting sqref="H27:H28">
    <cfRule type="duplicateValues" dxfId="112" priority="27"/>
  </conditionalFormatting>
  <conditionalFormatting sqref="H30">
    <cfRule type="duplicateValues" dxfId="111" priority="26"/>
  </conditionalFormatting>
  <conditionalFormatting sqref="B33">
    <cfRule type="duplicateValues" dxfId="110" priority="25"/>
  </conditionalFormatting>
  <conditionalFormatting sqref="B34">
    <cfRule type="duplicateValues" dxfId="109" priority="24"/>
  </conditionalFormatting>
  <conditionalFormatting sqref="D45 F45">
    <cfRule type="cellIs" dxfId="108" priority="22" operator="equal">
      <formula>13</formula>
    </cfRule>
  </conditionalFormatting>
  <conditionalFormatting sqref="E45">
    <cfRule type="cellIs" dxfId="107" priority="21" operator="equal">
      <formula>13</formula>
    </cfRule>
  </conditionalFormatting>
  <conditionalFormatting sqref="B37:B38">
    <cfRule type="duplicateValues" dxfId="106" priority="20"/>
  </conditionalFormatting>
  <conditionalFormatting sqref="H41">
    <cfRule type="duplicateValues" dxfId="105" priority="19"/>
  </conditionalFormatting>
  <conditionalFormatting sqref="H42">
    <cfRule type="duplicateValues" dxfId="104" priority="18"/>
  </conditionalFormatting>
  <conditionalFormatting sqref="H43">
    <cfRule type="duplicateValues" dxfId="103" priority="17"/>
  </conditionalFormatting>
  <conditionalFormatting sqref="H44">
    <cfRule type="duplicateValues" dxfId="102" priority="16"/>
  </conditionalFormatting>
  <conditionalFormatting sqref="H55:H56">
    <cfRule type="duplicateValues" dxfId="101" priority="15"/>
  </conditionalFormatting>
  <conditionalFormatting sqref="D55:D56 F55:F56">
    <cfRule type="cellIs" dxfId="100" priority="14" operator="equal">
      <formula>13</formula>
    </cfRule>
  </conditionalFormatting>
  <conditionalFormatting sqref="E55:E56">
    <cfRule type="cellIs" dxfId="99" priority="13" operator="equal">
      <formula>13</formula>
    </cfRule>
  </conditionalFormatting>
  <conditionalFormatting sqref="B50">
    <cfRule type="duplicateValues" dxfId="98" priority="12"/>
  </conditionalFormatting>
  <conditionalFormatting sqref="H50">
    <cfRule type="duplicateValues" dxfId="97" priority="11"/>
  </conditionalFormatting>
  <conditionalFormatting sqref="B53">
    <cfRule type="duplicateValues" dxfId="96" priority="10"/>
  </conditionalFormatting>
  <conditionalFormatting sqref="H53">
    <cfRule type="duplicateValues" dxfId="95" priority="9"/>
  </conditionalFormatting>
  <conditionalFormatting sqref="B54">
    <cfRule type="duplicateValues" dxfId="94" priority="8"/>
  </conditionalFormatting>
  <conditionalFormatting sqref="H59">
    <cfRule type="duplicateValues" dxfId="93" priority="7"/>
  </conditionalFormatting>
  <conditionalFormatting sqref="B59">
    <cfRule type="duplicateValues" dxfId="92" priority="6" stopIfTrue="1"/>
  </conditionalFormatting>
  <conditionalFormatting sqref="B63">
    <cfRule type="duplicateValues" dxfId="91" priority="4" stopIfTrue="1"/>
  </conditionalFormatting>
  <conditionalFormatting sqref="B64">
    <cfRule type="duplicateValues" dxfId="90" priority="3"/>
  </conditionalFormatting>
  <conditionalFormatting sqref="H63">
    <cfRule type="duplicateValues" dxfId="89" priority="1"/>
  </conditionalFormatting>
  <conditionalFormatting sqref="H45">
    <cfRule type="duplicateValues" dxfId="88" priority="307"/>
  </conditionalFormatting>
  <pageMargins left="0.78740157480314965" right="0.39370078740157483" top="0.59055118110236227" bottom="0.39370078740157483" header="0.39370078740157483" footer="0"/>
  <pageSetup paperSize="9" fitToHeight="0" orientation="portrait" verticalDpi="1200" r:id="rId1"/>
  <headerFooter>
    <oddHeader>&amp;R&amp;"Arial,Regular"&amp;9Page &amp;P of &amp;N</oddHeader>
  </headerFooter>
  <rowBreaks count="4" manualBreakCount="4">
    <brk id="55" max="16383" man="1"/>
    <brk id="99" max="16383" man="1"/>
    <brk id="137" max="16383" man="1"/>
    <brk id="1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61"/>
  <sheetViews>
    <sheetView showGridLines="0" showRowColHeaders="0" zoomScaleNormal="100" workbookViewId="0">
      <pane ySplit="2" topLeftCell="A40" activePane="bottomLeft" state="frozen"/>
      <selection activeCell="K30" sqref="K30"/>
      <selection pane="bottomLeft" activeCell="I1" sqref="I1"/>
    </sheetView>
  </sheetViews>
  <sheetFormatPr defaultRowHeight="12.75" x14ac:dyDescent="0.2"/>
  <cols>
    <col min="1" max="1" width="5.5703125" style="152" customWidth="1"/>
    <col min="2" max="2" width="33.7109375" style="152" customWidth="1"/>
    <col min="3" max="3" width="2.28515625" style="152" customWidth="1"/>
    <col min="4" max="4" width="3" style="152" bestFit="1" customWidth="1"/>
    <col min="5" max="5" width="1.5703125" style="152" bestFit="1" customWidth="1"/>
    <col min="6" max="6" width="3" style="152" bestFit="1" customWidth="1"/>
    <col min="7" max="7" width="2.28515625" style="152" customWidth="1"/>
    <col min="8" max="8" width="33.7109375" style="152" customWidth="1"/>
    <col min="9" max="9" width="3" style="152" bestFit="1" customWidth="1"/>
    <col min="10" max="10" width="3" style="152" hidden="1" customWidth="1"/>
    <col min="11" max="11" width="3.5703125" style="152" hidden="1" customWidth="1"/>
    <col min="12" max="12" width="2.7109375" style="152" bestFit="1" customWidth="1"/>
    <col min="13" max="16384" width="9.140625" style="152"/>
  </cols>
  <sheetData>
    <row r="1" spans="1:11" x14ac:dyDescent="0.2">
      <c r="A1" s="151" t="str">
        <f>UPPER((Kalend!E39)&amp;" - "&amp;(Kalend!C39)&amp;" - "&amp;(Kalend!D39))</f>
        <v>V9 - VOKA 4. KV 9. ETAPP - DUO</v>
      </c>
      <c r="D1" s="113" t="str">
        <f>HYPERLINK("#Kalend!I1","Kalender")</f>
        <v>Kalender</v>
      </c>
      <c r="E1" s="113"/>
      <c r="F1" s="113"/>
      <c r="G1" s="2"/>
      <c r="H1" s="113" t="str">
        <f>HYPERLINK("#Reit!G1","Reiting")</f>
        <v>Reiting</v>
      </c>
      <c r="I1" s="2"/>
      <c r="J1" s="2"/>
    </row>
    <row r="2" spans="1:11" x14ac:dyDescent="0.2">
      <c r="A2" s="2" t="str">
        <f>"Toimumisaeg: "&amp;(Kalend!A39)&amp;" kell "&amp;(Kalend!B39)</f>
        <v>Toimumisaeg: K, 06.09.2017 kell 18:00</v>
      </c>
    </row>
    <row r="3" spans="1:11" x14ac:dyDescent="0.2">
      <c r="A3" s="2" t="str">
        <f>"Toimumiskoht: "&amp;(Kalend!F39)</f>
        <v>Toimumiskoht: Voka staadion</v>
      </c>
    </row>
    <row r="4" spans="1:11" x14ac:dyDescent="0.2">
      <c r="A4" s="2" t="str">
        <f>"Korraldaja: "&amp;(Kalend!G39)</f>
        <v>Korraldaja: Johannes Neiland</v>
      </c>
      <c r="H4" s="547" t="s">
        <v>113</v>
      </c>
    </row>
    <row r="5" spans="1:11" x14ac:dyDescent="0.2">
      <c r="A5" s="2"/>
    </row>
    <row r="6" spans="1:11" x14ac:dyDescent="0.2">
      <c r="A6" s="195" t="s">
        <v>114</v>
      </c>
      <c r="B6" s="196"/>
    </row>
    <row r="7" spans="1:11" x14ac:dyDescent="0.2">
      <c r="A7" s="2"/>
      <c r="B7" s="206"/>
      <c r="C7" s="207"/>
      <c r="D7" s="615"/>
      <c r="E7" s="616"/>
      <c r="F7" s="617"/>
      <c r="G7" s="208"/>
      <c r="H7" s="206"/>
      <c r="J7" s="152">
        <v>1</v>
      </c>
      <c r="K7" s="152">
        <v>15</v>
      </c>
    </row>
    <row r="8" spans="1:11" x14ac:dyDescent="0.2">
      <c r="A8" s="2"/>
      <c r="B8" s="197"/>
      <c r="C8" s="207"/>
      <c r="D8" s="615"/>
      <c r="E8" s="616"/>
      <c r="F8" s="617"/>
      <c r="G8" s="208"/>
      <c r="H8" s="206"/>
      <c r="J8" s="152">
        <v>2</v>
      </c>
      <c r="K8" s="152">
        <v>14</v>
      </c>
    </row>
    <row r="9" spans="1:11" x14ac:dyDescent="0.2">
      <c r="A9" s="2"/>
      <c r="B9" s="863"/>
      <c r="C9" s="861"/>
      <c r="D9" s="858"/>
      <c r="E9" s="859"/>
      <c r="F9" s="860"/>
      <c r="G9" s="857"/>
      <c r="H9" s="856"/>
    </row>
    <row r="10" spans="1:11" x14ac:dyDescent="0.2">
      <c r="A10" s="2"/>
      <c r="B10" s="206"/>
      <c r="C10" s="207"/>
      <c r="D10" s="615"/>
      <c r="E10" s="616"/>
      <c r="F10" s="617"/>
      <c r="G10" s="208"/>
      <c r="H10" s="206"/>
      <c r="J10" s="152">
        <v>3</v>
      </c>
      <c r="K10" s="152">
        <v>13</v>
      </c>
    </row>
    <row r="11" spans="1:11" x14ac:dyDescent="0.2">
      <c r="A11" s="2"/>
      <c r="B11" s="206"/>
      <c r="C11" s="208"/>
      <c r="D11" s="615"/>
      <c r="E11" s="616"/>
      <c r="F11" s="617"/>
      <c r="G11" s="207"/>
      <c r="H11" s="614"/>
      <c r="J11" s="152">
        <v>5</v>
      </c>
      <c r="K11" s="152">
        <v>11</v>
      </c>
    </row>
    <row r="12" spans="1:11" x14ac:dyDescent="0.2">
      <c r="A12" s="2"/>
      <c r="B12" s="206"/>
      <c r="C12" s="208"/>
      <c r="D12" s="615"/>
      <c r="E12" s="616"/>
      <c r="F12" s="617"/>
      <c r="G12" s="207"/>
      <c r="H12" s="206"/>
      <c r="J12" s="152">
        <v>6</v>
      </c>
      <c r="K12" s="152">
        <v>10</v>
      </c>
    </row>
    <row r="13" spans="1:11" x14ac:dyDescent="0.2">
      <c r="A13" s="2"/>
      <c r="B13" s="206"/>
      <c r="C13" s="207"/>
      <c r="D13" s="615"/>
      <c r="E13" s="616"/>
      <c r="F13" s="617"/>
      <c r="G13" s="207"/>
      <c r="H13" s="206"/>
      <c r="J13" s="152">
        <v>7</v>
      </c>
      <c r="K13" s="152">
        <v>9</v>
      </c>
    </row>
    <row r="14" spans="1:11" x14ac:dyDescent="0.2">
      <c r="A14" s="2"/>
      <c r="B14" s="206"/>
      <c r="C14" s="207"/>
      <c r="D14" s="615"/>
      <c r="E14" s="616"/>
      <c r="F14" s="617"/>
      <c r="G14" s="207"/>
      <c r="H14" s="206"/>
      <c r="J14" s="152">
        <v>8</v>
      </c>
    </row>
    <row r="15" spans="1:11" x14ac:dyDescent="0.2">
      <c r="A15" s="195" t="s">
        <v>115</v>
      </c>
      <c r="B15" s="196"/>
      <c r="C15" s="209"/>
      <c r="D15" s="213"/>
      <c r="E15" s="213"/>
      <c r="F15" s="213"/>
      <c r="G15" s="209"/>
      <c r="H15" s="210"/>
    </row>
    <row r="16" spans="1:11" x14ac:dyDescent="0.2">
      <c r="A16" s="2"/>
      <c r="B16" s="197"/>
      <c r="C16" s="207"/>
      <c r="D16" s="615"/>
      <c r="E16" s="616"/>
      <c r="F16" s="617"/>
      <c r="G16" s="207"/>
      <c r="H16" s="206"/>
    </row>
    <row r="17" spans="1:8" x14ac:dyDescent="0.2">
      <c r="A17" s="2"/>
      <c r="B17" s="197"/>
      <c r="C17" s="207"/>
      <c r="D17" s="615"/>
      <c r="E17" s="616"/>
      <c r="F17" s="617"/>
      <c r="G17" s="207"/>
      <c r="H17" s="206"/>
    </row>
    <row r="18" spans="1:8" x14ac:dyDescent="0.2">
      <c r="A18" s="2"/>
      <c r="B18" s="863"/>
      <c r="C18" s="861"/>
      <c r="D18" s="858"/>
      <c r="E18" s="859"/>
      <c r="F18" s="860"/>
      <c r="G18" s="861"/>
      <c r="H18" s="856"/>
    </row>
    <row r="19" spans="1:8" x14ac:dyDescent="0.2">
      <c r="A19" s="2"/>
      <c r="B19" s="206"/>
      <c r="C19" s="207"/>
      <c r="D19" s="615"/>
      <c r="E19" s="616"/>
      <c r="F19" s="617"/>
      <c r="G19" s="207"/>
      <c r="H19" s="206"/>
    </row>
    <row r="20" spans="1:8" x14ac:dyDescent="0.2">
      <c r="A20" s="2"/>
      <c r="B20" s="197"/>
      <c r="C20" s="208"/>
      <c r="D20" s="615"/>
      <c r="E20" s="616"/>
      <c r="F20" s="617"/>
      <c r="G20" s="207"/>
      <c r="H20" s="206"/>
    </row>
    <row r="21" spans="1:8" x14ac:dyDescent="0.2">
      <c r="A21" s="2"/>
      <c r="B21" s="206"/>
      <c r="C21" s="208"/>
      <c r="D21" s="615"/>
      <c r="E21" s="616"/>
      <c r="F21" s="617"/>
      <c r="G21" s="207"/>
      <c r="H21" s="206"/>
    </row>
    <row r="22" spans="1:8" x14ac:dyDescent="0.2">
      <c r="A22" s="2"/>
      <c r="B22" s="614"/>
      <c r="C22" s="207"/>
      <c r="D22" s="615"/>
      <c r="E22" s="616"/>
      <c r="F22" s="617"/>
      <c r="G22" s="207"/>
      <c r="H22" s="206"/>
    </row>
    <row r="23" spans="1:8" x14ac:dyDescent="0.2">
      <c r="A23" s="2"/>
      <c r="B23" s="206"/>
      <c r="C23" s="207"/>
      <c r="D23" s="615"/>
      <c r="E23" s="616"/>
      <c r="F23" s="617"/>
      <c r="G23" s="207"/>
      <c r="H23" s="206"/>
    </row>
    <row r="24" spans="1:8" x14ac:dyDescent="0.2">
      <c r="A24" s="195" t="s">
        <v>116</v>
      </c>
      <c r="B24" s="196"/>
      <c r="C24" s="209"/>
      <c r="D24" s="213"/>
      <c r="E24" s="213"/>
      <c r="F24" s="213"/>
      <c r="G24" s="209"/>
      <c r="H24" s="210"/>
    </row>
    <row r="25" spans="1:8" x14ac:dyDescent="0.2">
      <c r="A25" s="2"/>
      <c r="B25" s="206"/>
      <c r="C25" s="207"/>
      <c r="D25" s="615"/>
      <c r="E25" s="616"/>
      <c r="F25" s="617"/>
      <c r="G25" s="207"/>
      <c r="H25" s="206"/>
    </row>
    <row r="26" spans="1:8" x14ac:dyDescent="0.2">
      <c r="A26" s="2"/>
      <c r="B26" s="856"/>
      <c r="C26" s="861"/>
      <c r="D26" s="858"/>
      <c r="E26" s="859"/>
      <c r="F26" s="860"/>
      <c r="G26" s="861"/>
      <c r="H26" s="856"/>
    </row>
    <row r="27" spans="1:8" x14ac:dyDescent="0.2">
      <c r="A27" s="2"/>
      <c r="B27" s="197"/>
      <c r="C27" s="207"/>
      <c r="D27" s="615"/>
      <c r="E27" s="616"/>
      <c r="F27" s="617"/>
      <c r="G27" s="207"/>
      <c r="H27" s="614"/>
    </row>
    <row r="28" spans="1:8" x14ac:dyDescent="0.2">
      <c r="A28" s="2"/>
      <c r="B28" s="206"/>
      <c r="C28" s="207"/>
      <c r="D28" s="615"/>
      <c r="E28" s="616"/>
      <c r="F28" s="617"/>
      <c r="G28" s="207"/>
      <c r="H28" s="206"/>
    </row>
    <row r="29" spans="1:8" x14ac:dyDescent="0.2">
      <c r="A29" s="2"/>
      <c r="B29" s="197"/>
      <c r="C29" s="207"/>
      <c r="D29" s="615"/>
      <c r="E29" s="616"/>
      <c r="F29" s="617"/>
      <c r="G29" s="207"/>
      <c r="H29" s="206"/>
    </row>
    <row r="30" spans="1:8" x14ac:dyDescent="0.2">
      <c r="A30" s="2"/>
      <c r="B30" s="197"/>
      <c r="C30" s="208"/>
      <c r="D30" s="615"/>
      <c r="E30" s="616"/>
      <c r="F30" s="617"/>
      <c r="G30" s="207"/>
      <c r="H30" s="206"/>
    </row>
    <row r="31" spans="1:8" x14ac:dyDescent="0.2">
      <c r="A31" s="2"/>
      <c r="B31" s="206"/>
      <c r="C31" s="207"/>
      <c r="D31" s="615"/>
      <c r="E31" s="616"/>
      <c r="F31" s="617"/>
      <c r="G31" s="207"/>
      <c r="H31" s="206"/>
    </row>
    <row r="32" spans="1:8" x14ac:dyDescent="0.2">
      <c r="A32" s="2"/>
      <c r="B32" s="206"/>
      <c r="C32" s="207"/>
      <c r="D32" s="615"/>
      <c r="E32" s="616"/>
      <c r="F32" s="617"/>
      <c r="G32" s="207"/>
      <c r="H32" s="206"/>
    </row>
    <row r="33" spans="1:8" x14ac:dyDescent="0.2">
      <c r="A33" s="195" t="s">
        <v>117</v>
      </c>
      <c r="B33" s="196"/>
      <c r="C33" s="209"/>
      <c r="D33" s="213"/>
      <c r="E33" s="213"/>
      <c r="F33" s="213"/>
      <c r="G33" s="209"/>
      <c r="H33" s="210"/>
    </row>
    <row r="34" spans="1:8" x14ac:dyDescent="0.2">
      <c r="A34" s="2"/>
      <c r="B34" s="197"/>
      <c r="C34" s="207"/>
      <c r="D34" s="615"/>
      <c r="E34" s="616"/>
      <c r="F34" s="617"/>
      <c r="G34" s="207"/>
      <c r="H34" s="614"/>
    </row>
    <row r="35" spans="1:8" x14ac:dyDescent="0.2">
      <c r="A35" s="2"/>
      <c r="B35" s="863"/>
      <c r="C35" s="861"/>
      <c r="D35" s="858"/>
      <c r="E35" s="859"/>
      <c r="F35" s="860"/>
      <c r="G35" s="861"/>
      <c r="H35" s="862"/>
    </row>
    <row r="36" spans="1:8" x14ac:dyDescent="0.2">
      <c r="A36" s="2"/>
      <c r="B36" s="206"/>
      <c r="C36" s="207"/>
      <c r="D36" s="615"/>
      <c r="E36" s="616"/>
      <c r="F36" s="617"/>
      <c r="G36" s="207"/>
      <c r="H36" s="206"/>
    </row>
    <row r="37" spans="1:8" x14ac:dyDescent="0.2">
      <c r="A37" s="2"/>
      <c r="B37" s="206"/>
      <c r="C37" s="207"/>
      <c r="D37" s="615"/>
      <c r="E37" s="616"/>
      <c r="F37" s="617"/>
      <c r="G37" s="207"/>
      <c r="H37" s="206"/>
    </row>
    <row r="38" spans="1:8" x14ac:dyDescent="0.2">
      <c r="A38" s="2"/>
      <c r="B38" s="197"/>
      <c r="C38" s="207"/>
      <c r="D38" s="615"/>
      <c r="E38" s="616"/>
      <c r="F38" s="617"/>
      <c r="G38" s="207"/>
      <c r="H38" s="206"/>
    </row>
    <row r="39" spans="1:8" x14ac:dyDescent="0.2">
      <c r="A39" s="2"/>
      <c r="B39" s="206"/>
      <c r="C39" s="207"/>
      <c r="D39" s="615"/>
      <c r="E39" s="616"/>
      <c r="F39" s="617"/>
      <c r="G39" s="207"/>
      <c r="H39" s="206"/>
    </row>
    <row r="40" spans="1:8" x14ac:dyDescent="0.2">
      <c r="A40" s="2"/>
      <c r="B40" s="206"/>
      <c r="C40" s="207"/>
      <c r="D40" s="615"/>
      <c r="E40" s="616"/>
      <c r="F40" s="617"/>
      <c r="G40" s="207"/>
      <c r="H40" s="206"/>
    </row>
    <row r="41" spans="1:8" x14ac:dyDescent="0.2">
      <c r="A41" s="2"/>
      <c r="B41" s="206"/>
      <c r="C41" s="207"/>
      <c r="D41" s="615"/>
      <c r="E41" s="616"/>
      <c r="F41" s="617"/>
      <c r="G41" s="207"/>
      <c r="H41" s="206"/>
    </row>
    <row r="42" spans="1:8" x14ac:dyDescent="0.2">
      <c r="A42" s="195" t="s">
        <v>118</v>
      </c>
      <c r="B42" s="196"/>
      <c r="C42" s="209"/>
      <c r="D42" s="213"/>
      <c r="E42" s="213"/>
      <c r="F42" s="213"/>
      <c r="G42" s="209"/>
      <c r="H42" s="210"/>
    </row>
    <row r="43" spans="1:8" x14ac:dyDescent="0.2">
      <c r="A43" s="2"/>
      <c r="B43" s="206"/>
      <c r="C43" s="208"/>
      <c r="D43" s="615"/>
      <c r="E43" s="616"/>
      <c r="F43" s="617"/>
      <c r="G43" s="207"/>
      <c r="H43" s="614"/>
    </row>
    <row r="44" spans="1:8" x14ac:dyDescent="0.2">
      <c r="A44" s="2"/>
      <c r="B44" s="856"/>
      <c r="C44" s="857"/>
      <c r="D44" s="858"/>
      <c r="E44" s="859"/>
      <c r="F44" s="860"/>
      <c r="G44" s="861"/>
      <c r="H44" s="862"/>
    </row>
    <row r="45" spans="1:8" x14ac:dyDescent="0.2">
      <c r="A45" s="2"/>
      <c r="B45" s="197"/>
      <c r="C45" s="208"/>
      <c r="D45" s="615"/>
      <c r="E45" s="616"/>
      <c r="F45" s="617"/>
      <c r="G45" s="207"/>
      <c r="H45" s="206"/>
    </row>
    <row r="46" spans="1:8" x14ac:dyDescent="0.2">
      <c r="A46" s="2"/>
      <c r="B46" s="206"/>
      <c r="C46" s="208"/>
      <c r="D46" s="615"/>
      <c r="E46" s="616"/>
      <c r="F46" s="617"/>
      <c r="G46" s="207"/>
      <c r="H46" s="206"/>
    </row>
    <row r="47" spans="1:8" x14ac:dyDescent="0.2">
      <c r="A47" s="2"/>
      <c r="B47" s="206"/>
      <c r="C47" s="208"/>
      <c r="D47" s="615"/>
      <c r="E47" s="616"/>
      <c r="F47" s="617"/>
      <c r="G47" s="207"/>
      <c r="H47" s="206"/>
    </row>
    <row r="48" spans="1:8" x14ac:dyDescent="0.2">
      <c r="A48" s="2"/>
      <c r="B48" s="206"/>
      <c r="C48" s="207"/>
      <c r="D48" s="615"/>
      <c r="E48" s="616"/>
      <c r="F48" s="617"/>
      <c r="G48" s="207"/>
      <c r="H48" s="206"/>
    </row>
    <row r="49" spans="1:12" x14ac:dyDescent="0.2">
      <c r="A49" s="2"/>
      <c r="B49" s="206"/>
      <c r="C49" s="208"/>
      <c r="D49" s="615"/>
      <c r="E49" s="616"/>
      <c r="F49" s="617"/>
      <c r="G49" s="207"/>
      <c r="H49" s="206"/>
    </row>
    <row r="50" spans="1:12" x14ac:dyDescent="0.2">
      <c r="A50" s="2"/>
      <c r="B50" s="206"/>
      <c r="C50" s="207"/>
      <c r="D50" s="615"/>
      <c r="E50" s="616"/>
      <c r="F50" s="617"/>
      <c r="G50" s="207"/>
      <c r="H50" s="197"/>
    </row>
    <row r="51" spans="1:12" x14ac:dyDescent="0.2">
      <c r="A51" s="2"/>
      <c r="B51" s="211"/>
      <c r="C51" s="853"/>
      <c r="D51" s="854"/>
      <c r="E51" s="855"/>
      <c r="F51" s="854"/>
      <c r="G51" s="853"/>
      <c r="H51" s="214"/>
    </row>
    <row r="52" spans="1:12" x14ac:dyDescent="0.2">
      <c r="A52" s="2"/>
      <c r="B52" s="211"/>
      <c r="C52" s="211"/>
      <c r="D52" s="212"/>
      <c r="E52" s="212"/>
      <c r="F52" s="212"/>
      <c r="G52" s="212"/>
      <c r="H52" s="213"/>
    </row>
    <row r="53" spans="1:12" x14ac:dyDescent="0.2">
      <c r="A53" s="782" t="s">
        <v>145</v>
      </c>
      <c r="B53" s="810" t="s">
        <v>84</v>
      </c>
      <c r="C53" s="811" t="s">
        <v>77</v>
      </c>
      <c r="D53" s="812"/>
      <c r="F53" s="1454" t="s">
        <v>145</v>
      </c>
      <c r="G53" s="1455"/>
      <c r="H53" s="730" t="s">
        <v>84</v>
      </c>
      <c r="I53" s="721" t="s">
        <v>77</v>
      </c>
      <c r="J53" s="718"/>
      <c r="K53" s="718"/>
      <c r="L53" s="719"/>
    </row>
    <row r="54" spans="1:12" x14ac:dyDescent="0.2">
      <c r="A54" s="813">
        <v>1</v>
      </c>
      <c r="B54" s="203" t="s">
        <v>363</v>
      </c>
      <c r="C54" s="815">
        <v>5</v>
      </c>
      <c r="D54" s="812"/>
      <c r="F54" s="898" t="s">
        <v>395</v>
      </c>
      <c r="G54" s="923"/>
      <c r="H54" s="727" t="s">
        <v>335</v>
      </c>
      <c r="I54" s="720">
        <v>2</v>
      </c>
      <c r="J54" s="718"/>
      <c r="K54" s="718"/>
      <c r="L54" s="719"/>
    </row>
    <row r="55" spans="1:12" x14ac:dyDescent="0.2">
      <c r="A55" s="816">
        <v>2</v>
      </c>
      <c r="B55" s="817" t="s">
        <v>616</v>
      </c>
      <c r="C55" s="815">
        <v>4</v>
      </c>
      <c r="D55" s="812"/>
      <c r="F55" s="898" t="s">
        <v>395</v>
      </c>
      <c r="G55" s="923"/>
      <c r="H55" s="727" t="s">
        <v>334</v>
      </c>
      <c r="I55" s="720">
        <v>2</v>
      </c>
      <c r="J55" s="718"/>
      <c r="K55" s="718"/>
      <c r="L55" s="719"/>
    </row>
    <row r="56" spans="1:12" x14ac:dyDescent="0.2">
      <c r="A56" s="816">
        <v>3</v>
      </c>
      <c r="B56" s="205" t="s">
        <v>431</v>
      </c>
      <c r="C56" s="819">
        <v>4</v>
      </c>
      <c r="D56" s="812"/>
      <c r="F56" s="898">
        <v>11</v>
      </c>
      <c r="G56" s="923"/>
      <c r="H56" s="821" t="s">
        <v>338</v>
      </c>
      <c r="I56" s="720">
        <v>2</v>
      </c>
      <c r="J56" s="718"/>
      <c r="K56" s="718"/>
      <c r="L56" s="719"/>
    </row>
    <row r="57" spans="1:12" x14ac:dyDescent="0.2">
      <c r="A57" s="896" t="s">
        <v>360</v>
      </c>
      <c r="B57" s="542" t="s">
        <v>617</v>
      </c>
      <c r="C57" s="815">
        <v>3</v>
      </c>
      <c r="D57" s="812"/>
      <c r="F57" s="898">
        <v>12</v>
      </c>
      <c r="G57" s="923"/>
      <c r="H57" s="727" t="s">
        <v>596</v>
      </c>
      <c r="I57" s="720">
        <v>2</v>
      </c>
      <c r="J57" s="718"/>
      <c r="K57" s="718"/>
      <c r="L57" s="719"/>
    </row>
    <row r="58" spans="1:12" x14ac:dyDescent="0.2">
      <c r="A58" s="896" t="s">
        <v>360</v>
      </c>
      <c r="B58" s="542" t="s">
        <v>540</v>
      </c>
      <c r="C58" s="815">
        <v>3</v>
      </c>
      <c r="D58" s="812"/>
      <c r="F58" s="898">
        <v>13</v>
      </c>
      <c r="G58" s="923"/>
      <c r="H58" s="728" t="s">
        <v>337</v>
      </c>
      <c r="I58" s="720">
        <v>2</v>
      </c>
      <c r="J58" s="718"/>
      <c r="K58" s="718"/>
      <c r="L58" s="719"/>
    </row>
    <row r="59" spans="1:12" x14ac:dyDescent="0.2">
      <c r="A59" s="816">
        <v>6</v>
      </c>
      <c r="B59" s="728" t="s">
        <v>610</v>
      </c>
      <c r="C59" s="815">
        <v>3</v>
      </c>
      <c r="D59" s="812"/>
      <c r="F59" s="898">
        <v>14</v>
      </c>
      <c r="G59" s="923"/>
      <c r="H59" s="728" t="s">
        <v>405</v>
      </c>
      <c r="I59" s="720">
        <v>1</v>
      </c>
      <c r="J59" s="718"/>
      <c r="K59" s="718"/>
      <c r="L59" s="719"/>
    </row>
    <row r="60" spans="1:12" x14ac:dyDescent="0.2">
      <c r="A60" s="816">
        <v>7</v>
      </c>
      <c r="B60" s="727" t="s">
        <v>613</v>
      </c>
      <c r="C60" s="815">
        <v>3</v>
      </c>
      <c r="D60" s="812"/>
      <c r="F60" s="898">
        <v>15</v>
      </c>
      <c r="G60" s="923"/>
      <c r="H60" s="728" t="s">
        <v>580</v>
      </c>
      <c r="I60" s="720">
        <v>1</v>
      </c>
      <c r="J60" s="718"/>
      <c r="K60" s="718"/>
      <c r="L60" s="719"/>
    </row>
    <row r="61" spans="1:12" x14ac:dyDescent="0.2">
      <c r="A61" s="850">
        <v>8</v>
      </c>
      <c r="B61" s="825" t="s">
        <v>593</v>
      </c>
      <c r="C61" s="824">
        <v>3</v>
      </c>
      <c r="D61" s="822"/>
    </row>
  </sheetData>
  <mergeCells count="1">
    <mergeCell ref="F53:G53"/>
  </mergeCells>
  <conditionalFormatting sqref="B12">
    <cfRule type="duplicateValues" dxfId="87" priority="46"/>
  </conditionalFormatting>
  <conditionalFormatting sqref="H14">
    <cfRule type="duplicateValues" dxfId="86" priority="45"/>
  </conditionalFormatting>
  <conditionalFormatting sqref="B14">
    <cfRule type="duplicateValues" dxfId="85" priority="44"/>
  </conditionalFormatting>
  <conditionalFormatting sqref="H19">
    <cfRule type="duplicateValues" dxfId="84" priority="33"/>
  </conditionalFormatting>
  <conditionalFormatting sqref="D42:F49 D33:F40 D24:F31 D7:F22">
    <cfRule type="cellIs" dxfId="83" priority="43" operator="equal">
      <formula>13</formula>
    </cfRule>
  </conditionalFormatting>
  <conditionalFormatting sqref="B10">
    <cfRule type="duplicateValues" dxfId="82" priority="41"/>
  </conditionalFormatting>
  <conditionalFormatting sqref="H13">
    <cfRule type="duplicateValues" dxfId="81" priority="40"/>
  </conditionalFormatting>
  <conditionalFormatting sqref="B23">
    <cfRule type="duplicateValues" dxfId="80" priority="39"/>
  </conditionalFormatting>
  <conditionalFormatting sqref="H23">
    <cfRule type="duplicateValues" dxfId="79" priority="38"/>
  </conditionalFormatting>
  <conditionalFormatting sqref="D23 F23">
    <cfRule type="cellIs" dxfId="78" priority="37" operator="equal">
      <formula>13</formula>
    </cfRule>
  </conditionalFormatting>
  <conditionalFormatting sqref="E23">
    <cfRule type="cellIs" dxfId="77" priority="36" operator="equal">
      <formula>13</formula>
    </cfRule>
  </conditionalFormatting>
  <conditionalFormatting sqref="H16">
    <cfRule type="duplicateValues" dxfId="76" priority="35"/>
  </conditionalFormatting>
  <conditionalFormatting sqref="B17:B18">
    <cfRule type="duplicateValues" dxfId="75" priority="34"/>
  </conditionalFormatting>
  <conditionalFormatting sqref="B20">
    <cfRule type="duplicateValues" dxfId="74" priority="32"/>
  </conditionalFormatting>
  <conditionalFormatting sqref="B32">
    <cfRule type="duplicateValues" dxfId="73" priority="31"/>
  </conditionalFormatting>
  <conditionalFormatting sqref="H32">
    <cfRule type="duplicateValues" dxfId="72" priority="30"/>
  </conditionalFormatting>
  <conditionalFormatting sqref="D32 F32">
    <cfRule type="cellIs" dxfId="71" priority="29" operator="equal">
      <formula>13</formula>
    </cfRule>
  </conditionalFormatting>
  <conditionalFormatting sqref="E32">
    <cfRule type="cellIs" dxfId="70" priority="28" operator="equal">
      <formula>13</formula>
    </cfRule>
  </conditionalFormatting>
  <conditionalFormatting sqref="H25:H26">
    <cfRule type="duplicateValues" dxfId="69" priority="27"/>
  </conditionalFormatting>
  <conditionalFormatting sqref="B30">
    <cfRule type="duplicateValues" dxfId="68" priority="25"/>
  </conditionalFormatting>
  <conditionalFormatting sqref="B31">
    <cfRule type="duplicateValues" dxfId="67" priority="24"/>
  </conditionalFormatting>
  <conditionalFormatting sqref="D41 F41">
    <cfRule type="cellIs" dxfId="66" priority="22" operator="equal">
      <formula>13</formula>
    </cfRule>
  </conditionalFormatting>
  <conditionalFormatting sqref="E41">
    <cfRule type="cellIs" dxfId="65" priority="21" operator="equal">
      <formula>13</formula>
    </cfRule>
  </conditionalFormatting>
  <conditionalFormatting sqref="B34:B35">
    <cfRule type="duplicateValues" dxfId="64" priority="20"/>
  </conditionalFormatting>
  <conditionalFormatting sqref="H37">
    <cfRule type="duplicateValues" dxfId="63" priority="19"/>
  </conditionalFormatting>
  <conditionalFormatting sqref="H38">
    <cfRule type="duplicateValues" dxfId="62" priority="18"/>
  </conditionalFormatting>
  <conditionalFormatting sqref="H39">
    <cfRule type="duplicateValues" dxfId="61" priority="17"/>
  </conditionalFormatting>
  <conditionalFormatting sqref="H40">
    <cfRule type="duplicateValues" dxfId="60" priority="16"/>
  </conditionalFormatting>
  <conditionalFormatting sqref="H50:H51">
    <cfRule type="duplicateValues" dxfId="59" priority="15"/>
  </conditionalFormatting>
  <conditionalFormatting sqref="D50:D51 F50:F51">
    <cfRule type="cellIs" dxfId="58" priority="14" operator="equal">
      <formula>13</formula>
    </cfRule>
  </conditionalFormatting>
  <conditionalFormatting sqref="E50:E51">
    <cfRule type="cellIs" dxfId="57" priority="13" operator="equal">
      <formula>13</formula>
    </cfRule>
  </conditionalFormatting>
  <conditionalFormatting sqref="B46">
    <cfRule type="duplicateValues" dxfId="56" priority="12"/>
  </conditionalFormatting>
  <conditionalFormatting sqref="H46">
    <cfRule type="duplicateValues" dxfId="55" priority="11"/>
  </conditionalFormatting>
  <conditionalFormatting sqref="B48">
    <cfRule type="duplicateValues" dxfId="54" priority="10"/>
  </conditionalFormatting>
  <conditionalFormatting sqref="H48">
    <cfRule type="duplicateValues" dxfId="53" priority="9"/>
  </conditionalFormatting>
  <conditionalFormatting sqref="B49">
    <cfRule type="duplicateValues" dxfId="52" priority="8"/>
  </conditionalFormatting>
  <conditionalFormatting sqref="H54">
    <cfRule type="duplicateValues" dxfId="51" priority="7"/>
  </conditionalFormatting>
  <conditionalFormatting sqref="B57">
    <cfRule type="duplicateValues" dxfId="50" priority="5" stopIfTrue="1"/>
  </conditionalFormatting>
  <conditionalFormatting sqref="B58">
    <cfRule type="duplicateValues" dxfId="49" priority="4" stopIfTrue="1"/>
  </conditionalFormatting>
  <conditionalFormatting sqref="B59">
    <cfRule type="duplicateValues" dxfId="48" priority="3"/>
  </conditionalFormatting>
  <conditionalFormatting sqref="H55">
    <cfRule type="duplicateValues" dxfId="47" priority="2"/>
  </conditionalFormatting>
  <conditionalFormatting sqref="B54">
    <cfRule type="duplicateValues" dxfId="46" priority="1" stopIfTrue="1"/>
  </conditionalFormatting>
  <conditionalFormatting sqref="H41">
    <cfRule type="duplicateValues" dxfId="45" priority="308"/>
  </conditionalFormatting>
  <pageMargins left="0.78740157480314965" right="0.39370078740157483" top="0.59055118110236227" bottom="0.39370078740157483" header="0.39370078740157483" footer="0"/>
  <pageSetup paperSize="9" fitToHeight="0" orientation="portrait" verticalDpi="1200" r:id="rId1"/>
  <headerFooter>
    <oddHeader>&amp;R&amp;"Arial,Regular"&amp;9Page &amp;P of &amp;N</oddHeader>
  </headerFooter>
  <rowBreaks count="3" manualBreakCount="3">
    <brk id="94" max="16383" man="1"/>
    <brk id="132" max="16383" man="1"/>
    <brk id="16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56"/>
  <sheetViews>
    <sheetView showGridLines="0" showRowColHeaders="0" zoomScaleNormal="100" workbookViewId="0">
      <pane ySplit="2" topLeftCell="A36" activePane="bottomLeft" state="frozen"/>
      <selection activeCell="K30" sqref="K30"/>
      <selection pane="bottomLeft" activeCell="I1" sqref="I1"/>
    </sheetView>
  </sheetViews>
  <sheetFormatPr defaultRowHeight="12.75" x14ac:dyDescent="0.2"/>
  <cols>
    <col min="1" max="1" width="5.5703125" style="152" customWidth="1"/>
    <col min="2" max="2" width="40" style="152" customWidth="1"/>
    <col min="3" max="3" width="2.28515625" style="152" customWidth="1"/>
    <col min="4" max="4" width="3" style="152" bestFit="1" customWidth="1"/>
    <col min="5" max="5" width="1.5703125" style="152" bestFit="1" customWidth="1"/>
    <col min="6" max="6" width="3" style="152" bestFit="1" customWidth="1"/>
    <col min="7" max="7" width="2.28515625" style="152" customWidth="1"/>
    <col min="8" max="8" width="32.42578125" style="152" bestFit="1" customWidth="1"/>
    <col min="9" max="9" width="3" style="152" bestFit="1" customWidth="1"/>
    <col min="10" max="10" width="3" style="152" hidden="1" customWidth="1"/>
    <col min="11" max="11" width="3.5703125" style="152" hidden="1" customWidth="1"/>
    <col min="12" max="12" width="2.7109375" style="152" bestFit="1" customWidth="1"/>
    <col min="13" max="16384" width="9.140625" style="152"/>
  </cols>
  <sheetData>
    <row r="1" spans="1:11" x14ac:dyDescent="0.2">
      <c r="A1" s="151" t="str">
        <f>UPPER((Kalend!E44)&amp;" - "&amp;(Kalend!C44)&amp;" - "&amp;(Kalend!D44))</f>
        <v>V10 - VOKA 4. KV 10. ETAPP - DUO</v>
      </c>
      <c r="D1" s="113" t="str">
        <f>HYPERLINK("#Kalend!I1","Kalender")</f>
        <v>Kalender</v>
      </c>
      <c r="E1" s="113"/>
      <c r="F1" s="113"/>
      <c r="G1" s="2"/>
      <c r="H1" s="113" t="str">
        <f>HYPERLINK("#Reit!G1","Reiting")</f>
        <v>Reiting</v>
      </c>
      <c r="I1" s="2"/>
      <c r="J1" s="2"/>
    </row>
    <row r="2" spans="1:11" x14ac:dyDescent="0.2">
      <c r="A2" s="2" t="str">
        <f>"Toimumisaeg: "&amp;(Kalend!A44)&amp;" kell "&amp;(Kalend!B44)</f>
        <v>Toimumisaeg: L, 30.09.2017 kell 11:00</v>
      </c>
    </row>
    <row r="3" spans="1:11" x14ac:dyDescent="0.2">
      <c r="A3" s="2" t="str">
        <f>"Toimumiskoht: "&amp;(Kalend!F44)</f>
        <v>Toimumiskoht: Voka staadion</v>
      </c>
    </row>
    <row r="4" spans="1:11" x14ac:dyDescent="0.2">
      <c r="A4" s="2" t="str">
        <f>"Korraldaja: "&amp;(Kalend!G44)</f>
        <v>Korraldaja: Johannes Neiland</v>
      </c>
      <c r="H4" s="547" t="s">
        <v>113</v>
      </c>
    </row>
    <row r="5" spans="1:11" x14ac:dyDescent="0.2">
      <c r="A5" s="2"/>
    </row>
    <row r="6" spans="1:11" x14ac:dyDescent="0.2">
      <c r="A6" s="195" t="s">
        <v>114</v>
      </c>
      <c r="B6" s="196"/>
    </row>
    <row r="7" spans="1:11" x14ac:dyDescent="0.2">
      <c r="A7" s="2"/>
      <c r="B7" s="206"/>
      <c r="C7" s="207"/>
      <c r="D7" s="615"/>
      <c r="E7" s="616"/>
      <c r="F7" s="617"/>
      <c r="G7" s="208"/>
      <c r="H7" s="206"/>
      <c r="J7" s="152">
        <v>1</v>
      </c>
      <c r="K7" s="152">
        <v>15</v>
      </c>
    </row>
    <row r="8" spans="1:11" x14ac:dyDescent="0.2">
      <c r="A8" s="2"/>
      <c r="B8" s="197"/>
      <c r="C8" s="207"/>
      <c r="D8" s="615"/>
      <c r="E8" s="616"/>
      <c r="F8" s="617"/>
      <c r="G8" s="208"/>
      <c r="H8" s="206"/>
      <c r="J8" s="152">
        <v>2</v>
      </c>
      <c r="K8" s="152">
        <v>14</v>
      </c>
    </row>
    <row r="9" spans="1:11" x14ac:dyDescent="0.2">
      <c r="A9" s="2"/>
      <c r="B9" s="863"/>
      <c r="C9" s="861"/>
      <c r="D9" s="858"/>
      <c r="E9" s="859"/>
      <c r="F9" s="860"/>
      <c r="G9" s="857"/>
      <c r="H9" s="856"/>
    </row>
    <row r="10" spans="1:11" x14ac:dyDescent="0.2">
      <c r="A10" s="2"/>
      <c r="B10" s="206"/>
      <c r="C10" s="207"/>
      <c r="D10" s="615"/>
      <c r="E10" s="616"/>
      <c r="F10" s="617"/>
      <c r="G10" s="208"/>
      <c r="H10" s="206"/>
      <c r="J10" s="152">
        <v>3</v>
      </c>
      <c r="K10" s="152">
        <v>13</v>
      </c>
    </row>
    <row r="11" spans="1:11" x14ac:dyDescent="0.2">
      <c r="A11" s="2"/>
      <c r="B11" s="197"/>
      <c r="C11" s="207"/>
      <c r="D11" s="615"/>
      <c r="E11" s="616"/>
      <c r="F11" s="617"/>
      <c r="G11" s="208"/>
      <c r="H11" s="206"/>
      <c r="J11" s="152">
        <v>4</v>
      </c>
      <c r="K11" s="152">
        <v>12</v>
      </c>
    </row>
    <row r="12" spans="1:11" x14ac:dyDescent="0.2">
      <c r="A12" s="2"/>
      <c r="B12" s="206"/>
      <c r="C12" s="208"/>
      <c r="D12" s="615"/>
      <c r="E12" s="616"/>
      <c r="F12" s="617"/>
      <c r="G12" s="207"/>
      <c r="H12" s="614"/>
      <c r="J12" s="152">
        <v>5</v>
      </c>
      <c r="K12" s="152">
        <v>11</v>
      </c>
    </row>
    <row r="13" spans="1:11" x14ac:dyDescent="0.2">
      <c r="A13" s="2"/>
      <c r="B13" s="206"/>
      <c r="C13" s="207"/>
      <c r="D13" s="615"/>
      <c r="E13" s="616"/>
      <c r="F13" s="617"/>
      <c r="G13" s="207"/>
      <c r="H13" s="206"/>
      <c r="J13" s="152">
        <v>8</v>
      </c>
    </row>
    <row r="14" spans="1:11" x14ac:dyDescent="0.2">
      <c r="A14" s="195" t="s">
        <v>115</v>
      </c>
      <c r="B14" s="196"/>
      <c r="C14" s="209"/>
      <c r="D14" s="213"/>
      <c r="E14" s="213"/>
      <c r="F14" s="213"/>
      <c r="G14" s="209"/>
      <c r="H14" s="210"/>
    </row>
    <row r="15" spans="1:11" x14ac:dyDescent="0.2">
      <c r="A15" s="2"/>
      <c r="B15" s="197"/>
      <c r="C15" s="207"/>
      <c r="D15" s="615"/>
      <c r="E15" s="616"/>
      <c r="F15" s="617"/>
      <c r="G15" s="207"/>
      <c r="H15" s="206"/>
    </row>
    <row r="16" spans="1:11" x14ac:dyDescent="0.2">
      <c r="A16" s="2"/>
      <c r="B16" s="197"/>
      <c r="C16" s="207"/>
      <c r="D16" s="615"/>
      <c r="E16" s="616"/>
      <c r="F16" s="617"/>
      <c r="G16" s="207"/>
      <c r="H16" s="206"/>
    </row>
    <row r="17" spans="1:8" x14ac:dyDescent="0.2">
      <c r="A17" s="2"/>
      <c r="B17" s="863"/>
      <c r="C17" s="861"/>
      <c r="D17" s="858"/>
      <c r="E17" s="859"/>
      <c r="F17" s="860"/>
      <c r="G17" s="861"/>
      <c r="H17" s="856"/>
    </row>
    <row r="18" spans="1:8" x14ac:dyDescent="0.2">
      <c r="A18" s="2"/>
      <c r="B18" s="206"/>
      <c r="C18" s="207"/>
      <c r="D18" s="615"/>
      <c r="E18" s="616"/>
      <c r="F18" s="617"/>
      <c r="G18" s="207"/>
      <c r="H18" s="206"/>
    </row>
    <row r="19" spans="1:8" x14ac:dyDescent="0.2">
      <c r="A19" s="2"/>
      <c r="B19" s="206"/>
      <c r="C19" s="208"/>
      <c r="D19" s="615"/>
      <c r="E19" s="616"/>
      <c r="F19" s="617"/>
      <c r="G19" s="207"/>
      <c r="H19" s="206"/>
    </row>
    <row r="20" spans="1:8" x14ac:dyDescent="0.2">
      <c r="A20" s="2"/>
      <c r="B20" s="197"/>
      <c r="C20" s="208"/>
      <c r="D20" s="615"/>
      <c r="E20" s="616"/>
      <c r="F20" s="617"/>
      <c r="G20" s="207"/>
      <c r="H20" s="206"/>
    </row>
    <row r="21" spans="1:8" x14ac:dyDescent="0.2">
      <c r="A21" s="2"/>
      <c r="B21" s="206"/>
      <c r="C21" s="208"/>
      <c r="D21" s="615"/>
      <c r="E21" s="616"/>
      <c r="F21" s="617"/>
      <c r="G21" s="207"/>
      <c r="H21" s="206"/>
    </row>
    <row r="22" spans="1:8" x14ac:dyDescent="0.2">
      <c r="A22" s="195" t="s">
        <v>116</v>
      </c>
      <c r="B22" s="196"/>
      <c r="C22" s="209"/>
      <c r="D22" s="213"/>
      <c r="E22" s="213"/>
      <c r="F22" s="213"/>
      <c r="G22" s="209"/>
      <c r="H22" s="210"/>
    </row>
    <row r="23" spans="1:8" x14ac:dyDescent="0.2">
      <c r="A23" s="2"/>
      <c r="B23" s="206"/>
      <c r="C23" s="207"/>
      <c r="D23" s="615"/>
      <c r="E23" s="616"/>
      <c r="F23" s="617"/>
      <c r="G23" s="207"/>
      <c r="H23" s="206"/>
    </row>
    <row r="24" spans="1:8" x14ac:dyDescent="0.2">
      <c r="A24" s="2"/>
      <c r="B24" s="856"/>
      <c r="C24" s="861"/>
      <c r="D24" s="858"/>
      <c r="E24" s="859"/>
      <c r="F24" s="860"/>
      <c r="G24" s="861"/>
      <c r="H24" s="856"/>
    </row>
    <row r="25" spans="1:8" x14ac:dyDescent="0.2">
      <c r="A25" s="2"/>
      <c r="B25" s="197"/>
      <c r="C25" s="207"/>
      <c r="D25" s="615"/>
      <c r="E25" s="616"/>
      <c r="F25" s="617"/>
      <c r="G25" s="207"/>
      <c r="H25" s="614"/>
    </row>
    <row r="26" spans="1:8" x14ac:dyDescent="0.2">
      <c r="A26" s="2"/>
      <c r="B26" s="206"/>
      <c r="C26" s="207"/>
      <c r="D26" s="615"/>
      <c r="E26" s="616"/>
      <c r="F26" s="617"/>
      <c r="G26" s="207"/>
      <c r="H26" s="206"/>
    </row>
    <row r="27" spans="1:8" x14ac:dyDescent="0.2">
      <c r="A27" s="2"/>
      <c r="B27" s="206"/>
      <c r="C27" s="207"/>
      <c r="D27" s="615"/>
      <c r="E27" s="616"/>
      <c r="F27" s="617"/>
      <c r="G27" s="207"/>
      <c r="H27" s="206"/>
    </row>
    <row r="28" spans="1:8" x14ac:dyDescent="0.2">
      <c r="A28" s="2"/>
      <c r="B28" s="197"/>
      <c r="C28" s="207"/>
      <c r="D28" s="615"/>
      <c r="E28" s="616"/>
      <c r="F28" s="617"/>
      <c r="G28" s="207"/>
      <c r="H28" s="206"/>
    </row>
    <row r="29" spans="1:8" x14ac:dyDescent="0.2">
      <c r="A29" s="2"/>
      <c r="B29" s="197"/>
      <c r="C29" s="208"/>
      <c r="D29" s="615"/>
      <c r="E29" s="616"/>
      <c r="F29" s="617"/>
      <c r="G29" s="207"/>
      <c r="H29" s="206"/>
    </row>
    <row r="30" spans="1:8" x14ac:dyDescent="0.2">
      <c r="A30" s="195" t="s">
        <v>117</v>
      </c>
      <c r="B30" s="196"/>
      <c r="C30" s="209"/>
      <c r="D30" s="213"/>
      <c r="E30" s="213"/>
      <c r="F30" s="213"/>
      <c r="G30" s="209"/>
      <c r="H30" s="210"/>
    </row>
    <row r="31" spans="1:8" x14ac:dyDescent="0.2">
      <c r="A31" s="2"/>
      <c r="B31" s="197"/>
      <c r="C31" s="207"/>
      <c r="D31" s="615"/>
      <c r="E31" s="616"/>
      <c r="F31" s="617"/>
      <c r="G31" s="207"/>
      <c r="H31" s="614"/>
    </row>
    <row r="32" spans="1:8" x14ac:dyDescent="0.2">
      <c r="A32" s="2"/>
      <c r="B32" s="863"/>
      <c r="C32" s="861"/>
      <c r="D32" s="858"/>
      <c r="E32" s="859"/>
      <c r="F32" s="860"/>
      <c r="G32" s="861"/>
      <c r="H32" s="862"/>
    </row>
    <row r="33" spans="1:12" x14ac:dyDescent="0.2">
      <c r="A33" s="2"/>
      <c r="B33" s="197"/>
      <c r="C33" s="207"/>
      <c r="D33" s="615"/>
      <c r="E33" s="616"/>
      <c r="F33" s="617"/>
      <c r="G33" s="207"/>
      <c r="H33" s="206"/>
    </row>
    <row r="34" spans="1:12" x14ac:dyDescent="0.2">
      <c r="A34" s="2"/>
      <c r="B34" s="206"/>
      <c r="C34" s="207"/>
      <c r="D34" s="615"/>
      <c r="E34" s="616"/>
      <c r="F34" s="617"/>
      <c r="G34" s="207"/>
      <c r="H34" s="206"/>
    </row>
    <row r="35" spans="1:12" x14ac:dyDescent="0.2">
      <c r="A35" s="2"/>
      <c r="B35" s="206"/>
      <c r="C35" s="207"/>
      <c r="D35" s="615"/>
      <c r="E35" s="616"/>
      <c r="F35" s="617"/>
      <c r="G35" s="207"/>
      <c r="H35" s="206"/>
    </row>
    <row r="36" spans="1:12" x14ac:dyDescent="0.2">
      <c r="A36" s="2"/>
      <c r="B36" s="197"/>
      <c r="C36" s="207"/>
      <c r="D36" s="615"/>
      <c r="E36" s="616"/>
      <c r="F36" s="617"/>
      <c r="G36" s="207"/>
      <c r="H36" s="206"/>
    </row>
    <row r="37" spans="1:12" x14ac:dyDescent="0.2">
      <c r="A37" s="2"/>
      <c r="B37" s="206"/>
      <c r="C37" s="207"/>
      <c r="D37" s="615"/>
      <c r="E37" s="616"/>
      <c r="F37" s="617"/>
      <c r="G37" s="207"/>
      <c r="H37" s="206"/>
    </row>
    <row r="38" spans="1:12" x14ac:dyDescent="0.2">
      <c r="A38" s="195" t="s">
        <v>118</v>
      </c>
      <c r="B38" s="196"/>
      <c r="C38" s="209"/>
      <c r="D38" s="213"/>
      <c r="E38" s="213"/>
      <c r="F38" s="213"/>
      <c r="G38" s="209"/>
      <c r="H38" s="210"/>
    </row>
    <row r="39" spans="1:12" x14ac:dyDescent="0.2">
      <c r="A39" s="2"/>
      <c r="B39" s="206"/>
      <c r="C39" s="208"/>
      <c r="D39" s="615"/>
      <c r="E39" s="616"/>
      <c r="F39" s="617"/>
      <c r="G39" s="207"/>
      <c r="H39" s="614"/>
    </row>
    <row r="40" spans="1:12" x14ac:dyDescent="0.2">
      <c r="A40" s="2"/>
      <c r="B40" s="856"/>
      <c r="C40" s="857"/>
      <c r="D40" s="858"/>
      <c r="E40" s="859"/>
      <c r="F40" s="860"/>
      <c r="G40" s="861"/>
      <c r="H40" s="862"/>
    </row>
    <row r="41" spans="1:12" x14ac:dyDescent="0.2">
      <c r="A41" s="2"/>
      <c r="B41" s="197"/>
      <c r="C41" s="208"/>
      <c r="D41" s="615"/>
      <c r="E41" s="616"/>
      <c r="F41" s="617"/>
      <c r="G41" s="207"/>
      <c r="H41" s="206"/>
    </row>
    <row r="42" spans="1:12" x14ac:dyDescent="0.2">
      <c r="A42" s="2"/>
      <c r="B42" s="206"/>
      <c r="C42" s="208"/>
      <c r="D42" s="615"/>
      <c r="E42" s="616"/>
      <c r="F42" s="617"/>
      <c r="G42" s="207"/>
      <c r="H42" s="206"/>
    </row>
    <row r="43" spans="1:12" x14ac:dyDescent="0.2">
      <c r="A43" s="2"/>
      <c r="B43" s="206"/>
      <c r="C43" s="208"/>
      <c r="D43" s="615"/>
      <c r="E43" s="616"/>
      <c r="F43" s="617"/>
      <c r="G43" s="207"/>
      <c r="H43" s="206"/>
    </row>
    <row r="44" spans="1:12" x14ac:dyDescent="0.2">
      <c r="A44" s="2"/>
      <c r="B44" s="206"/>
      <c r="C44" s="208"/>
      <c r="D44" s="615"/>
      <c r="E44" s="616"/>
      <c r="F44" s="617"/>
      <c r="G44" s="207"/>
      <c r="H44" s="206"/>
    </row>
    <row r="45" spans="1:12" x14ac:dyDescent="0.2">
      <c r="A45" s="2"/>
      <c r="B45" s="206"/>
      <c r="C45" s="207"/>
      <c r="D45" s="615"/>
      <c r="E45" s="616"/>
      <c r="F45" s="617"/>
      <c r="G45" s="207"/>
      <c r="H45" s="206"/>
    </row>
    <row r="46" spans="1:12" x14ac:dyDescent="0.2">
      <c r="A46" s="2"/>
      <c r="B46" s="211"/>
      <c r="C46" s="853"/>
      <c r="D46" s="854"/>
      <c r="E46" s="855"/>
      <c r="F46" s="854"/>
      <c r="G46" s="853"/>
      <c r="H46" s="214"/>
    </row>
    <row r="47" spans="1:12" x14ac:dyDescent="0.2">
      <c r="A47" s="2"/>
      <c r="B47" s="211"/>
      <c r="C47" s="211"/>
      <c r="D47" s="212"/>
      <c r="E47" s="212"/>
      <c r="F47" s="212"/>
      <c r="G47" s="212"/>
      <c r="H47" s="213"/>
    </row>
    <row r="48" spans="1:12" x14ac:dyDescent="0.2">
      <c r="A48" s="782" t="s">
        <v>145</v>
      </c>
      <c r="B48" s="810" t="s">
        <v>84</v>
      </c>
      <c r="C48" s="811" t="s">
        <v>77</v>
      </c>
      <c r="D48" s="812"/>
      <c r="F48" s="1454" t="s">
        <v>145</v>
      </c>
      <c r="G48" s="1455"/>
      <c r="H48" s="730" t="s">
        <v>84</v>
      </c>
      <c r="I48" s="721" t="s">
        <v>77</v>
      </c>
      <c r="J48" s="718"/>
      <c r="K48" s="718"/>
      <c r="L48" s="719"/>
    </row>
    <row r="49" spans="1:12" x14ac:dyDescent="0.2">
      <c r="A49" s="813">
        <v>1</v>
      </c>
      <c r="B49" s="203" t="s">
        <v>540</v>
      </c>
      <c r="C49" s="815">
        <v>4</v>
      </c>
      <c r="D49" s="812"/>
      <c r="F49" s="898">
        <v>9</v>
      </c>
      <c r="G49" s="923"/>
      <c r="H49" s="727" t="s">
        <v>649</v>
      </c>
      <c r="I49" s="720">
        <v>2</v>
      </c>
      <c r="J49" s="718"/>
      <c r="K49" s="718"/>
      <c r="L49" s="719"/>
    </row>
    <row r="50" spans="1:12" x14ac:dyDescent="0.2">
      <c r="A50" s="816">
        <v>2</v>
      </c>
      <c r="B50" s="817" t="s">
        <v>373</v>
      </c>
      <c r="C50" s="815">
        <v>4</v>
      </c>
      <c r="D50" s="812"/>
      <c r="F50" s="898">
        <v>10</v>
      </c>
      <c r="G50" s="923"/>
      <c r="H50" s="727" t="s">
        <v>650</v>
      </c>
      <c r="I50" s="720">
        <v>2</v>
      </c>
      <c r="J50" s="718"/>
      <c r="K50" s="718"/>
      <c r="L50" s="719"/>
    </row>
    <row r="51" spans="1:12" x14ac:dyDescent="0.2">
      <c r="A51" s="816" t="s">
        <v>280</v>
      </c>
      <c r="B51" s="205" t="s">
        <v>652</v>
      </c>
      <c r="C51" s="819">
        <v>4</v>
      </c>
      <c r="D51" s="812"/>
      <c r="F51" s="898">
        <v>11</v>
      </c>
      <c r="G51" s="923"/>
      <c r="H51" s="821" t="s">
        <v>336</v>
      </c>
      <c r="I51" s="720">
        <v>2</v>
      </c>
      <c r="J51" s="718"/>
      <c r="K51" s="718"/>
      <c r="L51" s="719"/>
    </row>
    <row r="52" spans="1:12" x14ac:dyDescent="0.2">
      <c r="A52" s="896" t="s">
        <v>280</v>
      </c>
      <c r="B52" s="1283" t="s">
        <v>431</v>
      </c>
      <c r="C52" s="815">
        <v>4</v>
      </c>
      <c r="D52" s="812"/>
      <c r="F52" s="898">
        <v>12</v>
      </c>
      <c r="G52" s="923"/>
      <c r="H52" s="727" t="s">
        <v>651</v>
      </c>
      <c r="I52" s="720">
        <v>1</v>
      </c>
      <c r="J52" s="718"/>
      <c r="K52" s="718"/>
      <c r="L52" s="719"/>
    </row>
    <row r="53" spans="1:12" x14ac:dyDescent="0.2">
      <c r="A53" s="816">
        <v>5</v>
      </c>
      <c r="B53" s="542" t="s">
        <v>363</v>
      </c>
      <c r="C53" s="815">
        <v>3</v>
      </c>
      <c r="D53" s="812"/>
      <c r="F53" s="898">
        <v>13</v>
      </c>
      <c r="G53" s="923"/>
      <c r="H53" s="728" t="s">
        <v>337</v>
      </c>
      <c r="I53" s="720">
        <v>1</v>
      </c>
      <c r="J53" s="718"/>
      <c r="K53" s="718"/>
      <c r="L53" s="719"/>
    </row>
    <row r="54" spans="1:12" x14ac:dyDescent="0.2">
      <c r="A54" s="816">
        <v>6</v>
      </c>
      <c r="B54" s="728" t="s">
        <v>335</v>
      </c>
      <c r="C54" s="815">
        <v>3</v>
      </c>
      <c r="D54" s="812"/>
      <c r="F54" s="898">
        <v>14</v>
      </c>
      <c r="G54" s="923"/>
      <c r="H54" s="728" t="s">
        <v>342</v>
      </c>
      <c r="I54" s="720">
        <v>1</v>
      </c>
      <c r="J54" s="718"/>
      <c r="K54" s="718"/>
      <c r="L54" s="719"/>
    </row>
    <row r="55" spans="1:12" x14ac:dyDescent="0.2">
      <c r="A55" s="816" t="s">
        <v>538</v>
      </c>
      <c r="B55" s="727" t="s">
        <v>541</v>
      </c>
      <c r="C55" s="815">
        <v>2</v>
      </c>
      <c r="D55" s="812"/>
    </row>
    <row r="56" spans="1:12" x14ac:dyDescent="0.2">
      <c r="A56" s="850" t="s">
        <v>538</v>
      </c>
      <c r="B56" s="727" t="s">
        <v>648</v>
      </c>
      <c r="C56" s="824">
        <v>2</v>
      </c>
      <c r="D56" s="822"/>
    </row>
  </sheetData>
  <mergeCells count="1">
    <mergeCell ref="F48:G48"/>
  </mergeCells>
  <conditionalFormatting sqref="B11">
    <cfRule type="duplicateValues" dxfId="44" priority="46"/>
  </conditionalFormatting>
  <conditionalFormatting sqref="H13">
    <cfRule type="duplicateValues" dxfId="43" priority="44"/>
  </conditionalFormatting>
  <conditionalFormatting sqref="B13">
    <cfRule type="duplicateValues" dxfId="42" priority="43"/>
  </conditionalFormatting>
  <conditionalFormatting sqref="H18">
    <cfRule type="duplicateValues" dxfId="41" priority="32"/>
  </conditionalFormatting>
  <conditionalFormatting sqref="D7:F46">
    <cfRule type="cellIs" dxfId="40" priority="42" operator="equal">
      <formula>13</formula>
    </cfRule>
  </conditionalFormatting>
  <conditionalFormatting sqref="B10">
    <cfRule type="duplicateValues" dxfId="39" priority="40"/>
  </conditionalFormatting>
  <conditionalFormatting sqref="H15">
    <cfRule type="duplicateValues" dxfId="38" priority="34"/>
  </conditionalFormatting>
  <conditionalFormatting sqref="B16:B17">
    <cfRule type="duplicateValues" dxfId="37" priority="33"/>
  </conditionalFormatting>
  <conditionalFormatting sqref="B20">
    <cfRule type="duplicateValues" dxfId="36" priority="31"/>
  </conditionalFormatting>
  <conditionalFormatting sqref="H23:H24">
    <cfRule type="duplicateValues" dxfId="35" priority="26"/>
  </conditionalFormatting>
  <conditionalFormatting sqref="H26">
    <cfRule type="duplicateValues" dxfId="34" priority="25"/>
  </conditionalFormatting>
  <conditionalFormatting sqref="B29">
    <cfRule type="duplicateValues" dxfId="33" priority="24"/>
  </conditionalFormatting>
  <conditionalFormatting sqref="B31:B32">
    <cfRule type="duplicateValues" dxfId="32" priority="19"/>
  </conditionalFormatting>
  <conditionalFormatting sqref="H35">
    <cfRule type="duplicateValues" dxfId="31" priority="18"/>
  </conditionalFormatting>
  <conditionalFormatting sqref="H36">
    <cfRule type="duplicateValues" dxfId="30" priority="17"/>
  </conditionalFormatting>
  <conditionalFormatting sqref="H37">
    <cfRule type="duplicateValues" dxfId="29" priority="16"/>
  </conditionalFormatting>
  <conditionalFormatting sqref="B42">
    <cfRule type="duplicateValues" dxfId="28" priority="11"/>
  </conditionalFormatting>
  <conditionalFormatting sqref="H42">
    <cfRule type="duplicateValues" dxfId="27" priority="10"/>
  </conditionalFormatting>
  <conditionalFormatting sqref="B45">
    <cfRule type="duplicateValues" dxfId="26" priority="9"/>
  </conditionalFormatting>
  <conditionalFormatting sqref="H45">
    <cfRule type="duplicateValues" dxfId="25" priority="8"/>
  </conditionalFormatting>
  <conditionalFormatting sqref="H49">
    <cfRule type="duplicateValues" dxfId="24" priority="6"/>
  </conditionalFormatting>
  <conditionalFormatting sqref="B49">
    <cfRule type="duplicateValues" dxfId="23" priority="5" stopIfTrue="1"/>
  </conditionalFormatting>
  <conditionalFormatting sqref="B52">
    <cfRule type="duplicateValues" dxfId="22" priority="4" stopIfTrue="1"/>
  </conditionalFormatting>
  <conditionalFormatting sqref="B53">
    <cfRule type="duplicateValues" dxfId="21" priority="3" stopIfTrue="1"/>
  </conditionalFormatting>
  <conditionalFormatting sqref="B54">
    <cfRule type="duplicateValues" dxfId="20" priority="2"/>
  </conditionalFormatting>
  <conditionalFormatting sqref="H50">
    <cfRule type="duplicateValues" dxfId="19" priority="1"/>
  </conditionalFormatting>
  <conditionalFormatting sqref="H46">
    <cfRule type="duplicateValues" dxfId="18" priority="328"/>
  </conditionalFormatting>
  <pageMargins left="0.39370078740157483" right="0.39370078740157483" top="0.59055118110236227" bottom="0.39370078740157483" header="0.39370078740157483" footer="0"/>
  <pageSetup paperSize="9" fitToHeight="0" orientation="portrait" verticalDpi="1200" r:id="rId1"/>
  <headerFooter>
    <oddHeader>&amp;R&amp;"Arial,Regular"&amp;9Page &amp;P of &amp;N</oddHeader>
  </headerFooter>
  <rowBreaks count="3" manualBreakCount="3">
    <brk id="89" max="16383" man="1"/>
    <brk id="127" max="16383" man="1"/>
    <brk id="16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N268"/>
  <sheetViews>
    <sheetView showGridLines="0" showRowColHeaders="0" zoomScaleNormal="100" workbookViewId="0">
      <pane ySplit="2" topLeftCell="A3" activePane="bottomLeft" state="frozen"/>
      <selection activeCell="I1" sqref="I1"/>
      <selection pane="bottomLeft" activeCell="J236" sqref="J236"/>
    </sheetView>
  </sheetViews>
  <sheetFormatPr defaultRowHeight="12.75" x14ac:dyDescent="0.2"/>
  <cols>
    <col min="1" max="1" width="4.5703125" style="210" customWidth="1"/>
    <col min="2" max="2" width="18.28515625" style="210" customWidth="1"/>
    <col min="3" max="4" width="8.7109375" style="210" customWidth="1"/>
    <col min="5" max="5" width="18.28515625" style="210" customWidth="1"/>
    <col min="6" max="12" width="8.7109375" style="210" customWidth="1"/>
    <col min="13" max="13" width="4.7109375" style="210" customWidth="1"/>
    <col min="14" max="14" width="18.28515625" style="210" customWidth="1"/>
    <col min="15" max="16384" width="9.140625" style="210"/>
  </cols>
  <sheetData>
    <row r="1" spans="1:10" x14ac:dyDescent="0.2">
      <c r="A1" s="151" t="str">
        <f>UPPER((Kalend!E47)&amp;" - "&amp;(Kalend!C47)&amp;" - "&amp;(Kalend!D47))</f>
        <v>V-FIN - VOKA 4. KV SUPERFINAAL - ÜKSIK</v>
      </c>
      <c r="F1" s="113" t="str">
        <f>HYPERLINK("#Kalend!I1","Kalender")</f>
        <v>Kalender</v>
      </c>
      <c r="G1" s="2"/>
      <c r="H1" s="113" t="str">
        <f>HYPERLINK("#Reit!G1","Reiting")</f>
        <v>Reiting</v>
      </c>
      <c r="I1" s="2"/>
      <c r="J1" s="2"/>
    </row>
    <row r="2" spans="1:10" x14ac:dyDescent="0.2">
      <c r="A2" s="2" t="str">
        <f>"Toimumisaeg: "&amp;(Kalend!A47)&amp;" kell "&amp;(Kalend!B47)</f>
        <v>Toimumisaeg: P, 08.10.2017 kell 11:00</v>
      </c>
    </row>
    <row r="3" spans="1:10" x14ac:dyDescent="0.2">
      <c r="A3" s="2" t="str">
        <f>"Toimumiskoht: "&amp;(Kalend!F47)</f>
        <v>Toimumiskoht: Voka staadion</v>
      </c>
    </row>
    <row r="4" spans="1:10" x14ac:dyDescent="0.2">
      <c r="A4" s="2" t="str">
        <f>"Korraldaja: "&amp;(Kalend!G47)</f>
        <v>Korraldaja: Johannes Neiland</v>
      </c>
      <c r="F4" s="215" t="s">
        <v>113</v>
      </c>
    </row>
    <row r="6" spans="1:10" x14ac:dyDescent="0.2">
      <c r="A6" s="216" t="s">
        <v>655</v>
      </c>
      <c r="D6" s="232">
        <v>1</v>
      </c>
      <c r="E6" s="1022" t="s">
        <v>52</v>
      </c>
      <c r="F6" s="217">
        <v>13</v>
      </c>
    </row>
    <row r="7" spans="1:10" x14ac:dyDescent="0.2">
      <c r="B7" s="1100" t="s">
        <v>691</v>
      </c>
      <c r="D7" s="218"/>
      <c r="E7" s="981">
        <v>-443</v>
      </c>
      <c r="F7" s="1025" t="s">
        <v>52</v>
      </c>
      <c r="G7" s="217">
        <v>12</v>
      </c>
    </row>
    <row r="8" spans="1:10" x14ac:dyDescent="0.2">
      <c r="D8" s="218">
        <v>32</v>
      </c>
      <c r="E8" s="1023" t="s">
        <v>306</v>
      </c>
      <c r="F8" s="984">
        <v>0</v>
      </c>
    </row>
    <row r="9" spans="1:10" x14ac:dyDescent="0.2">
      <c r="D9" s="218"/>
      <c r="F9" s="985">
        <v>-459</v>
      </c>
      <c r="G9" s="864" t="s">
        <v>170</v>
      </c>
      <c r="H9" s="217">
        <v>6</v>
      </c>
    </row>
    <row r="10" spans="1:10" x14ac:dyDescent="0.2">
      <c r="D10" s="218">
        <v>17</v>
      </c>
      <c r="E10" s="1022" t="s">
        <v>332</v>
      </c>
      <c r="F10" s="986">
        <v>5</v>
      </c>
      <c r="G10" s="987"/>
    </row>
    <row r="11" spans="1:10" x14ac:dyDescent="0.2">
      <c r="D11" s="218"/>
      <c r="E11" s="981">
        <v>-444</v>
      </c>
      <c r="F11" s="988" t="s">
        <v>170</v>
      </c>
      <c r="G11" s="989">
        <v>13</v>
      </c>
    </row>
    <row r="12" spans="1:10" x14ac:dyDescent="0.2">
      <c r="D12" s="218">
        <v>16</v>
      </c>
      <c r="E12" s="1023" t="s">
        <v>170</v>
      </c>
      <c r="F12" s="990">
        <v>13</v>
      </c>
      <c r="G12" s="991"/>
    </row>
    <row r="13" spans="1:10" x14ac:dyDescent="0.2">
      <c r="D13" s="221"/>
      <c r="G13" s="985">
        <v>-483</v>
      </c>
      <c r="H13" s="213" t="s">
        <v>156</v>
      </c>
      <c r="I13" s="217">
        <v>13</v>
      </c>
    </row>
    <row r="14" spans="1:10" x14ac:dyDescent="0.2">
      <c r="D14" s="232">
        <v>9</v>
      </c>
      <c r="E14" s="1022" t="s">
        <v>313</v>
      </c>
      <c r="F14" s="217">
        <v>3</v>
      </c>
      <c r="G14" s="991"/>
      <c r="H14" s="987"/>
    </row>
    <row r="15" spans="1:10" x14ac:dyDescent="0.2">
      <c r="D15" s="218"/>
      <c r="E15" s="981">
        <v>-445</v>
      </c>
      <c r="F15" s="1025" t="s">
        <v>351</v>
      </c>
      <c r="G15" s="989">
        <v>10</v>
      </c>
      <c r="H15" s="991"/>
    </row>
    <row r="16" spans="1:10" x14ac:dyDescent="0.2">
      <c r="D16" s="218">
        <v>24</v>
      </c>
      <c r="E16" s="1023" t="s">
        <v>351</v>
      </c>
      <c r="F16" s="992">
        <v>13</v>
      </c>
      <c r="G16" s="991"/>
      <c r="H16" s="991"/>
    </row>
    <row r="17" spans="4:10" x14ac:dyDescent="0.2">
      <c r="D17" s="218"/>
      <c r="F17" s="985">
        <v>-460</v>
      </c>
      <c r="G17" s="993" t="s">
        <v>156</v>
      </c>
      <c r="H17" s="989">
        <v>13</v>
      </c>
    </row>
    <row r="18" spans="4:10" x14ac:dyDescent="0.2">
      <c r="D18" s="218">
        <v>25</v>
      </c>
      <c r="E18" s="1022" t="s">
        <v>353</v>
      </c>
      <c r="F18" s="989">
        <v>9</v>
      </c>
      <c r="G18" s="213"/>
      <c r="H18" s="991"/>
    </row>
    <row r="19" spans="4:10" x14ac:dyDescent="0.2">
      <c r="D19" s="218"/>
      <c r="E19" s="981">
        <v>-446</v>
      </c>
      <c r="F19" s="1024" t="s">
        <v>156</v>
      </c>
      <c r="G19" s="220">
        <v>13</v>
      </c>
      <c r="H19" s="991"/>
    </row>
    <row r="20" spans="4:10" x14ac:dyDescent="0.2">
      <c r="D20" s="218">
        <v>8</v>
      </c>
      <c r="E20" s="1023" t="s">
        <v>156</v>
      </c>
      <c r="F20" s="990">
        <v>13</v>
      </c>
      <c r="G20" s="213"/>
      <c r="H20" s="991"/>
    </row>
    <row r="21" spans="4:10" x14ac:dyDescent="0.2">
      <c r="H21" s="985">
        <v>-499</v>
      </c>
      <c r="I21" s="1022" t="s">
        <v>156</v>
      </c>
      <c r="J21" s="217">
        <v>9</v>
      </c>
    </row>
    <row r="22" spans="4:10" x14ac:dyDescent="0.2">
      <c r="D22" s="232">
        <v>5</v>
      </c>
      <c r="E22" s="1022" t="s">
        <v>182</v>
      </c>
      <c r="F22" s="217">
        <v>13</v>
      </c>
      <c r="H22" s="991"/>
      <c r="I22" s="987"/>
    </row>
    <row r="23" spans="4:10" x14ac:dyDescent="0.2">
      <c r="D23" s="218"/>
      <c r="E23" s="981">
        <v>-447</v>
      </c>
      <c r="F23" s="982" t="s">
        <v>182</v>
      </c>
      <c r="G23" s="217">
        <v>13</v>
      </c>
      <c r="H23" s="991"/>
      <c r="I23" s="991"/>
    </row>
    <row r="24" spans="4:10" x14ac:dyDescent="0.2">
      <c r="D24" s="218">
        <v>28</v>
      </c>
      <c r="E24" s="1023" t="s">
        <v>173</v>
      </c>
      <c r="F24" s="992">
        <v>6</v>
      </c>
      <c r="H24" s="991"/>
      <c r="I24" s="991"/>
    </row>
    <row r="25" spans="4:10" x14ac:dyDescent="0.2">
      <c r="D25" s="218"/>
      <c r="F25" s="985">
        <v>-461</v>
      </c>
      <c r="G25" s="210" t="s">
        <v>182</v>
      </c>
      <c r="H25" s="989">
        <v>13</v>
      </c>
      <c r="I25" s="991"/>
    </row>
    <row r="26" spans="4:10" x14ac:dyDescent="0.2">
      <c r="D26" s="218">
        <v>21</v>
      </c>
      <c r="E26" s="1022" t="s">
        <v>348</v>
      </c>
      <c r="F26" s="989">
        <v>3</v>
      </c>
      <c r="G26" s="987"/>
      <c r="H26" s="991"/>
      <c r="I26" s="991"/>
    </row>
    <row r="27" spans="4:10" x14ac:dyDescent="0.2">
      <c r="D27" s="218"/>
      <c r="E27" s="981">
        <v>-448</v>
      </c>
      <c r="F27" s="1024" t="s">
        <v>183</v>
      </c>
      <c r="G27" s="989">
        <v>8</v>
      </c>
      <c r="H27" s="991"/>
      <c r="I27" s="991"/>
    </row>
    <row r="28" spans="4:10" x14ac:dyDescent="0.2">
      <c r="D28" s="218">
        <v>12</v>
      </c>
      <c r="E28" s="1023" t="s">
        <v>183</v>
      </c>
      <c r="F28" s="990">
        <v>13</v>
      </c>
      <c r="G28" s="991"/>
      <c r="H28" s="991"/>
      <c r="I28" s="991"/>
    </row>
    <row r="29" spans="4:10" x14ac:dyDescent="0.2">
      <c r="G29" s="985">
        <v>-484</v>
      </c>
      <c r="H29" s="1026" t="s">
        <v>182</v>
      </c>
      <c r="I29" s="989">
        <v>8</v>
      </c>
    </row>
    <row r="30" spans="4:10" x14ac:dyDescent="0.2">
      <c r="D30" s="232">
        <v>13</v>
      </c>
      <c r="E30" s="1022" t="s">
        <v>404</v>
      </c>
      <c r="F30" s="217">
        <v>10</v>
      </c>
      <c r="G30" s="991"/>
      <c r="I30" s="991"/>
    </row>
    <row r="31" spans="4:10" x14ac:dyDescent="0.2">
      <c r="D31" s="218"/>
      <c r="E31" s="981">
        <v>-449</v>
      </c>
      <c r="F31" s="1025" t="s">
        <v>397</v>
      </c>
      <c r="G31" s="989">
        <v>6</v>
      </c>
      <c r="I31" s="991"/>
    </row>
    <row r="32" spans="4:10" x14ac:dyDescent="0.2">
      <c r="D32" s="218">
        <v>20</v>
      </c>
      <c r="E32" s="1023" t="s">
        <v>397</v>
      </c>
      <c r="F32" s="992">
        <v>13</v>
      </c>
      <c r="G32" s="991"/>
      <c r="I32" s="991"/>
    </row>
    <row r="33" spans="4:12" x14ac:dyDescent="0.2">
      <c r="D33" s="218"/>
      <c r="F33" s="985">
        <v>-462</v>
      </c>
      <c r="G33" s="1120" t="s">
        <v>166</v>
      </c>
      <c r="H33" s="217">
        <v>12</v>
      </c>
      <c r="I33" s="991"/>
    </row>
    <row r="34" spans="4:12" x14ac:dyDescent="0.2">
      <c r="D34" s="218">
        <v>29</v>
      </c>
      <c r="E34" s="1022" t="s">
        <v>184</v>
      </c>
      <c r="F34" s="989">
        <v>6</v>
      </c>
      <c r="G34" s="213"/>
      <c r="I34" s="991"/>
    </row>
    <row r="35" spans="4:12" x14ac:dyDescent="0.2">
      <c r="D35" s="218"/>
      <c r="E35" s="981">
        <v>-450</v>
      </c>
      <c r="F35" s="1119" t="s">
        <v>166</v>
      </c>
      <c r="G35" s="220">
        <v>13</v>
      </c>
      <c r="H35" s="213"/>
      <c r="I35" s="991"/>
    </row>
    <row r="36" spans="4:12" x14ac:dyDescent="0.2">
      <c r="D36" s="218">
        <v>4</v>
      </c>
      <c r="E36" s="1118" t="s">
        <v>166</v>
      </c>
      <c r="F36" s="990">
        <v>13</v>
      </c>
      <c r="G36" s="213"/>
      <c r="H36" s="213"/>
      <c r="I36" s="991"/>
    </row>
    <row r="37" spans="4:12" x14ac:dyDescent="0.2">
      <c r="E37" s="218"/>
      <c r="F37" s="213"/>
      <c r="G37" s="220"/>
      <c r="H37" s="213"/>
      <c r="I37" s="985">
        <v>-519</v>
      </c>
      <c r="J37" s="1022" t="s">
        <v>162</v>
      </c>
      <c r="K37" s="217">
        <v>11</v>
      </c>
      <c r="L37" s="217"/>
    </row>
    <row r="38" spans="4:12" x14ac:dyDescent="0.2">
      <c r="D38" s="221">
        <v>3</v>
      </c>
      <c r="E38" s="1022" t="s">
        <v>160</v>
      </c>
      <c r="F38" s="217">
        <v>13</v>
      </c>
      <c r="I38" s="991"/>
      <c r="J38" s="1006"/>
    </row>
    <row r="39" spans="4:12" x14ac:dyDescent="0.2">
      <c r="D39" s="218"/>
      <c r="E39" s="981">
        <v>-451</v>
      </c>
      <c r="F39" s="982" t="s">
        <v>160</v>
      </c>
      <c r="G39" s="217">
        <v>13</v>
      </c>
      <c r="I39" s="991"/>
      <c r="J39" s="991"/>
    </row>
    <row r="40" spans="4:12" x14ac:dyDescent="0.2">
      <c r="D40" s="218">
        <v>30</v>
      </c>
      <c r="E40" s="1023" t="s">
        <v>179</v>
      </c>
      <c r="F40" s="992">
        <v>7</v>
      </c>
      <c r="I40" s="991"/>
      <c r="J40" s="991"/>
    </row>
    <row r="41" spans="4:12" x14ac:dyDescent="0.2">
      <c r="D41" s="218"/>
      <c r="F41" s="985">
        <v>-463</v>
      </c>
      <c r="G41" s="864" t="s">
        <v>160</v>
      </c>
      <c r="H41" s="217">
        <v>5</v>
      </c>
      <c r="I41" s="991"/>
      <c r="J41" s="991"/>
    </row>
    <row r="42" spans="4:12" x14ac:dyDescent="0.2">
      <c r="D42" s="218">
        <v>19</v>
      </c>
      <c r="E42" s="1022" t="s">
        <v>355</v>
      </c>
      <c r="F42" s="989">
        <v>2</v>
      </c>
      <c r="G42" s="987"/>
      <c r="I42" s="991"/>
      <c r="J42" s="991"/>
    </row>
    <row r="43" spans="4:12" x14ac:dyDescent="0.2">
      <c r="D43" s="218"/>
      <c r="E43" s="981">
        <v>-452</v>
      </c>
      <c r="F43" s="1024" t="s">
        <v>164</v>
      </c>
      <c r="G43" s="989">
        <v>10</v>
      </c>
      <c r="I43" s="991"/>
      <c r="J43" s="991"/>
    </row>
    <row r="44" spans="4:12" x14ac:dyDescent="0.2">
      <c r="D44" s="218">
        <v>14</v>
      </c>
      <c r="E44" s="1023" t="s">
        <v>164</v>
      </c>
      <c r="F44" s="990">
        <v>13</v>
      </c>
      <c r="G44" s="991"/>
      <c r="I44" s="991"/>
      <c r="J44" s="991"/>
    </row>
    <row r="45" spans="4:12" x14ac:dyDescent="0.2">
      <c r="D45" s="221"/>
      <c r="G45" s="985">
        <v>-485</v>
      </c>
      <c r="H45" s="864" t="s">
        <v>159</v>
      </c>
      <c r="I45" s="989">
        <v>10</v>
      </c>
      <c r="J45" s="991"/>
    </row>
    <row r="46" spans="4:12" x14ac:dyDescent="0.2">
      <c r="D46" s="232">
        <v>11</v>
      </c>
      <c r="E46" s="1022" t="s">
        <v>178</v>
      </c>
      <c r="F46" s="217">
        <v>2</v>
      </c>
      <c r="G46" s="991"/>
      <c r="H46" s="987"/>
      <c r="I46" s="991"/>
      <c r="J46" s="991"/>
    </row>
    <row r="47" spans="4:12" x14ac:dyDescent="0.2">
      <c r="D47" s="218"/>
      <c r="E47" s="981">
        <v>-453</v>
      </c>
      <c r="F47" s="1025" t="s">
        <v>169</v>
      </c>
      <c r="G47" s="989">
        <v>6</v>
      </c>
      <c r="H47" s="991"/>
      <c r="I47" s="991"/>
      <c r="J47" s="991"/>
    </row>
    <row r="48" spans="4:12" x14ac:dyDescent="0.2">
      <c r="D48" s="218">
        <v>22</v>
      </c>
      <c r="E48" s="996" t="s">
        <v>169</v>
      </c>
      <c r="F48" s="992">
        <v>13</v>
      </c>
      <c r="G48" s="991"/>
      <c r="H48" s="991"/>
      <c r="I48" s="991"/>
      <c r="J48" s="991"/>
    </row>
    <row r="49" spans="4:14" x14ac:dyDescent="0.2">
      <c r="D49" s="218"/>
      <c r="F49" s="985">
        <v>-464</v>
      </c>
      <c r="G49" s="993" t="s">
        <v>159</v>
      </c>
      <c r="H49" s="989">
        <v>13</v>
      </c>
      <c r="I49" s="991"/>
      <c r="J49" s="991"/>
    </row>
    <row r="50" spans="4:14" x14ac:dyDescent="0.2">
      <c r="D50" s="218">
        <v>27</v>
      </c>
      <c r="E50" s="1022" t="s">
        <v>349</v>
      </c>
      <c r="F50" s="989">
        <v>4</v>
      </c>
      <c r="G50" s="213"/>
      <c r="H50" s="991"/>
      <c r="I50" s="991"/>
      <c r="J50" s="991"/>
    </row>
    <row r="51" spans="4:14" x14ac:dyDescent="0.2">
      <c r="D51" s="218"/>
      <c r="E51" s="981">
        <v>-454</v>
      </c>
      <c r="F51" s="988" t="s">
        <v>159</v>
      </c>
      <c r="G51" s="220">
        <v>13</v>
      </c>
      <c r="H51" s="991"/>
      <c r="I51" s="991"/>
      <c r="J51" s="991"/>
    </row>
    <row r="52" spans="4:14" x14ac:dyDescent="0.2">
      <c r="D52" s="218">
        <v>6</v>
      </c>
      <c r="E52" s="1023" t="s">
        <v>159</v>
      </c>
      <c r="F52" s="990">
        <v>13</v>
      </c>
      <c r="G52" s="213"/>
      <c r="H52" s="991"/>
      <c r="I52" s="991"/>
      <c r="J52" s="995"/>
    </row>
    <row r="53" spans="4:14" x14ac:dyDescent="0.2">
      <c r="H53" s="985">
        <v>-500</v>
      </c>
      <c r="I53" s="993" t="s">
        <v>162</v>
      </c>
      <c r="J53" s="1012">
        <v>13</v>
      </c>
    </row>
    <row r="54" spans="4:14" x14ac:dyDescent="0.2">
      <c r="D54" s="232">
        <v>7</v>
      </c>
      <c r="E54" s="1022" t="s">
        <v>176</v>
      </c>
      <c r="F54" s="217">
        <v>13</v>
      </c>
      <c r="H54" s="991"/>
      <c r="J54" s="991"/>
    </row>
    <row r="55" spans="4:14" x14ac:dyDescent="0.2">
      <c r="D55" s="218"/>
      <c r="E55" s="981">
        <v>-455</v>
      </c>
      <c r="F55" s="1025" t="s">
        <v>176</v>
      </c>
      <c r="G55" s="217">
        <v>5</v>
      </c>
      <c r="H55" s="991"/>
      <c r="J55" s="991"/>
    </row>
    <row r="56" spans="4:14" x14ac:dyDescent="0.2">
      <c r="D56" s="218">
        <v>26</v>
      </c>
      <c r="E56" s="1023" t="s">
        <v>436</v>
      </c>
      <c r="F56" s="984">
        <v>9</v>
      </c>
      <c r="G56" s="217"/>
      <c r="H56" s="991"/>
      <c r="J56" s="997" t="s">
        <v>659</v>
      </c>
      <c r="K56" s="1124" t="s">
        <v>166</v>
      </c>
      <c r="M56" s="217">
        <v>13</v>
      </c>
    </row>
    <row r="57" spans="4:14" x14ac:dyDescent="0.2">
      <c r="D57" s="218"/>
      <c r="F57" s="985">
        <v>-465</v>
      </c>
      <c r="G57" s="1022" t="s">
        <v>314</v>
      </c>
      <c r="H57" s="989">
        <v>10</v>
      </c>
      <c r="J57" s="1037" t="s">
        <v>688</v>
      </c>
      <c r="K57" s="1003"/>
      <c r="L57" s="987"/>
    </row>
    <row r="58" spans="4:14" ht="13.5" thickBot="1" x14ac:dyDescent="0.25">
      <c r="D58" s="218">
        <v>23</v>
      </c>
      <c r="E58" s="1022" t="s">
        <v>614</v>
      </c>
      <c r="F58" s="989">
        <v>12</v>
      </c>
      <c r="G58" s="987"/>
      <c r="H58" s="991"/>
      <c r="J58" s="1037" t="s">
        <v>689</v>
      </c>
      <c r="L58" s="997" t="s">
        <v>267</v>
      </c>
      <c r="M58" s="1001"/>
      <c r="N58" s="1125" t="s">
        <v>166</v>
      </c>
    </row>
    <row r="59" spans="4:14" x14ac:dyDescent="0.2">
      <c r="D59" s="218"/>
      <c r="E59" s="981">
        <v>-456</v>
      </c>
      <c r="F59" s="988" t="s">
        <v>314</v>
      </c>
      <c r="G59" s="989">
        <v>13</v>
      </c>
      <c r="H59" s="991"/>
      <c r="J59" s="1037" t="s">
        <v>670</v>
      </c>
      <c r="L59" s="1019"/>
      <c r="M59" s="213"/>
      <c r="N59" s="1000" t="s">
        <v>287</v>
      </c>
    </row>
    <row r="60" spans="4:14" x14ac:dyDescent="0.2">
      <c r="D60" s="218">
        <v>10</v>
      </c>
      <c r="E60" s="1023" t="s">
        <v>314</v>
      </c>
      <c r="F60" s="990">
        <v>13</v>
      </c>
      <c r="G60" s="991"/>
      <c r="H60" s="991"/>
      <c r="J60" s="1037" t="s">
        <v>671</v>
      </c>
      <c r="K60" s="1020">
        <v>766</v>
      </c>
      <c r="L60" s="1021" t="s">
        <v>162</v>
      </c>
      <c r="M60" s="217">
        <v>9</v>
      </c>
      <c r="N60" s="213"/>
    </row>
    <row r="61" spans="4:14" ht="13.5" thickBot="1" x14ac:dyDescent="0.25">
      <c r="G61" s="985">
        <v>-486</v>
      </c>
      <c r="H61" s="993" t="s">
        <v>162</v>
      </c>
      <c r="I61" s="217">
        <v>13</v>
      </c>
      <c r="J61" s="991"/>
      <c r="L61" s="225"/>
      <c r="N61" s="1001" t="s">
        <v>162</v>
      </c>
    </row>
    <row r="62" spans="4:14" x14ac:dyDescent="0.2">
      <c r="D62" s="232">
        <v>15</v>
      </c>
      <c r="E62" s="1022" t="s">
        <v>354</v>
      </c>
      <c r="F62" s="217">
        <v>5</v>
      </c>
      <c r="G62" s="991"/>
      <c r="J62" s="991"/>
      <c r="M62" s="217"/>
      <c r="N62" s="221" t="s">
        <v>289</v>
      </c>
    </row>
    <row r="63" spans="4:14" x14ac:dyDescent="0.2">
      <c r="D63" s="218"/>
      <c r="E63" s="981">
        <v>-457</v>
      </c>
      <c r="F63" s="1025" t="s">
        <v>167</v>
      </c>
      <c r="G63" s="989">
        <v>9</v>
      </c>
      <c r="J63" s="991"/>
    </row>
    <row r="64" spans="4:14" x14ac:dyDescent="0.2">
      <c r="D64" s="218">
        <v>18</v>
      </c>
      <c r="E64" s="1023" t="s">
        <v>167</v>
      </c>
      <c r="F64" s="984">
        <v>13</v>
      </c>
      <c r="G64" s="991"/>
      <c r="J64" s="991"/>
    </row>
    <row r="65" spans="1:10" x14ac:dyDescent="0.2">
      <c r="D65" s="218"/>
      <c r="F65" s="985">
        <v>-466</v>
      </c>
      <c r="G65" s="993" t="s">
        <v>162</v>
      </c>
      <c r="H65" s="217">
        <v>13</v>
      </c>
      <c r="J65" s="991"/>
    </row>
    <row r="66" spans="1:10" x14ac:dyDescent="0.2">
      <c r="D66" s="218">
        <v>31</v>
      </c>
      <c r="E66" s="1022" t="s">
        <v>445</v>
      </c>
      <c r="F66" s="989">
        <v>12</v>
      </c>
      <c r="G66" s="213"/>
      <c r="J66" s="991"/>
    </row>
    <row r="67" spans="1:10" x14ac:dyDescent="0.2">
      <c r="D67" s="218"/>
      <c r="E67" s="981">
        <v>-458</v>
      </c>
      <c r="F67" s="988" t="s">
        <v>162</v>
      </c>
      <c r="G67" s="220">
        <v>13</v>
      </c>
      <c r="H67" s="213"/>
      <c r="I67" s="1002"/>
      <c r="J67" s="991"/>
    </row>
    <row r="68" spans="1:10" x14ac:dyDescent="0.2">
      <c r="D68" s="218">
        <v>2</v>
      </c>
      <c r="E68" s="1023" t="s">
        <v>162</v>
      </c>
      <c r="F68" s="990">
        <v>13</v>
      </c>
      <c r="G68" s="213"/>
      <c r="H68" s="213"/>
      <c r="J68" s="991"/>
    </row>
    <row r="69" spans="1:10" x14ac:dyDescent="0.2">
      <c r="D69" s="218"/>
      <c r="E69" s="864"/>
      <c r="F69" s="220"/>
      <c r="G69" s="213"/>
      <c r="H69" s="213"/>
      <c r="J69" s="1097"/>
    </row>
    <row r="70" spans="1:10" x14ac:dyDescent="0.2">
      <c r="A70" s="1109" t="s">
        <v>656</v>
      </c>
      <c r="B70" s="213"/>
      <c r="C70" s="220"/>
      <c r="D70" s="213"/>
      <c r="E70" s="213"/>
      <c r="G70" s="213"/>
      <c r="J70" s="1097" t="s">
        <v>672</v>
      </c>
    </row>
    <row r="71" spans="1:10" x14ac:dyDescent="0.2">
      <c r="A71" s="1022"/>
      <c r="B71" s="1087" t="s">
        <v>692</v>
      </c>
      <c r="C71" s="1087" t="s">
        <v>686</v>
      </c>
      <c r="D71" s="1090" t="s">
        <v>685</v>
      </c>
      <c r="E71" s="1091" t="s">
        <v>687</v>
      </c>
      <c r="F71" s="1091" t="s">
        <v>538</v>
      </c>
      <c r="G71" s="1092" t="s">
        <v>529</v>
      </c>
      <c r="H71" s="1089">
        <v>4</v>
      </c>
      <c r="I71" s="1089">
        <v>3</v>
      </c>
      <c r="J71" s="991"/>
    </row>
    <row r="72" spans="1:10" x14ac:dyDescent="0.2">
      <c r="B72" s="1087"/>
      <c r="C72" s="1087"/>
      <c r="D72" s="1090"/>
      <c r="E72" s="1091"/>
      <c r="F72" s="1091"/>
      <c r="G72" s="1092"/>
      <c r="J72" s="991"/>
    </row>
    <row r="73" spans="1:10" x14ac:dyDescent="0.2">
      <c r="A73" s="1004"/>
      <c r="H73" s="1101">
        <v>-519</v>
      </c>
      <c r="I73" s="983" t="s">
        <v>156</v>
      </c>
      <c r="J73" s="989">
        <v>2</v>
      </c>
    </row>
    <row r="74" spans="1:10" x14ac:dyDescent="0.2">
      <c r="A74" s="1004"/>
      <c r="C74" s="213"/>
      <c r="F74" s="1103">
        <v>-499</v>
      </c>
      <c r="G74" s="983" t="s">
        <v>182</v>
      </c>
      <c r="H74" s="220">
        <v>13</v>
      </c>
      <c r="I74" s="987"/>
      <c r="J74" s="991"/>
    </row>
    <row r="75" spans="1:10" x14ac:dyDescent="0.2">
      <c r="A75" s="232"/>
      <c r="D75" s="1101">
        <v>-486</v>
      </c>
      <c r="E75" s="983" t="s">
        <v>314</v>
      </c>
      <c r="F75" s="217">
        <v>13</v>
      </c>
      <c r="G75" s="987"/>
      <c r="I75" s="991"/>
      <c r="J75" s="991"/>
    </row>
    <row r="76" spans="1:10" x14ac:dyDescent="0.2">
      <c r="A76" s="218"/>
      <c r="B76" s="1101">
        <v>-462</v>
      </c>
      <c r="C76" s="1022" t="s">
        <v>397</v>
      </c>
      <c r="D76" s="217">
        <v>10</v>
      </c>
      <c r="E76" s="987"/>
      <c r="G76" s="991"/>
      <c r="I76" s="991"/>
      <c r="J76" s="1039"/>
    </row>
    <row r="77" spans="1:10" x14ac:dyDescent="0.2">
      <c r="A77" s="218"/>
      <c r="B77" s="221"/>
      <c r="C77" s="987"/>
      <c r="D77" s="217"/>
      <c r="E77" s="991"/>
      <c r="G77" s="991"/>
      <c r="I77" s="991"/>
      <c r="J77" s="991"/>
    </row>
    <row r="78" spans="1:10" x14ac:dyDescent="0.2">
      <c r="A78" s="218"/>
      <c r="B78" s="221"/>
      <c r="C78" s="1005">
        <v>475</v>
      </c>
      <c r="D78" s="217" t="s">
        <v>179</v>
      </c>
      <c r="E78" s="989">
        <v>13</v>
      </c>
      <c r="F78" s="213"/>
      <c r="G78" s="991"/>
      <c r="I78" s="991"/>
      <c r="J78" s="991"/>
    </row>
    <row r="79" spans="1:10" x14ac:dyDescent="0.2">
      <c r="A79" s="1099">
        <v>-451</v>
      </c>
      <c r="B79" s="210" t="s">
        <v>179</v>
      </c>
      <c r="C79" s="989">
        <v>13</v>
      </c>
      <c r="D79" s="1006"/>
      <c r="E79" s="1005">
        <v>505</v>
      </c>
      <c r="F79" s="983" t="s">
        <v>314</v>
      </c>
      <c r="G79" s="989">
        <v>13</v>
      </c>
      <c r="I79" s="991"/>
      <c r="J79" s="991"/>
    </row>
    <row r="80" spans="1:10" x14ac:dyDescent="0.2">
      <c r="A80" s="1099"/>
      <c r="B80" s="1007">
        <v>467</v>
      </c>
      <c r="C80" s="988" t="s">
        <v>179</v>
      </c>
      <c r="D80" s="989">
        <v>13</v>
      </c>
      <c r="E80" s="991"/>
      <c r="F80" s="991"/>
      <c r="G80" s="1013" t="s">
        <v>263</v>
      </c>
      <c r="H80" s="983" t="s">
        <v>182</v>
      </c>
      <c r="I80" s="989">
        <v>8</v>
      </c>
      <c r="J80" s="991"/>
    </row>
    <row r="81" spans="1:14" x14ac:dyDescent="0.2">
      <c r="A81" s="1099">
        <v>-452</v>
      </c>
      <c r="B81" s="1023" t="s">
        <v>355</v>
      </c>
      <c r="C81" s="990">
        <v>10</v>
      </c>
      <c r="E81" s="995"/>
      <c r="F81" s="995"/>
      <c r="G81" s="991"/>
      <c r="H81" s="1094"/>
      <c r="I81" s="991"/>
      <c r="J81" s="991"/>
    </row>
    <row r="82" spans="1:14" x14ac:dyDescent="0.2">
      <c r="A82" s="1099"/>
      <c r="B82" s="213"/>
      <c r="C82" s="220"/>
      <c r="D82" s="1008">
        <v>491</v>
      </c>
      <c r="E82" s="1024" t="s">
        <v>179</v>
      </c>
      <c r="F82" s="989">
        <v>12</v>
      </c>
      <c r="G82" s="991"/>
      <c r="H82" s="995"/>
      <c r="I82" s="991"/>
      <c r="J82" s="991"/>
    </row>
    <row r="83" spans="1:14" x14ac:dyDescent="0.2">
      <c r="A83" s="1100"/>
      <c r="B83" s="1101">
        <v>-461</v>
      </c>
      <c r="C83" s="210" t="s">
        <v>183</v>
      </c>
      <c r="D83" s="989">
        <v>13</v>
      </c>
      <c r="F83" s="991"/>
      <c r="G83" s="991"/>
      <c r="H83" s="995"/>
      <c r="I83" s="1013" t="s">
        <v>657</v>
      </c>
      <c r="J83" s="1123" t="s">
        <v>166</v>
      </c>
      <c r="K83" s="217">
        <v>13</v>
      </c>
    </row>
    <row r="84" spans="1:14" x14ac:dyDescent="0.2">
      <c r="A84" s="1100"/>
      <c r="B84" s="221"/>
      <c r="C84" s="1009"/>
      <c r="D84" s="991"/>
      <c r="F84" s="991"/>
      <c r="G84" s="991"/>
      <c r="H84" s="995"/>
      <c r="I84" s="213"/>
      <c r="J84" s="1010"/>
    </row>
    <row r="85" spans="1:14" x14ac:dyDescent="0.2">
      <c r="A85" s="1100"/>
      <c r="B85" s="221"/>
      <c r="C85" s="1008">
        <v>476</v>
      </c>
      <c r="D85" s="1029" t="s">
        <v>183</v>
      </c>
      <c r="E85" s="217">
        <v>6</v>
      </c>
      <c r="F85" s="991"/>
      <c r="G85" s="991"/>
      <c r="H85" s="995"/>
      <c r="I85" s="213"/>
      <c r="J85" s="1093"/>
    </row>
    <row r="86" spans="1:14" x14ac:dyDescent="0.2">
      <c r="A86" s="1099">
        <v>-453</v>
      </c>
      <c r="B86" s="213" t="s">
        <v>178</v>
      </c>
      <c r="C86" s="989">
        <v>13</v>
      </c>
      <c r="D86" s="1010"/>
      <c r="F86" s="1005">
        <v>515</v>
      </c>
      <c r="G86" s="993" t="s">
        <v>314</v>
      </c>
      <c r="H86" s="1012">
        <v>7</v>
      </c>
      <c r="I86" s="213"/>
      <c r="J86" s="1093"/>
    </row>
    <row r="87" spans="1:14" x14ac:dyDescent="0.2">
      <c r="A87" s="1099"/>
      <c r="B87" s="1007">
        <v>468</v>
      </c>
      <c r="C87" s="1024" t="s">
        <v>178</v>
      </c>
      <c r="D87" s="217">
        <v>7</v>
      </c>
      <c r="F87" s="991"/>
      <c r="G87" s="1003"/>
      <c r="H87" s="991"/>
      <c r="J87" s="1093"/>
    </row>
    <row r="88" spans="1:14" x14ac:dyDescent="0.2">
      <c r="A88" s="1099">
        <v>-454</v>
      </c>
      <c r="B88" s="1023" t="s">
        <v>349</v>
      </c>
      <c r="C88" s="990">
        <v>11</v>
      </c>
      <c r="F88" s="991"/>
      <c r="G88" s="213"/>
      <c r="H88" s="991"/>
      <c r="I88" s="991"/>
      <c r="J88" s="213"/>
    </row>
    <row r="89" spans="1:14" x14ac:dyDescent="0.2">
      <c r="A89" s="1099"/>
      <c r="B89" s="213"/>
      <c r="C89" s="220"/>
      <c r="D89" s="1102">
        <v>-485</v>
      </c>
      <c r="E89" s="1028" t="s">
        <v>160</v>
      </c>
      <c r="F89" s="989">
        <v>8</v>
      </c>
      <c r="G89" s="213"/>
      <c r="H89" s="991"/>
      <c r="I89" s="991"/>
      <c r="J89" s="213"/>
    </row>
    <row r="90" spans="1:14" x14ac:dyDescent="0.2">
      <c r="A90" s="1099"/>
      <c r="B90" s="1101">
        <v>-460</v>
      </c>
      <c r="C90" s="1022" t="s">
        <v>351</v>
      </c>
      <c r="D90" s="217">
        <v>6</v>
      </c>
      <c r="E90" s="987"/>
      <c r="F90" s="991"/>
      <c r="G90" s="213"/>
      <c r="H90" s="991"/>
      <c r="I90" s="991"/>
      <c r="J90" s="213"/>
    </row>
    <row r="91" spans="1:14" ht="13.5" thickBot="1" x14ac:dyDescent="0.25">
      <c r="A91" s="1099"/>
      <c r="B91" s="221"/>
      <c r="C91" s="1011"/>
      <c r="E91" s="991"/>
      <c r="F91" s="991"/>
      <c r="G91" s="213"/>
      <c r="H91" s="991"/>
      <c r="I91" s="991"/>
      <c r="J91" s="213"/>
      <c r="M91" s="1098" t="s">
        <v>266</v>
      </c>
      <c r="N91" s="210" t="s">
        <v>156</v>
      </c>
    </row>
    <row r="92" spans="1:14" x14ac:dyDescent="0.2">
      <c r="A92" s="1099"/>
      <c r="B92" s="221"/>
      <c r="C92" s="1005">
        <v>477</v>
      </c>
      <c r="D92" s="210" t="s">
        <v>614</v>
      </c>
      <c r="E92" s="989">
        <v>13</v>
      </c>
      <c r="F92" s="991"/>
      <c r="G92" s="213"/>
      <c r="H92" s="991"/>
      <c r="I92" s="991"/>
      <c r="J92" s="213"/>
      <c r="M92" s="225"/>
      <c r="N92" s="1000" t="s">
        <v>292</v>
      </c>
    </row>
    <row r="93" spans="1:14" x14ac:dyDescent="0.2">
      <c r="A93" s="1099">
        <v>-455</v>
      </c>
      <c r="B93" s="1022" t="s">
        <v>436</v>
      </c>
      <c r="C93" s="989">
        <v>11</v>
      </c>
      <c r="D93" s="987"/>
      <c r="E93" s="1005">
        <v>506</v>
      </c>
      <c r="F93" s="1026" t="s">
        <v>614</v>
      </c>
      <c r="G93" s="220">
        <v>10</v>
      </c>
      <c r="H93" s="991"/>
      <c r="I93" s="991"/>
      <c r="J93" s="213"/>
      <c r="M93" s="225"/>
    </row>
    <row r="94" spans="1:14" ht="13.5" thickBot="1" x14ac:dyDescent="0.25">
      <c r="A94" s="1099"/>
      <c r="B94" s="1007">
        <v>469</v>
      </c>
      <c r="C94" s="988" t="s">
        <v>614</v>
      </c>
      <c r="D94" s="989">
        <v>13</v>
      </c>
      <c r="E94" s="991"/>
      <c r="F94" s="213"/>
      <c r="G94" s="213"/>
      <c r="H94" s="1013" t="s">
        <v>120</v>
      </c>
      <c r="I94" s="1123" t="s">
        <v>166</v>
      </c>
      <c r="J94" s="220">
        <v>13</v>
      </c>
      <c r="M94" s="1098" t="s">
        <v>120</v>
      </c>
      <c r="N94" s="213" t="s">
        <v>182</v>
      </c>
    </row>
    <row r="95" spans="1:14" x14ac:dyDescent="0.2">
      <c r="A95" s="1099">
        <v>-456</v>
      </c>
      <c r="B95" s="983" t="s">
        <v>614</v>
      </c>
      <c r="C95" s="990">
        <v>13</v>
      </c>
      <c r="E95" s="995"/>
      <c r="G95" s="213"/>
      <c r="H95" s="213"/>
      <c r="I95" s="1010"/>
      <c r="J95" s="213"/>
      <c r="N95" s="1000" t="s">
        <v>293</v>
      </c>
    </row>
    <row r="96" spans="1:14" x14ac:dyDescent="0.2">
      <c r="A96" s="1099"/>
      <c r="B96" s="213"/>
      <c r="C96" s="220"/>
      <c r="D96" s="1041">
        <v>492</v>
      </c>
      <c r="E96" s="988" t="s">
        <v>614</v>
      </c>
      <c r="F96" s="220">
        <v>13</v>
      </c>
      <c r="G96" s="213"/>
      <c r="H96" s="213"/>
      <c r="I96" s="1093"/>
      <c r="J96" s="213"/>
    </row>
    <row r="97" spans="1:12" x14ac:dyDescent="0.2">
      <c r="A97" s="1099"/>
      <c r="B97" s="1101">
        <v>-459</v>
      </c>
      <c r="C97" s="1022" t="s">
        <v>52</v>
      </c>
      <c r="D97" s="1033" t="s">
        <v>306</v>
      </c>
      <c r="F97" s="213"/>
      <c r="G97" s="213"/>
      <c r="H97" s="213"/>
      <c r="I97" s="1093"/>
      <c r="J97" s="213"/>
    </row>
    <row r="98" spans="1:12" x14ac:dyDescent="0.2">
      <c r="A98" s="1099"/>
      <c r="B98" s="221"/>
      <c r="C98" s="1009"/>
      <c r="D98" s="995"/>
      <c r="F98" s="213"/>
      <c r="G98" s="213"/>
      <c r="I98" s="1093"/>
    </row>
    <row r="99" spans="1:12" x14ac:dyDescent="0.2">
      <c r="A99" s="1099"/>
      <c r="B99" s="221"/>
      <c r="C99" s="1005">
        <v>478</v>
      </c>
      <c r="D99" s="1026" t="s">
        <v>354</v>
      </c>
      <c r="E99" s="217">
        <v>7</v>
      </c>
      <c r="F99" s="213"/>
      <c r="G99" s="213"/>
      <c r="H99" s="991"/>
      <c r="I99" s="1093"/>
      <c r="J99" s="213"/>
    </row>
    <row r="100" spans="1:12" x14ac:dyDescent="0.2">
      <c r="A100" s="1099">
        <v>-457</v>
      </c>
      <c r="B100" s="213" t="s">
        <v>354</v>
      </c>
      <c r="C100" s="989">
        <v>13</v>
      </c>
      <c r="H100" s="991"/>
      <c r="J100" s="213"/>
    </row>
    <row r="101" spans="1:12" x14ac:dyDescent="0.2">
      <c r="A101" s="1099"/>
      <c r="B101" s="1014">
        <v>470</v>
      </c>
      <c r="C101" s="993" t="s">
        <v>354</v>
      </c>
      <c r="D101" s="217">
        <v>13</v>
      </c>
      <c r="H101" s="991"/>
      <c r="J101" s="213"/>
    </row>
    <row r="102" spans="1:12" x14ac:dyDescent="0.2">
      <c r="A102" s="1101">
        <v>-458</v>
      </c>
      <c r="B102" s="1023" t="s">
        <v>445</v>
      </c>
      <c r="C102" s="990">
        <v>7</v>
      </c>
      <c r="H102" s="991"/>
      <c r="J102" s="213"/>
    </row>
    <row r="103" spans="1:12" x14ac:dyDescent="0.2">
      <c r="A103" s="1101"/>
      <c r="B103" s="864"/>
      <c r="C103" s="220"/>
      <c r="D103" s="372"/>
      <c r="E103" s="217"/>
      <c r="F103" s="1103">
        <v>-500</v>
      </c>
      <c r="G103" s="983" t="s">
        <v>159</v>
      </c>
      <c r="H103" s="989">
        <v>5</v>
      </c>
      <c r="J103" s="213"/>
    </row>
    <row r="104" spans="1:12" x14ac:dyDescent="0.2">
      <c r="A104" s="1101"/>
      <c r="B104" s="864"/>
      <c r="C104" s="220"/>
      <c r="D104" s="1102">
        <v>-484</v>
      </c>
      <c r="E104" s="1121" t="s">
        <v>166</v>
      </c>
      <c r="F104" s="217">
        <v>13</v>
      </c>
      <c r="G104" s="987"/>
      <c r="H104" s="991"/>
      <c r="J104" s="213"/>
    </row>
    <row r="105" spans="1:12" x14ac:dyDescent="0.2">
      <c r="A105" s="1099"/>
      <c r="B105" s="1101">
        <v>-466</v>
      </c>
      <c r="C105" s="1022" t="s">
        <v>167</v>
      </c>
      <c r="D105" s="217">
        <v>10</v>
      </c>
      <c r="E105" s="987"/>
      <c r="F105" s="213"/>
      <c r="G105" s="989"/>
      <c r="H105" s="991"/>
      <c r="J105" s="213"/>
    </row>
    <row r="106" spans="1:12" x14ac:dyDescent="0.2">
      <c r="A106" s="1099"/>
      <c r="B106" s="221"/>
      <c r="C106" s="1009"/>
      <c r="F106" s="999"/>
      <c r="G106" s="991"/>
      <c r="H106" s="991"/>
      <c r="J106" s="213"/>
    </row>
    <row r="107" spans="1:12" x14ac:dyDescent="0.2">
      <c r="A107" s="1099"/>
      <c r="B107" s="221"/>
      <c r="C107" s="1005">
        <v>479</v>
      </c>
      <c r="D107" s="1022" t="s">
        <v>332</v>
      </c>
      <c r="E107" s="220">
        <v>5</v>
      </c>
      <c r="F107" s="999"/>
      <c r="G107" s="989"/>
      <c r="H107" s="991"/>
      <c r="J107" s="213"/>
    </row>
    <row r="108" spans="1:12" x14ac:dyDescent="0.2">
      <c r="A108" s="1099">
        <v>-443</v>
      </c>
      <c r="B108" s="1022" t="s">
        <v>306</v>
      </c>
      <c r="C108" s="1033">
        <v>0</v>
      </c>
      <c r="D108" s="1006"/>
      <c r="E108" s="1038">
        <v>507</v>
      </c>
      <c r="F108" s="1122" t="s">
        <v>166</v>
      </c>
      <c r="G108" s="989">
        <v>13</v>
      </c>
      <c r="H108" s="991"/>
      <c r="J108" s="213"/>
      <c r="L108" s="217"/>
    </row>
    <row r="109" spans="1:12" x14ac:dyDescent="0.2">
      <c r="A109" s="1099"/>
      <c r="B109" s="1007">
        <v>471</v>
      </c>
      <c r="C109" s="988" t="s">
        <v>332</v>
      </c>
      <c r="D109" s="989">
        <v>13</v>
      </c>
      <c r="E109" s="991"/>
      <c r="F109" s="1012"/>
      <c r="G109" s="1096" t="s">
        <v>271</v>
      </c>
      <c r="H109" s="1123" t="s">
        <v>166</v>
      </c>
      <c r="I109" s="220">
        <v>13</v>
      </c>
      <c r="J109" s="213"/>
    </row>
    <row r="110" spans="1:12" x14ac:dyDescent="0.2">
      <c r="A110" s="1099">
        <v>-444</v>
      </c>
      <c r="B110" s="1023" t="s">
        <v>332</v>
      </c>
      <c r="C110" s="990">
        <v>13</v>
      </c>
      <c r="E110" s="995"/>
      <c r="F110" s="995"/>
      <c r="G110" s="991"/>
      <c r="H110" s="1003"/>
      <c r="I110" s="213"/>
      <c r="J110" s="213"/>
    </row>
    <row r="111" spans="1:12" x14ac:dyDescent="0.2">
      <c r="A111" s="1099"/>
      <c r="B111" s="213"/>
      <c r="C111" s="220"/>
      <c r="D111" s="1008">
        <v>493</v>
      </c>
      <c r="E111" s="1024" t="s">
        <v>176</v>
      </c>
      <c r="F111" s="220">
        <v>4</v>
      </c>
      <c r="G111" s="995"/>
      <c r="H111" s="213"/>
      <c r="I111" s="213"/>
      <c r="J111" s="213"/>
    </row>
    <row r="112" spans="1:12" x14ac:dyDescent="0.2">
      <c r="A112" s="1100"/>
      <c r="B112" s="1101">
        <v>-465</v>
      </c>
      <c r="C112" s="210" t="s">
        <v>176</v>
      </c>
      <c r="D112" s="989">
        <v>13</v>
      </c>
      <c r="F112" s="213"/>
      <c r="G112" s="995"/>
      <c r="H112" s="213"/>
      <c r="I112" s="213"/>
      <c r="J112" s="213"/>
    </row>
    <row r="113" spans="1:14" x14ac:dyDescent="0.2">
      <c r="A113" s="1100"/>
      <c r="B113" s="221"/>
      <c r="C113" s="1009"/>
      <c r="D113" s="991"/>
      <c r="G113" s="995"/>
      <c r="H113" s="213"/>
      <c r="I113" s="213"/>
      <c r="J113" s="213"/>
    </row>
    <row r="114" spans="1:14" x14ac:dyDescent="0.2">
      <c r="A114" s="1100"/>
      <c r="B114" s="221"/>
      <c r="C114" s="1005">
        <v>480</v>
      </c>
      <c r="D114" s="991" t="s">
        <v>176</v>
      </c>
      <c r="E114" s="217">
        <v>13</v>
      </c>
      <c r="G114" s="995"/>
      <c r="H114" s="213"/>
      <c r="I114" s="213"/>
      <c r="J114" s="213"/>
    </row>
    <row r="115" spans="1:14" x14ac:dyDescent="0.2">
      <c r="A115" s="1099">
        <v>-445</v>
      </c>
      <c r="B115" s="864" t="s">
        <v>313</v>
      </c>
      <c r="C115" s="989">
        <v>12</v>
      </c>
      <c r="D115" s="1010"/>
      <c r="F115" s="1038">
        <v>516</v>
      </c>
      <c r="G115" s="1119" t="s">
        <v>166</v>
      </c>
      <c r="H115" s="220">
        <v>13</v>
      </c>
      <c r="I115" s="213"/>
      <c r="J115" s="213"/>
    </row>
    <row r="116" spans="1:14" x14ac:dyDescent="0.2">
      <c r="A116" s="1099"/>
      <c r="B116" s="1007">
        <v>472</v>
      </c>
      <c r="C116" s="1024" t="s">
        <v>353</v>
      </c>
      <c r="D116" s="217">
        <v>12</v>
      </c>
      <c r="F116" s="213"/>
      <c r="G116" s="1010"/>
      <c r="H116" s="213"/>
      <c r="I116" s="213"/>
      <c r="J116" s="213"/>
    </row>
    <row r="117" spans="1:14" x14ac:dyDescent="0.2">
      <c r="A117" s="1099">
        <v>-446</v>
      </c>
      <c r="B117" s="1023" t="s">
        <v>353</v>
      </c>
      <c r="C117" s="990">
        <v>13</v>
      </c>
      <c r="F117" s="213"/>
      <c r="G117" s="1093"/>
      <c r="H117" s="213"/>
      <c r="I117" s="213"/>
      <c r="J117" s="213"/>
    </row>
    <row r="118" spans="1:14" x14ac:dyDescent="0.2">
      <c r="A118" s="1099"/>
      <c r="B118" s="213"/>
      <c r="C118" s="220"/>
      <c r="D118" s="1102">
        <v>-483</v>
      </c>
      <c r="E118" s="1028" t="s">
        <v>170</v>
      </c>
      <c r="F118" s="220">
        <v>5</v>
      </c>
      <c r="G118" s="1093"/>
      <c r="H118" s="213"/>
      <c r="I118" s="213"/>
      <c r="J118" s="213"/>
    </row>
    <row r="119" spans="1:14" x14ac:dyDescent="0.2">
      <c r="A119" s="1099"/>
      <c r="B119" s="1101">
        <v>-464</v>
      </c>
      <c r="C119" s="210" t="s">
        <v>169</v>
      </c>
      <c r="D119" s="217">
        <v>13</v>
      </c>
      <c r="E119" s="987"/>
      <c r="F119" s="991"/>
      <c r="G119" s="213"/>
      <c r="H119" s="213"/>
      <c r="J119" s="213"/>
      <c r="K119" s="1098" t="s">
        <v>263</v>
      </c>
      <c r="L119" s="210" t="s">
        <v>314</v>
      </c>
      <c r="M119" s="220">
        <v>13</v>
      </c>
      <c r="N119" s="213"/>
    </row>
    <row r="120" spans="1:14" ht="13.5" thickBot="1" x14ac:dyDescent="0.25">
      <c r="A120" s="1099"/>
      <c r="B120" s="221"/>
      <c r="C120" s="1009"/>
      <c r="E120" s="991"/>
      <c r="F120" s="991"/>
      <c r="G120" s="213"/>
      <c r="H120" s="213"/>
      <c r="I120" s="232"/>
      <c r="J120" s="213"/>
      <c r="L120" s="987"/>
      <c r="M120" s="1001"/>
      <c r="N120" s="1001" t="s">
        <v>314</v>
      </c>
    </row>
    <row r="121" spans="1:14" x14ac:dyDescent="0.2">
      <c r="A121" s="1099"/>
      <c r="B121" s="221"/>
      <c r="C121" s="1005">
        <v>481</v>
      </c>
      <c r="D121" s="1022" t="s">
        <v>169</v>
      </c>
      <c r="E121" s="989">
        <v>7</v>
      </c>
      <c r="F121" s="991"/>
      <c r="G121" s="213"/>
      <c r="H121" s="213"/>
      <c r="J121" s="213"/>
      <c r="K121" s="1098" t="s">
        <v>271</v>
      </c>
      <c r="L121" s="993" t="s">
        <v>159</v>
      </c>
      <c r="M121" s="217">
        <v>7</v>
      </c>
      <c r="N121" s="219" t="s">
        <v>294</v>
      </c>
    </row>
    <row r="122" spans="1:14" x14ac:dyDescent="0.2">
      <c r="A122" s="1099">
        <v>-447</v>
      </c>
      <c r="B122" s="1022" t="s">
        <v>173</v>
      </c>
      <c r="C122" s="989">
        <v>13</v>
      </c>
      <c r="D122" s="1006"/>
      <c r="E122" s="1005">
        <v>508</v>
      </c>
      <c r="F122" s="1024" t="s">
        <v>164</v>
      </c>
      <c r="G122" s="220">
        <v>6</v>
      </c>
      <c r="H122" s="213"/>
      <c r="I122" s="213"/>
      <c r="J122" s="213"/>
      <c r="N122" s="213"/>
    </row>
    <row r="123" spans="1:14" ht="13.5" thickBot="1" x14ac:dyDescent="0.25">
      <c r="A123" s="1099"/>
      <c r="B123" s="1007">
        <v>473</v>
      </c>
      <c r="C123" s="1024" t="s">
        <v>173</v>
      </c>
      <c r="D123" s="989">
        <v>4</v>
      </c>
      <c r="E123" s="991"/>
      <c r="F123" s="213"/>
      <c r="G123" s="213"/>
      <c r="H123" s="213"/>
      <c r="I123" s="213"/>
      <c r="J123" s="213"/>
      <c r="L123" s="213"/>
      <c r="N123" s="1027" t="s">
        <v>159</v>
      </c>
    </row>
    <row r="124" spans="1:14" x14ac:dyDescent="0.2">
      <c r="A124" s="1099">
        <v>-448</v>
      </c>
      <c r="B124" s="1023" t="s">
        <v>348</v>
      </c>
      <c r="C124" s="990">
        <v>6</v>
      </c>
      <c r="E124" s="995"/>
      <c r="G124" s="213"/>
      <c r="I124" s="213"/>
      <c r="J124" s="213"/>
      <c r="M124" s="213"/>
      <c r="N124" s="219" t="s">
        <v>295</v>
      </c>
    </row>
    <row r="125" spans="1:14" x14ac:dyDescent="0.2">
      <c r="A125" s="1099"/>
      <c r="B125" s="213"/>
      <c r="C125" s="220"/>
      <c r="D125" s="1008">
        <v>494</v>
      </c>
      <c r="E125" s="988" t="s">
        <v>164</v>
      </c>
      <c r="F125" s="220">
        <v>13</v>
      </c>
      <c r="G125" s="213"/>
      <c r="I125" s="213"/>
      <c r="J125" s="213"/>
    </row>
    <row r="126" spans="1:14" x14ac:dyDescent="0.2">
      <c r="A126" s="1099"/>
      <c r="B126" s="1101">
        <v>-463</v>
      </c>
      <c r="C126" s="210" t="s">
        <v>164</v>
      </c>
      <c r="D126" s="989">
        <v>13</v>
      </c>
      <c r="F126" s="213"/>
      <c r="G126" s="213"/>
      <c r="I126" s="213"/>
      <c r="J126" s="213"/>
      <c r="K126" s="1088">
        <v>515</v>
      </c>
      <c r="L126" s="210" t="s">
        <v>614</v>
      </c>
      <c r="M126" s="220">
        <v>8</v>
      </c>
      <c r="N126" s="213"/>
    </row>
    <row r="127" spans="1:14" ht="13.5" thickBot="1" x14ac:dyDescent="0.25">
      <c r="A127" s="1099"/>
      <c r="B127" s="221"/>
      <c r="C127" s="1009"/>
      <c r="D127" s="991"/>
      <c r="F127" s="213"/>
      <c r="G127" s="213"/>
      <c r="I127" s="213"/>
      <c r="J127" s="213"/>
      <c r="L127" s="987"/>
      <c r="M127" s="1001"/>
      <c r="N127" s="1001" t="s">
        <v>164</v>
      </c>
    </row>
    <row r="128" spans="1:14" x14ac:dyDescent="0.2">
      <c r="A128" s="1099"/>
      <c r="B128" s="221"/>
      <c r="C128" s="1005">
        <v>482</v>
      </c>
      <c r="D128" s="993" t="s">
        <v>164</v>
      </c>
      <c r="E128" s="217">
        <v>13</v>
      </c>
      <c r="F128" s="213"/>
      <c r="G128" s="213"/>
      <c r="I128" s="213"/>
      <c r="J128" s="213"/>
      <c r="K128" s="1088">
        <v>516</v>
      </c>
      <c r="L128" s="993" t="s">
        <v>164</v>
      </c>
      <c r="M128" s="217">
        <v>13</v>
      </c>
      <c r="N128" s="219" t="s">
        <v>296</v>
      </c>
    </row>
    <row r="129" spans="1:14" x14ac:dyDescent="0.2">
      <c r="A129" s="1099">
        <v>-449</v>
      </c>
      <c r="B129" s="864" t="s">
        <v>404</v>
      </c>
      <c r="C129" s="989">
        <v>12</v>
      </c>
      <c r="E129" s="217"/>
      <c r="G129" s="213"/>
      <c r="I129" s="213"/>
      <c r="J129" s="213"/>
      <c r="N129" s="213"/>
    </row>
    <row r="130" spans="1:14" ht="13.5" thickBot="1" x14ac:dyDescent="0.25">
      <c r="A130" s="1099"/>
      <c r="B130" s="1007">
        <v>474</v>
      </c>
      <c r="C130" s="1024" t="s">
        <v>184</v>
      </c>
      <c r="D130" s="217">
        <v>5</v>
      </c>
      <c r="F130" s="213"/>
      <c r="G130" s="213"/>
      <c r="I130" s="213"/>
      <c r="J130" s="213"/>
      <c r="N130" s="1001" t="s">
        <v>614</v>
      </c>
    </row>
    <row r="131" spans="1:14" x14ac:dyDescent="0.2">
      <c r="A131" s="1101">
        <v>-450</v>
      </c>
      <c r="B131" s="983" t="s">
        <v>184</v>
      </c>
      <c r="C131" s="990">
        <v>13</v>
      </c>
      <c r="D131" s="220"/>
      <c r="E131" s="217"/>
      <c r="M131" s="213"/>
      <c r="N131" s="219" t="s">
        <v>297</v>
      </c>
    </row>
    <row r="132" spans="1:14" x14ac:dyDescent="0.2">
      <c r="B132" s="213"/>
      <c r="C132" s="220"/>
      <c r="D132" s="220"/>
      <c r="E132" s="217"/>
      <c r="F132" s="213"/>
    </row>
    <row r="133" spans="1:14" x14ac:dyDescent="0.2">
      <c r="A133" s="1117" t="s">
        <v>329</v>
      </c>
      <c r="B133" s="213"/>
      <c r="F133" s="213"/>
      <c r="G133" s="213"/>
      <c r="H133" s="213"/>
      <c r="J133" s="1095">
        <v>505</v>
      </c>
      <c r="K133" s="210" t="s">
        <v>179</v>
      </c>
      <c r="L133" s="217">
        <v>1</v>
      </c>
    </row>
    <row r="134" spans="1:14" x14ac:dyDescent="0.2">
      <c r="J134" s="218"/>
      <c r="K134" s="1016">
        <v>517</v>
      </c>
      <c r="L134" s="983" t="s">
        <v>160</v>
      </c>
      <c r="M134" s="220">
        <v>13</v>
      </c>
    </row>
    <row r="135" spans="1:14" x14ac:dyDescent="0.2">
      <c r="J135" s="1098">
        <v>506</v>
      </c>
      <c r="K135" s="993" t="s">
        <v>160</v>
      </c>
      <c r="L135" s="1015">
        <v>13</v>
      </c>
    </row>
    <row r="136" spans="1:14" ht="13.5" thickBot="1" x14ac:dyDescent="0.25">
      <c r="J136" s="218"/>
      <c r="L136" s="991"/>
      <c r="N136" s="210" t="s">
        <v>160</v>
      </c>
    </row>
    <row r="137" spans="1:14" x14ac:dyDescent="0.2">
      <c r="J137" s="1098">
        <v>507</v>
      </c>
      <c r="K137" s="1022" t="s">
        <v>176</v>
      </c>
      <c r="L137" s="989">
        <v>13</v>
      </c>
      <c r="M137" s="1017"/>
      <c r="N137" s="1000" t="s">
        <v>303</v>
      </c>
    </row>
    <row r="138" spans="1:14" x14ac:dyDescent="0.2">
      <c r="J138" s="218"/>
      <c r="K138" s="1016">
        <v>518</v>
      </c>
      <c r="L138" s="993" t="s">
        <v>176</v>
      </c>
      <c r="M138" s="220">
        <v>5</v>
      </c>
    </row>
    <row r="139" spans="1:14" ht="13.5" thickBot="1" x14ac:dyDescent="0.25">
      <c r="J139" s="1098">
        <v>508</v>
      </c>
      <c r="K139" s="993" t="s">
        <v>170</v>
      </c>
      <c r="L139" s="217">
        <v>2</v>
      </c>
      <c r="M139" s="213"/>
      <c r="N139" s="213" t="s">
        <v>176</v>
      </c>
    </row>
    <row r="140" spans="1:14" x14ac:dyDescent="0.2">
      <c r="J140" s="221"/>
      <c r="M140" s="213"/>
      <c r="N140" s="1000" t="s">
        <v>304</v>
      </c>
    </row>
    <row r="141" spans="1:14" x14ac:dyDescent="0.2">
      <c r="J141" s="221"/>
      <c r="K141" s="218">
        <v>517</v>
      </c>
      <c r="L141" s="210" t="s">
        <v>179</v>
      </c>
      <c r="M141" s="220">
        <v>4</v>
      </c>
      <c r="N141" s="213"/>
    </row>
    <row r="142" spans="1:14" ht="13.5" thickBot="1" x14ac:dyDescent="0.25">
      <c r="J142" s="221"/>
      <c r="L142" s="987"/>
      <c r="M142" s="1001"/>
      <c r="N142" s="1001" t="s">
        <v>170</v>
      </c>
    </row>
    <row r="143" spans="1:14" x14ac:dyDescent="0.2">
      <c r="J143" s="221"/>
      <c r="K143" s="218">
        <v>518</v>
      </c>
      <c r="L143" s="993" t="s">
        <v>170</v>
      </c>
      <c r="M143" s="217">
        <v>13</v>
      </c>
      <c r="N143" s="219" t="s">
        <v>307</v>
      </c>
    </row>
    <row r="144" spans="1:14" x14ac:dyDescent="0.2">
      <c r="J144" s="221"/>
      <c r="N144" s="213"/>
    </row>
    <row r="145" spans="1:14" ht="13.5" thickBot="1" x14ac:dyDescent="0.25">
      <c r="J145" s="221"/>
      <c r="L145" s="213"/>
      <c r="N145" s="1001" t="s">
        <v>179</v>
      </c>
    </row>
    <row r="146" spans="1:14" x14ac:dyDescent="0.2">
      <c r="J146" s="221"/>
      <c r="M146" s="213"/>
      <c r="N146" s="219" t="s">
        <v>308</v>
      </c>
    </row>
    <row r="147" spans="1:14" x14ac:dyDescent="0.2">
      <c r="A147" s="1117" t="s">
        <v>658</v>
      </c>
      <c r="B147" s="213"/>
      <c r="F147" s="213"/>
      <c r="G147" s="213"/>
      <c r="H147" s="213"/>
      <c r="J147" s="213"/>
    </row>
    <row r="148" spans="1:14" x14ac:dyDescent="0.2">
      <c r="J148" s="1095">
        <v>491</v>
      </c>
      <c r="K148" s="210" t="s">
        <v>183</v>
      </c>
      <c r="L148" s="217">
        <v>133</v>
      </c>
    </row>
    <row r="149" spans="1:14" x14ac:dyDescent="0.2">
      <c r="J149" s="218"/>
      <c r="K149" s="1016">
        <v>513</v>
      </c>
      <c r="L149" s="983" t="s">
        <v>183</v>
      </c>
      <c r="M149" s="1030" t="s">
        <v>13</v>
      </c>
    </row>
    <row r="150" spans="1:14" x14ac:dyDescent="0.2">
      <c r="J150" s="1098">
        <v>492</v>
      </c>
      <c r="K150" s="993" t="s">
        <v>354</v>
      </c>
      <c r="L150" s="1015">
        <v>10</v>
      </c>
    </row>
    <row r="151" spans="1:14" ht="13.5" thickBot="1" x14ac:dyDescent="0.25">
      <c r="J151" s="218"/>
      <c r="L151" s="991"/>
      <c r="N151" s="210" t="s">
        <v>332</v>
      </c>
    </row>
    <row r="152" spans="1:14" x14ac:dyDescent="0.2">
      <c r="J152" s="1098">
        <v>493</v>
      </c>
      <c r="K152" s="210" t="s">
        <v>332</v>
      </c>
      <c r="L152" s="989">
        <v>13</v>
      </c>
      <c r="M152" s="1017"/>
      <c r="N152" s="1000" t="s">
        <v>309</v>
      </c>
    </row>
    <row r="153" spans="1:14" x14ac:dyDescent="0.2">
      <c r="J153" s="218"/>
      <c r="K153" s="1016">
        <v>514</v>
      </c>
      <c r="L153" s="993" t="s">
        <v>332</v>
      </c>
      <c r="M153" s="220">
        <v>13</v>
      </c>
    </row>
    <row r="154" spans="1:14" ht="13.5" thickBot="1" x14ac:dyDescent="0.25">
      <c r="J154" s="1098">
        <v>494</v>
      </c>
      <c r="K154" s="993" t="s">
        <v>169</v>
      </c>
      <c r="L154" s="217">
        <v>12</v>
      </c>
      <c r="M154" s="213"/>
      <c r="N154" s="213" t="s">
        <v>183</v>
      </c>
    </row>
    <row r="155" spans="1:14" x14ac:dyDescent="0.2">
      <c r="J155" s="221"/>
      <c r="M155" s="213"/>
      <c r="N155" s="1000" t="s">
        <v>310</v>
      </c>
    </row>
    <row r="156" spans="1:14" x14ac:dyDescent="0.2">
      <c r="J156" s="221"/>
      <c r="K156" s="218">
        <v>513</v>
      </c>
      <c r="L156" s="210" t="s">
        <v>354</v>
      </c>
      <c r="M156" s="220">
        <v>13</v>
      </c>
      <c r="N156" s="213"/>
    </row>
    <row r="157" spans="1:14" ht="13.5" thickBot="1" x14ac:dyDescent="0.25">
      <c r="J157" s="221"/>
      <c r="L157" s="987"/>
      <c r="M157" s="1001"/>
      <c r="N157" s="1001" t="s">
        <v>354</v>
      </c>
    </row>
    <row r="158" spans="1:14" x14ac:dyDescent="0.2">
      <c r="J158" s="221"/>
      <c r="K158" s="218">
        <v>514</v>
      </c>
      <c r="L158" s="993" t="s">
        <v>169</v>
      </c>
      <c r="M158" s="217">
        <v>12</v>
      </c>
      <c r="N158" s="219" t="s">
        <v>311</v>
      </c>
    </row>
    <row r="159" spans="1:14" x14ac:dyDescent="0.2">
      <c r="J159" s="221"/>
      <c r="N159" s="213"/>
    </row>
    <row r="160" spans="1:14" ht="13.5" thickBot="1" x14ac:dyDescent="0.25">
      <c r="J160" s="221"/>
      <c r="L160" s="213"/>
      <c r="N160" s="1001" t="s">
        <v>169</v>
      </c>
    </row>
    <row r="161" spans="1:14" x14ac:dyDescent="0.2">
      <c r="J161" s="221"/>
      <c r="M161" s="213"/>
      <c r="N161" s="219" t="s">
        <v>312</v>
      </c>
    </row>
    <row r="162" spans="1:14" x14ac:dyDescent="0.2">
      <c r="J162" s="221"/>
      <c r="M162" s="213"/>
      <c r="N162" s="219"/>
    </row>
    <row r="163" spans="1:14" x14ac:dyDescent="0.2">
      <c r="A163" s="1089" t="s">
        <v>684</v>
      </c>
      <c r="B163" s="213"/>
      <c r="C163" s="220"/>
      <c r="F163" s="220"/>
      <c r="G163" s="217"/>
      <c r="I163" s="1095">
        <v>475</v>
      </c>
      <c r="J163" s="1022" t="s">
        <v>397</v>
      </c>
      <c r="K163" s="217">
        <v>6</v>
      </c>
      <c r="N163" s="213"/>
    </row>
    <row r="164" spans="1:14" x14ac:dyDescent="0.2">
      <c r="A164" s="216"/>
      <c r="I164" s="218"/>
      <c r="J164" s="1018">
        <v>495</v>
      </c>
      <c r="K164" s="982" t="s">
        <v>178</v>
      </c>
      <c r="L164" s="217">
        <v>13</v>
      </c>
      <c r="N164" s="213"/>
    </row>
    <row r="165" spans="1:14" x14ac:dyDescent="0.2">
      <c r="I165" s="1098">
        <v>476</v>
      </c>
      <c r="J165" s="983" t="s">
        <v>178</v>
      </c>
      <c r="K165" s="984">
        <v>13</v>
      </c>
      <c r="N165" s="213"/>
    </row>
    <row r="166" spans="1:14" x14ac:dyDescent="0.2">
      <c r="I166" s="218"/>
      <c r="K166" s="994">
        <v>511</v>
      </c>
      <c r="L166" s="213" t="s">
        <v>178</v>
      </c>
      <c r="M166" s="217">
        <v>5</v>
      </c>
      <c r="N166" s="213"/>
    </row>
    <row r="167" spans="1:14" x14ac:dyDescent="0.2">
      <c r="I167" s="1098">
        <v>477</v>
      </c>
      <c r="J167" s="210" t="s">
        <v>351</v>
      </c>
      <c r="K167" s="989">
        <v>13</v>
      </c>
      <c r="L167" s="987"/>
      <c r="N167" s="213"/>
    </row>
    <row r="168" spans="1:14" x14ac:dyDescent="0.2">
      <c r="I168" s="218"/>
      <c r="J168" s="1018">
        <v>496</v>
      </c>
      <c r="K168" s="988" t="s">
        <v>351</v>
      </c>
      <c r="L168" s="989">
        <v>11</v>
      </c>
      <c r="N168" s="213"/>
    </row>
    <row r="169" spans="1:14" x14ac:dyDescent="0.2">
      <c r="I169" s="1098">
        <v>478</v>
      </c>
      <c r="J169" s="983" t="s">
        <v>52</v>
      </c>
      <c r="K169" s="1031" t="s">
        <v>306</v>
      </c>
      <c r="L169" s="991"/>
      <c r="N169" s="213"/>
    </row>
    <row r="170" spans="1:14" ht="13.5" thickBot="1" x14ac:dyDescent="0.25">
      <c r="I170" s="221"/>
      <c r="L170" s="994"/>
      <c r="M170" s="998"/>
      <c r="N170" s="213" t="s">
        <v>167</v>
      </c>
    </row>
    <row r="171" spans="1:14" x14ac:dyDescent="0.2">
      <c r="I171" s="1095">
        <v>479</v>
      </c>
      <c r="J171" s="210" t="s">
        <v>167</v>
      </c>
      <c r="K171" s="217">
        <v>13</v>
      </c>
      <c r="L171" s="991"/>
      <c r="M171" s="213"/>
      <c r="N171" s="1000" t="s">
        <v>420</v>
      </c>
    </row>
    <row r="172" spans="1:14" x14ac:dyDescent="0.2">
      <c r="I172" s="218"/>
      <c r="J172" s="1018">
        <v>497</v>
      </c>
      <c r="K172" s="982" t="s">
        <v>167</v>
      </c>
      <c r="L172" s="989">
        <v>13</v>
      </c>
      <c r="M172" s="213"/>
      <c r="N172" s="213"/>
    </row>
    <row r="173" spans="1:14" ht="13.5" thickBot="1" x14ac:dyDescent="0.25">
      <c r="I173" s="1098">
        <v>480</v>
      </c>
      <c r="J173" s="983" t="s">
        <v>353</v>
      </c>
      <c r="K173" s="984">
        <v>9</v>
      </c>
      <c r="L173" s="991"/>
      <c r="M173" s="219"/>
      <c r="N173" s="1001" t="s">
        <v>178</v>
      </c>
    </row>
    <row r="174" spans="1:14" x14ac:dyDescent="0.2">
      <c r="I174" s="218"/>
      <c r="K174" s="994">
        <v>512</v>
      </c>
      <c r="L174" s="993" t="s">
        <v>167</v>
      </c>
      <c r="M174" s="220">
        <v>13</v>
      </c>
      <c r="N174" s="219" t="s">
        <v>421</v>
      </c>
    </row>
    <row r="175" spans="1:14" x14ac:dyDescent="0.2">
      <c r="I175" s="1098">
        <v>481</v>
      </c>
      <c r="J175" s="210" t="s">
        <v>173</v>
      </c>
      <c r="K175" s="989">
        <v>13</v>
      </c>
      <c r="L175" s="213"/>
      <c r="M175" s="213"/>
      <c r="N175" s="213"/>
    </row>
    <row r="176" spans="1:14" x14ac:dyDescent="0.2">
      <c r="I176" s="218"/>
      <c r="J176" s="1018">
        <v>498</v>
      </c>
      <c r="K176" s="988" t="s">
        <v>173</v>
      </c>
      <c r="L176" s="220">
        <v>4</v>
      </c>
      <c r="M176" s="213"/>
      <c r="N176" s="213"/>
    </row>
    <row r="177" spans="9:14" x14ac:dyDescent="0.2">
      <c r="I177" s="1098">
        <v>482</v>
      </c>
      <c r="J177" s="983" t="s">
        <v>184</v>
      </c>
      <c r="K177" s="990">
        <v>9</v>
      </c>
      <c r="L177" s="213"/>
      <c r="M177" s="213"/>
      <c r="N177" s="213"/>
    </row>
    <row r="178" spans="9:14" x14ac:dyDescent="0.2">
      <c r="I178" s="218"/>
      <c r="J178" s="213"/>
      <c r="K178" s="220"/>
      <c r="L178" s="213"/>
      <c r="M178" s="213"/>
      <c r="N178" s="213"/>
    </row>
    <row r="179" spans="9:14" x14ac:dyDescent="0.2">
      <c r="I179" s="218"/>
      <c r="J179" s="213"/>
      <c r="K179" s="232">
        <v>511</v>
      </c>
      <c r="L179" s="210" t="s">
        <v>351</v>
      </c>
      <c r="M179" s="220"/>
      <c r="N179" s="213"/>
    </row>
    <row r="180" spans="9:14" ht="13.5" thickBot="1" x14ac:dyDescent="0.25">
      <c r="I180" s="218"/>
      <c r="J180" s="213"/>
      <c r="K180" s="220"/>
      <c r="L180" s="987"/>
      <c r="M180" s="1001"/>
      <c r="N180" s="1001" t="s">
        <v>173</v>
      </c>
    </row>
    <row r="181" spans="9:14" x14ac:dyDescent="0.2">
      <c r="I181" s="218"/>
      <c r="J181" s="213"/>
      <c r="K181" s="232">
        <v>512</v>
      </c>
      <c r="L181" s="1026" t="s">
        <v>173</v>
      </c>
      <c r="M181" s="1028" t="s">
        <v>13</v>
      </c>
      <c r="N181" s="1110" t="s">
        <v>603</v>
      </c>
    </row>
    <row r="182" spans="9:14" x14ac:dyDescent="0.2">
      <c r="I182" s="218"/>
      <c r="J182" s="213"/>
      <c r="K182" s="220"/>
      <c r="N182" s="213"/>
    </row>
    <row r="183" spans="9:14" ht="13.5" thickBot="1" x14ac:dyDescent="0.25">
      <c r="I183" s="218"/>
      <c r="J183" s="213"/>
      <c r="K183" s="220"/>
      <c r="L183" s="213"/>
      <c r="N183" s="1027" t="s">
        <v>351</v>
      </c>
    </row>
    <row r="184" spans="9:14" x14ac:dyDescent="0.2">
      <c r="I184" s="218"/>
      <c r="J184" s="213"/>
      <c r="K184" s="220"/>
      <c r="M184" s="213"/>
      <c r="N184" s="1110" t="s">
        <v>603</v>
      </c>
    </row>
    <row r="186" spans="9:14" x14ac:dyDescent="0.2">
      <c r="J186" s="232">
        <v>495</v>
      </c>
      <c r="K186" s="210" t="s">
        <v>397</v>
      </c>
      <c r="L186" s="217">
        <v>13</v>
      </c>
    </row>
    <row r="187" spans="9:14" x14ac:dyDescent="0.2">
      <c r="J187" s="218"/>
      <c r="K187" s="1016">
        <v>509</v>
      </c>
      <c r="L187" s="983" t="s">
        <v>397</v>
      </c>
      <c r="M187" s="1030">
        <v>13</v>
      </c>
    </row>
    <row r="188" spans="9:14" x14ac:dyDescent="0.2">
      <c r="J188" s="218">
        <v>496</v>
      </c>
      <c r="K188" s="993" t="s">
        <v>52</v>
      </c>
      <c r="L188" s="1032" t="s">
        <v>306</v>
      </c>
    </row>
    <row r="189" spans="9:14" ht="13.5" thickBot="1" x14ac:dyDescent="0.25">
      <c r="J189" s="218"/>
      <c r="L189" s="991"/>
      <c r="N189" s="210" t="s">
        <v>397</v>
      </c>
    </row>
    <row r="190" spans="9:14" x14ac:dyDescent="0.2">
      <c r="J190" s="218">
        <v>497</v>
      </c>
      <c r="K190" s="210" t="s">
        <v>353</v>
      </c>
      <c r="L190" s="989">
        <v>13</v>
      </c>
      <c r="M190" s="1017"/>
      <c r="N190" s="1000" t="s">
        <v>660</v>
      </c>
    </row>
    <row r="191" spans="9:14" x14ac:dyDescent="0.2">
      <c r="J191" s="218"/>
      <c r="K191" s="1016">
        <v>510</v>
      </c>
      <c r="L191" s="993" t="s">
        <v>353</v>
      </c>
      <c r="M191" s="220">
        <v>6</v>
      </c>
    </row>
    <row r="192" spans="9:14" ht="13.5" thickBot="1" x14ac:dyDescent="0.25">
      <c r="J192" s="218">
        <v>498</v>
      </c>
      <c r="K192" s="993" t="s">
        <v>184</v>
      </c>
      <c r="L192" s="217">
        <v>10</v>
      </c>
      <c r="M192" s="213"/>
      <c r="N192" s="213" t="s">
        <v>353</v>
      </c>
    </row>
    <row r="193" spans="1:14" x14ac:dyDescent="0.2">
      <c r="J193" s="221"/>
      <c r="M193" s="213"/>
      <c r="N193" s="1000" t="s">
        <v>661</v>
      </c>
    </row>
    <row r="194" spans="1:14" x14ac:dyDescent="0.2">
      <c r="J194" s="221"/>
      <c r="K194" s="218">
        <v>509</v>
      </c>
      <c r="L194" s="210" t="s">
        <v>52</v>
      </c>
      <c r="M194" s="1030" t="s">
        <v>306</v>
      </c>
      <c r="N194" s="213"/>
    </row>
    <row r="195" spans="1:14" ht="13.5" thickBot="1" x14ac:dyDescent="0.25">
      <c r="J195" s="221"/>
      <c r="L195" s="987"/>
      <c r="M195" s="1001"/>
      <c r="N195" s="1001" t="s">
        <v>184</v>
      </c>
    </row>
    <row r="196" spans="1:14" x14ac:dyDescent="0.2">
      <c r="J196" s="221"/>
      <c r="K196" s="218">
        <v>510</v>
      </c>
      <c r="L196" s="993" t="s">
        <v>184</v>
      </c>
      <c r="M196" s="217">
        <v>13</v>
      </c>
      <c r="N196" s="219" t="s">
        <v>662</v>
      </c>
    </row>
    <row r="197" spans="1:14" x14ac:dyDescent="0.2">
      <c r="J197" s="221"/>
      <c r="N197" s="213"/>
    </row>
    <row r="198" spans="1:14" ht="13.5" thickBot="1" x14ac:dyDescent="0.25">
      <c r="J198" s="221"/>
      <c r="L198" s="213"/>
      <c r="N198" s="1001" t="s">
        <v>52</v>
      </c>
    </row>
    <row r="199" spans="1:14" x14ac:dyDescent="0.2">
      <c r="J199" s="221"/>
      <c r="M199" s="213"/>
      <c r="N199" s="219" t="s">
        <v>663</v>
      </c>
    </row>
    <row r="201" spans="1:14" x14ac:dyDescent="0.2">
      <c r="A201" s="1089" t="s">
        <v>683</v>
      </c>
      <c r="B201" s="213"/>
      <c r="C201" s="220"/>
      <c r="F201" s="220"/>
      <c r="G201" s="217"/>
      <c r="I201" s="1095">
        <v>467</v>
      </c>
      <c r="J201" s="1022" t="s">
        <v>355</v>
      </c>
      <c r="K201" s="217">
        <v>13</v>
      </c>
      <c r="N201" s="213"/>
    </row>
    <row r="202" spans="1:14" x14ac:dyDescent="0.2">
      <c r="A202" s="216"/>
      <c r="I202" s="218"/>
      <c r="J202" s="1018">
        <v>487</v>
      </c>
      <c r="K202" s="982" t="s">
        <v>355</v>
      </c>
      <c r="L202" s="1028" t="s">
        <v>13</v>
      </c>
      <c r="N202" s="213"/>
    </row>
    <row r="203" spans="1:14" x14ac:dyDescent="0.2">
      <c r="I203" s="1098">
        <v>468</v>
      </c>
      <c r="J203" s="983" t="s">
        <v>349</v>
      </c>
      <c r="K203" s="984">
        <v>8</v>
      </c>
      <c r="N203" s="213"/>
    </row>
    <row r="204" spans="1:14" x14ac:dyDescent="0.2">
      <c r="I204" s="218"/>
      <c r="K204" s="994">
        <v>503</v>
      </c>
      <c r="L204" s="213" t="s">
        <v>445</v>
      </c>
      <c r="M204" s="217">
        <v>13</v>
      </c>
      <c r="N204" s="213"/>
    </row>
    <row r="205" spans="1:14" x14ac:dyDescent="0.2">
      <c r="I205" s="1098">
        <v>469</v>
      </c>
      <c r="J205" s="210" t="s">
        <v>436</v>
      </c>
      <c r="K205" s="989">
        <v>10</v>
      </c>
      <c r="L205" s="987"/>
      <c r="N205" s="213"/>
    </row>
    <row r="206" spans="1:14" x14ac:dyDescent="0.2">
      <c r="I206" s="218"/>
      <c r="J206" s="1018">
        <v>488</v>
      </c>
      <c r="K206" s="988" t="s">
        <v>445</v>
      </c>
      <c r="L206" s="989">
        <v>13</v>
      </c>
      <c r="N206" s="213"/>
    </row>
    <row r="207" spans="1:14" x14ac:dyDescent="0.2">
      <c r="I207" s="1098">
        <v>470</v>
      </c>
      <c r="J207" s="983" t="s">
        <v>445</v>
      </c>
      <c r="K207" s="1031">
        <v>13</v>
      </c>
      <c r="L207" s="991"/>
      <c r="N207" s="213"/>
    </row>
    <row r="208" spans="1:14" ht="13.5" thickBot="1" x14ac:dyDescent="0.25">
      <c r="I208" s="221"/>
      <c r="L208" s="994"/>
      <c r="M208" s="998"/>
      <c r="N208" s="213" t="s">
        <v>445</v>
      </c>
    </row>
    <row r="209" spans="9:14" x14ac:dyDescent="0.2">
      <c r="I209" s="1095">
        <v>471</v>
      </c>
      <c r="J209" s="1022" t="s">
        <v>306</v>
      </c>
      <c r="K209" s="217">
        <v>0</v>
      </c>
      <c r="L209" s="991"/>
      <c r="M209" s="213"/>
      <c r="N209" s="1000" t="s">
        <v>664</v>
      </c>
    </row>
    <row r="210" spans="9:14" x14ac:dyDescent="0.2">
      <c r="I210" s="218"/>
      <c r="J210" s="1018">
        <v>489</v>
      </c>
      <c r="K210" s="982" t="s">
        <v>313</v>
      </c>
      <c r="L210" s="989">
        <v>10</v>
      </c>
      <c r="M210" s="213"/>
      <c r="N210" s="213"/>
    </row>
    <row r="211" spans="9:14" ht="13.5" thickBot="1" x14ac:dyDescent="0.25">
      <c r="I211" s="1098">
        <v>472</v>
      </c>
      <c r="J211" s="983" t="s">
        <v>313</v>
      </c>
      <c r="K211" s="984">
        <v>13</v>
      </c>
      <c r="L211" s="991"/>
      <c r="M211" s="219"/>
      <c r="N211" s="1001" t="s">
        <v>404</v>
      </c>
    </row>
    <row r="212" spans="9:14" x14ac:dyDescent="0.2">
      <c r="I212" s="218"/>
      <c r="K212" s="994">
        <v>504</v>
      </c>
      <c r="L212" s="993" t="s">
        <v>404</v>
      </c>
      <c r="M212" s="220">
        <v>7</v>
      </c>
      <c r="N212" s="219" t="s">
        <v>665</v>
      </c>
    </row>
    <row r="213" spans="9:14" x14ac:dyDescent="0.2">
      <c r="I213" s="1098">
        <v>473</v>
      </c>
      <c r="J213" s="210" t="s">
        <v>348</v>
      </c>
      <c r="K213" s="989">
        <v>12</v>
      </c>
      <c r="L213" s="213"/>
      <c r="M213" s="213"/>
      <c r="N213" s="213"/>
    </row>
    <row r="214" spans="9:14" x14ac:dyDescent="0.2">
      <c r="I214" s="218"/>
      <c r="J214" s="1018">
        <v>490</v>
      </c>
      <c r="K214" s="988" t="s">
        <v>404</v>
      </c>
      <c r="L214" s="220">
        <v>13</v>
      </c>
      <c r="M214" s="213"/>
      <c r="N214" s="213"/>
    </row>
    <row r="215" spans="9:14" x14ac:dyDescent="0.2">
      <c r="I215" s="1098">
        <v>474</v>
      </c>
      <c r="J215" s="983" t="s">
        <v>404</v>
      </c>
      <c r="K215" s="990">
        <v>13</v>
      </c>
      <c r="L215" s="213"/>
      <c r="M215" s="213"/>
      <c r="N215" s="213"/>
    </row>
    <row r="216" spans="9:14" x14ac:dyDescent="0.2">
      <c r="I216" s="218"/>
      <c r="J216" s="213"/>
      <c r="K216" s="220"/>
      <c r="L216" s="213"/>
      <c r="M216" s="213"/>
      <c r="N216" s="213"/>
    </row>
    <row r="217" spans="9:14" x14ac:dyDescent="0.2">
      <c r="I217" s="218"/>
      <c r="J217" s="213"/>
      <c r="K217" s="232">
        <v>503</v>
      </c>
      <c r="L217" s="210" t="s">
        <v>355</v>
      </c>
      <c r="M217" s="220"/>
      <c r="N217" s="213"/>
    </row>
    <row r="218" spans="9:14" ht="13.5" thickBot="1" x14ac:dyDescent="0.25">
      <c r="I218" s="218"/>
      <c r="J218" s="213"/>
      <c r="K218" s="220"/>
      <c r="L218" s="987"/>
      <c r="M218" s="1001"/>
      <c r="N218" s="1027" t="s">
        <v>313</v>
      </c>
    </row>
    <row r="219" spans="9:14" x14ac:dyDescent="0.2">
      <c r="I219" s="218"/>
      <c r="J219" s="213"/>
      <c r="K219" s="232">
        <v>504</v>
      </c>
      <c r="L219" s="993" t="s">
        <v>313</v>
      </c>
      <c r="M219" s="1028" t="s">
        <v>13</v>
      </c>
      <c r="N219" s="1110" t="s">
        <v>666</v>
      </c>
    </row>
    <row r="220" spans="9:14" x14ac:dyDescent="0.2">
      <c r="I220" s="218"/>
      <c r="J220" s="213"/>
      <c r="K220" s="220"/>
      <c r="N220" s="213"/>
    </row>
    <row r="221" spans="9:14" ht="13.5" thickBot="1" x14ac:dyDescent="0.25">
      <c r="I221" s="218"/>
      <c r="J221" s="213"/>
      <c r="K221" s="220"/>
      <c r="L221" s="213"/>
      <c r="N221" s="1027" t="s">
        <v>355</v>
      </c>
    </row>
    <row r="222" spans="9:14" x14ac:dyDescent="0.2">
      <c r="I222" s="218"/>
      <c r="J222" s="213"/>
      <c r="K222" s="220"/>
      <c r="M222" s="213"/>
      <c r="N222" s="1110" t="s">
        <v>666</v>
      </c>
    </row>
    <row r="224" spans="9:14" x14ac:dyDescent="0.2">
      <c r="J224" s="232">
        <v>487</v>
      </c>
      <c r="K224" s="210" t="s">
        <v>349</v>
      </c>
      <c r="L224" s="217">
        <v>13</v>
      </c>
    </row>
    <row r="225" spans="1:14" x14ac:dyDescent="0.2">
      <c r="J225" s="218"/>
      <c r="K225" s="1016">
        <v>1</v>
      </c>
      <c r="L225" s="983" t="s">
        <v>349</v>
      </c>
      <c r="M225" s="1030">
        <v>13</v>
      </c>
    </row>
    <row r="226" spans="1:14" x14ac:dyDescent="0.2">
      <c r="J226" s="218">
        <v>488</v>
      </c>
      <c r="K226" s="993" t="s">
        <v>436</v>
      </c>
      <c r="L226" s="1032">
        <v>4</v>
      </c>
    </row>
    <row r="227" spans="1:14" ht="13.5" thickBot="1" x14ac:dyDescent="0.25">
      <c r="J227" s="218"/>
      <c r="L227" s="991"/>
      <c r="N227" s="210" t="s">
        <v>349</v>
      </c>
    </row>
    <row r="228" spans="1:14" x14ac:dyDescent="0.2">
      <c r="J228" s="218">
        <v>489</v>
      </c>
      <c r="K228" s="1022" t="s">
        <v>306</v>
      </c>
      <c r="L228" s="989">
        <v>0</v>
      </c>
      <c r="M228" s="1017"/>
      <c r="N228" s="1000" t="s">
        <v>667</v>
      </c>
    </row>
    <row r="229" spans="1:14" x14ac:dyDescent="0.2">
      <c r="J229" s="218"/>
      <c r="K229" s="1016">
        <v>2</v>
      </c>
      <c r="L229" s="993" t="s">
        <v>348</v>
      </c>
      <c r="M229" s="220">
        <v>12</v>
      </c>
    </row>
    <row r="230" spans="1:14" ht="13.5" thickBot="1" x14ac:dyDescent="0.25">
      <c r="J230" s="218">
        <v>490</v>
      </c>
      <c r="K230" s="993" t="s">
        <v>348</v>
      </c>
      <c r="L230" s="217">
        <v>13</v>
      </c>
      <c r="M230" s="213"/>
      <c r="N230" s="864" t="s">
        <v>348</v>
      </c>
    </row>
    <row r="231" spans="1:14" x14ac:dyDescent="0.2">
      <c r="J231" s="221"/>
      <c r="M231" s="213"/>
      <c r="N231" s="1000" t="s">
        <v>668</v>
      </c>
    </row>
    <row r="232" spans="1:14" x14ac:dyDescent="0.2">
      <c r="J232" s="221"/>
      <c r="K232" s="218">
        <v>1</v>
      </c>
      <c r="L232" s="210" t="s">
        <v>436</v>
      </c>
      <c r="M232" s="1030">
        <v>13</v>
      </c>
      <c r="N232" s="213"/>
    </row>
    <row r="233" spans="1:14" ht="13.5" thickBot="1" x14ac:dyDescent="0.25">
      <c r="J233" s="221"/>
      <c r="L233" s="987"/>
      <c r="M233" s="1001"/>
      <c r="N233" s="1001" t="s">
        <v>436</v>
      </c>
    </row>
    <row r="234" spans="1:14" x14ac:dyDescent="0.2">
      <c r="J234" s="221"/>
      <c r="K234" s="218">
        <v>2</v>
      </c>
      <c r="L234" s="1026" t="s">
        <v>306</v>
      </c>
      <c r="M234" s="217">
        <v>0</v>
      </c>
      <c r="N234" s="219" t="s">
        <v>669</v>
      </c>
    </row>
    <row r="235" spans="1:14" x14ac:dyDescent="0.2">
      <c r="A235" s="216"/>
      <c r="J235" s="221"/>
      <c r="K235" s="218"/>
      <c r="L235" s="864"/>
      <c r="M235" s="217"/>
      <c r="N235" s="219"/>
    </row>
    <row r="236" spans="1:14" x14ac:dyDescent="0.2">
      <c r="A236" s="216" t="s">
        <v>122</v>
      </c>
      <c r="E236" s="216" t="s">
        <v>690</v>
      </c>
      <c r="J236" s="221"/>
      <c r="K236" s="218"/>
      <c r="L236" s="864"/>
      <c r="M236" s="217"/>
      <c r="N236" s="219"/>
    </row>
    <row r="238" spans="1:14" x14ac:dyDescent="0.2">
      <c r="A238" s="1035">
        <v>1</v>
      </c>
      <c r="B238" s="1036" t="s">
        <v>166</v>
      </c>
      <c r="D238" s="219">
        <v>1</v>
      </c>
      <c r="E238" s="1114" t="s">
        <v>614</v>
      </c>
    </row>
    <row r="239" spans="1:14" x14ac:dyDescent="0.2">
      <c r="A239" s="1035">
        <v>2</v>
      </c>
      <c r="B239" s="934" t="s">
        <v>162</v>
      </c>
      <c r="D239" s="219">
        <v>2</v>
      </c>
      <c r="E239" s="1115" t="s">
        <v>354</v>
      </c>
    </row>
    <row r="240" spans="1:14" x14ac:dyDescent="0.2">
      <c r="A240" s="1035">
        <v>3</v>
      </c>
      <c r="B240" s="935" t="s">
        <v>156</v>
      </c>
      <c r="D240" s="219">
        <v>3</v>
      </c>
      <c r="E240" s="1116" t="s">
        <v>351</v>
      </c>
    </row>
    <row r="241" spans="1:5" x14ac:dyDescent="0.2">
      <c r="A241" s="1035">
        <v>4</v>
      </c>
      <c r="B241" s="1034" t="s">
        <v>182</v>
      </c>
      <c r="D241" s="219">
        <v>4</v>
      </c>
      <c r="E241" s="213" t="s">
        <v>397</v>
      </c>
    </row>
    <row r="242" spans="1:5" x14ac:dyDescent="0.2">
      <c r="A242" s="1035">
        <v>5</v>
      </c>
      <c r="B242" s="1034" t="s">
        <v>314</v>
      </c>
      <c r="D242" s="219">
        <v>5</v>
      </c>
      <c r="E242" s="213" t="s">
        <v>353</v>
      </c>
    </row>
    <row r="243" spans="1:5" x14ac:dyDescent="0.2">
      <c r="A243" s="1035">
        <v>6</v>
      </c>
      <c r="B243" s="1034" t="s">
        <v>159</v>
      </c>
      <c r="D243" s="219">
        <v>6</v>
      </c>
      <c r="E243" s="213" t="s">
        <v>52</v>
      </c>
    </row>
    <row r="244" spans="1:5" x14ac:dyDescent="0.2">
      <c r="A244" s="1035">
        <v>7</v>
      </c>
      <c r="B244" s="1034" t="s">
        <v>164</v>
      </c>
      <c r="D244" s="219">
        <v>7</v>
      </c>
      <c r="E244" s="213" t="s">
        <v>445</v>
      </c>
    </row>
    <row r="245" spans="1:5" x14ac:dyDescent="0.2">
      <c r="A245" s="1035">
        <v>8</v>
      </c>
      <c r="B245" s="614" t="s">
        <v>614</v>
      </c>
      <c r="C245" s="1022" t="s">
        <v>406</v>
      </c>
      <c r="D245" s="219">
        <v>8</v>
      </c>
      <c r="E245" s="213" t="s">
        <v>404</v>
      </c>
    </row>
    <row r="246" spans="1:5" x14ac:dyDescent="0.2">
      <c r="A246" s="1035">
        <v>9</v>
      </c>
      <c r="B246" s="1034" t="s">
        <v>160</v>
      </c>
      <c r="D246" s="219">
        <v>9</v>
      </c>
      <c r="E246" s="213" t="s">
        <v>355</v>
      </c>
    </row>
    <row r="247" spans="1:5" x14ac:dyDescent="0.2">
      <c r="A247" s="1035">
        <v>10</v>
      </c>
      <c r="B247" s="1034" t="s">
        <v>176</v>
      </c>
      <c r="D247" s="219">
        <v>10</v>
      </c>
      <c r="E247" s="213" t="s">
        <v>349</v>
      </c>
    </row>
    <row r="248" spans="1:5" x14ac:dyDescent="0.2">
      <c r="A248" s="1035">
        <v>11</v>
      </c>
      <c r="B248" s="1034" t="s">
        <v>170</v>
      </c>
      <c r="D248" s="219">
        <v>11</v>
      </c>
      <c r="E248" s="213" t="s">
        <v>348</v>
      </c>
    </row>
    <row r="249" spans="1:5" x14ac:dyDescent="0.2">
      <c r="A249" s="1035">
        <v>12</v>
      </c>
      <c r="B249" s="1034" t="s">
        <v>179</v>
      </c>
      <c r="D249" s="221">
        <v>12</v>
      </c>
      <c r="E249" s="1126" t="s">
        <v>436</v>
      </c>
    </row>
    <row r="250" spans="1:5" x14ac:dyDescent="0.2">
      <c r="A250" s="1035">
        <v>13</v>
      </c>
      <c r="B250" s="1084" t="s">
        <v>332</v>
      </c>
    </row>
    <row r="251" spans="1:5" x14ac:dyDescent="0.2">
      <c r="A251" s="1035">
        <v>14</v>
      </c>
      <c r="B251" s="1034" t="s">
        <v>183</v>
      </c>
    </row>
    <row r="252" spans="1:5" x14ac:dyDescent="0.2">
      <c r="A252" s="1035">
        <v>15</v>
      </c>
      <c r="B252" s="614" t="s">
        <v>354</v>
      </c>
      <c r="C252" s="1022" t="s">
        <v>406</v>
      </c>
    </row>
    <row r="253" spans="1:5" x14ac:dyDescent="0.2">
      <c r="A253" s="1035">
        <v>16</v>
      </c>
      <c r="B253" s="1034" t="s">
        <v>169</v>
      </c>
    </row>
    <row r="254" spans="1:5" x14ac:dyDescent="0.2">
      <c r="A254" s="1035">
        <v>17</v>
      </c>
      <c r="B254" s="1034" t="s">
        <v>167</v>
      </c>
    </row>
    <row r="255" spans="1:5" x14ac:dyDescent="0.2">
      <c r="A255" s="1035">
        <v>18</v>
      </c>
      <c r="B255" s="1084" t="s">
        <v>178</v>
      </c>
    </row>
    <row r="256" spans="1:5" x14ac:dyDescent="0.2">
      <c r="A256" s="1113">
        <v>19</v>
      </c>
      <c r="B256" s="1034" t="s">
        <v>173</v>
      </c>
    </row>
    <row r="257" spans="1:3" x14ac:dyDescent="0.2">
      <c r="A257" s="1113">
        <v>19</v>
      </c>
      <c r="B257" s="1034" t="s">
        <v>351</v>
      </c>
      <c r="C257" s="1022" t="s">
        <v>406</v>
      </c>
    </row>
    <row r="258" spans="1:3" x14ac:dyDescent="0.2">
      <c r="A258" s="1035">
        <v>21</v>
      </c>
      <c r="B258" s="1034" t="s">
        <v>397</v>
      </c>
      <c r="C258" s="1022" t="s">
        <v>406</v>
      </c>
    </row>
    <row r="259" spans="1:3" x14ac:dyDescent="0.2">
      <c r="A259" s="1035">
        <v>22</v>
      </c>
      <c r="B259" s="1034" t="s">
        <v>353</v>
      </c>
      <c r="C259" s="1022" t="s">
        <v>406</v>
      </c>
    </row>
    <row r="260" spans="1:3" x14ac:dyDescent="0.2">
      <c r="A260" s="1035">
        <v>23</v>
      </c>
      <c r="B260" s="1084" t="s">
        <v>184</v>
      </c>
    </row>
    <row r="261" spans="1:3" x14ac:dyDescent="0.2">
      <c r="A261" s="1035">
        <v>24</v>
      </c>
      <c r="B261" s="1034" t="s">
        <v>52</v>
      </c>
      <c r="C261" s="1022" t="s">
        <v>406</v>
      </c>
    </row>
    <row r="262" spans="1:3" x14ac:dyDescent="0.2">
      <c r="A262" s="1035">
        <v>25</v>
      </c>
      <c r="B262" s="1034" t="s">
        <v>445</v>
      </c>
      <c r="C262" s="1022" t="s">
        <v>406</v>
      </c>
    </row>
    <row r="263" spans="1:3" x14ac:dyDescent="0.2">
      <c r="A263" s="1035">
        <v>26</v>
      </c>
      <c r="B263" s="1034" t="s">
        <v>404</v>
      </c>
      <c r="C263" s="1022" t="s">
        <v>406</v>
      </c>
    </row>
    <row r="264" spans="1:3" x14ac:dyDescent="0.2">
      <c r="A264" s="1113">
        <v>27</v>
      </c>
      <c r="B264" s="1084" t="s">
        <v>313</v>
      </c>
    </row>
    <row r="265" spans="1:3" x14ac:dyDescent="0.2">
      <c r="A265" s="1113">
        <v>27</v>
      </c>
      <c r="B265" s="614" t="s">
        <v>355</v>
      </c>
      <c r="C265" s="1022" t="s">
        <v>406</v>
      </c>
    </row>
    <row r="266" spans="1:3" x14ac:dyDescent="0.2">
      <c r="A266" s="1035">
        <v>29</v>
      </c>
      <c r="B266" s="614" t="s">
        <v>349</v>
      </c>
      <c r="C266" s="1022" t="s">
        <v>406</v>
      </c>
    </row>
    <row r="267" spans="1:3" x14ac:dyDescent="0.2">
      <c r="A267" s="1035">
        <v>30</v>
      </c>
      <c r="B267" s="1034" t="s">
        <v>348</v>
      </c>
      <c r="C267" s="1022" t="s">
        <v>406</v>
      </c>
    </row>
    <row r="268" spans="1:3" x14ac:dyDescent="0.2">
      <c r="A268" s="1035">
        <v>31</v>
      </c>
      <c r="B268" s="1084" t="s">
        <v>436</v>
      </c>
      <c r="C268" s="1022" t="s">
        <v>406</v>
      </c>
    </row>
  </sheetData>
  <conditionalFormatting sqref="C134:M234 C84:E85 I84:M85 C113:E114 I113:M114 C115:M118 C100:E100 I100:M100 C76:E77 C74:J75 C129:E129 I129:J129 C110:M112 K108:M109 C101:M103 C105:M107 C104:I104 K104:M104 C108:G109 C122:J128 C121:G121 J121 H109:I109 C92:G92 J92:L92 C93:I93 K120:M131 L119:M119 C120:J120 C119:H119 C130:J130 C132:J133 C131:G131 H73:J73 K93:L94 C95:L97 C99:M99 C98:G98 K98:M98 C94:J94 C86:M86 C88:M90 C87:H87 L87:M87 C81:M83 I76:J77 M91:M95 C91:L91 C6:M40 C41:I44 K56:M62 C45:J47 C48:I51 C78:J80 L77:M80 L72:L76 L70:M71 K66:K80 C63:J72 J59:J62 C52:J54 C55:I62 J56:J57">
    <cfRule type="cellIs" dxfId="17" priority="3" operator="equal">
      <formula>13</formula>
    </cfRule>
  </conditionalFormatting>
  <conditionalFormatting sqref="K119">
    <cfRule type="cellIs" dxfId="16" priority="2" operator="equal">
      <formula>13</formula>
    </cfRule>
  </conditionalFormatting>
  <conditionalFormatting sqref="J58">
    <cfRule type="cellIs" dxfId="15" priority="1" operator="equal">
      <formula>13</formula>
    </cfRule>
  </conditionalFormatting>
  <pageMargins left="0.31496062992125984" right="0.31496062992125984" top="0.59055118110236227" bottom="0.39370078740157483" header="0.39370078740157483" footer="0"/>
  <pageSetup paperSize="9" fitToHeight="0" orientation="landscape" r:id="rId1"/>
  <headerFooter>
    <oddHeader>&amp;R&amp;"Arial,Regular"&amp;9Page &amp;P of &amp;N</oddHeader>
  </headerFooter>
  <rowBreaks count="7" manualBreakCount="7">
    <brk id="36" max="13" man="1"/>
    <brk id="68" max="13" man="1"/>
    <brk id="102" max="13" man="1"/>
    <brk id="131" max="13" man="1"/>
    <brk id="161" max="13" man="1"/>
    <brk id="199" max="13" man="1"/>
    <brk id="234" max="1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Q110"/>
  <sheetViews>
    <sheetView showGridLines="0" showRowColHeaders="0" topLeftCell="B1" zoomScaleNormal="100" workbookViewId="0">
      <pane ySplit="6" topLeftCell="A7" activePane="bottomLeft" state="frozen"/>
      <selection activeCell="K1" sqref="K1"/>
      <selection pane="bottomLeft" activeCell="Z1" sqref="Z1"/>
    </sheetView>
  </sheetViews>
  <sheetFormatPr defaultRowHeight="12.75" x14ac:dyDescent="0.2"/>
  <cols>
    <col min="1" max="1" width="3.140625" style="152" customWidth="1"/>
    <col min="2" max="2" width="18" style="152" customWidth="1"/>
    <col min="3" max="4" width="3.140625" style="249" customWidth="1"/>
    <col min="5" max="5" width="3.140625" style="210" customWidth="1"/>
    <col min="6" max="38" width="3.140625" style="152" customWidth="1"/>
    <col min="39" max="39" width="3.140625" style="210" customWidth="1"/>
    <col min="40" max="40" width="5.140625" style="152" hidden="1" customWidth="1"/>
    <col min="41" max="41" width="3.28515625" style="152" hidden="1" customWidth="1"/>
    <col min="42" max="43" width="3.140625" style="152" customWidth="1"/>
    <col min="44" max="16384" width="9.140625" style="152"/>
  </cols>
  <sheetData>
    <row r="1" spans="1:43" x14ac:dyDescent="0.2">
      <c r="A1" s="151" t="str">
        <f>UPPER((Kalend!E48)&amp;" - "&amp;(Kalend!C48)&amp;" - "&amp;(Kalend!D48))</f>
        <v>V-PL - VOKA PLIKS-PLAKS - ÜKSIK</v>
      </c>
      <c r="P1" s="113" t="str">
        <f>HYPERLINK("#Kalend!I1","Kalender")</f>
        <v>Kalender</v>
      </c>
      <c r="Q1" s="2"/>
      <c r="S1" s="113" t="str">
        <f>HYPERLINK("#Reit!G1","Reiting")</f>
        <v>Reiting</v>
      </c>
      <c r="T1" s="2"/>
      <c r="Y1" s="249"/>
      <c r="Z1" s="249"/>
      <c r="AA1" s="249"/>
      <c r="AC1" s="249"/>
      <c r="AD1" s="249"/>
      <c r="AE1" s="249"/>
      <c r="AF1" s="249"/>
      <c r="AH1" s="249"/>
      <c r="AI1" s="249" t="s">
        <v>140</v>
      </c>
      <c r="AJ1" s="249"/>
      <c r="AK1" s="249"/>
      <c r="AL1" s="249"/>
    </row>
    <row r="2" spans="1:43" x14ac:dyDescent="0.2">
      <c r="A2" s="2" t="str">
        <f>"Toimumisaeg: "&amp;(Kalend!A47)&amp;" kell "&amp;(Kalend!B47)</f>
        <v>Toimumisaeg: P, 08.10.2017 kell 11:00</v>
      </c>
      <c r="Y2" s="249"/>
      <c r="Z2" s="249"/>
      <c r="AA2" s="249"/>
      <c r="AB2" s="249"/>
      <c r="AC2" s="249"/>
      <c r="AD2" s="249"/>
      <c r="AE2" s="249"/>
      <c r="AF2" s="249"/>
      <c r="AG2" s="249"/>
      <c r="AH2" s="249"/>
      <c r="AI2" s="249" t="s">
        <v>141</v>
      </c>
      <c r="AJ2" s="249"/>
      <c r="AK2" s="249"/>
      <c r="AL2" s="249"/>
    </row>
    <row r="3" spans="1:43" x14ac:dyDescent="0.2">
      <c r="A3" s="2" t="str">
        <f>"Toimumiskoht: "&amp;(Kalend!F47)</f>
        <v>Toimumiskoht: Voka staadion</v>
      </c>
      <c r="Y3" s="249"/>
      <c r="Z3" s="249"/>
      <c r="AA3" s="249"/>
      <c r="AB3" s="249"/>
      <c r="AC3" s="249"/>
      <c r="AD3" s="249"/>
      <c r="AE3" s="249"/>
      <c r="AF3" s="249"/>
      <c r="AG3" s="249"/>
      <c r="AH3" s="249"/>
      <c r="AI3" s="249" t="s">
        <v>142</v>
      </c>
      <c r="AJ3" s="249"/>
      <c r="AK3" s="249"/>
      <c r="AL3" s="249"/>
    </row>
    <row r="4" spans="1:43" ht="12.75" customHeight="1" x14ac:dyDescent="0.2">
      <c r="A4" s="2" t="str">
        <f>"Korraldaja: "&amp;(Kalend!G47)</f>
        <v>Korraldaja: Johannes Neiland</v>
      </c>
      <c r="C4" s="355"/>
      <c r="D4" s="355"/>
      <c r="N4" s="801" t="s">
        <v>682</v>
      </c>
      <c r="AO4" s="1481" t="s">
        <v>75</v>
      </c>
    </row>
    <row r="5" spans="1:43" x14ac:dyDescent="0.2">
      <c r="C5" s="355"/>
      <c r="D5" s="355"/>
      <c r="AO5" s="1481"/>
      <c r="AP5" s="1085"/>
      <c r="AQ5" s="1085"/>
    </row>
    <row r="6" spans="1:43" s="249" customFormat="1" ht="34.5" x14ac:dyDescent="0.2">
      <c r="A6" s="1072" t="s">
        <v>143</v>
      </c>
      <c r="B6" s="306" t="s">
        <v>84</v>
      </c>
      <c r="C6" s="1133" t="s">
        <v>145</v>
      </c>
      <c r="D6" s="1133" t="s">
        <v>144</v>
      </c>
      <c r="E6" s="306" t="s">
        <v>143</v>
      </c>
      <c r="F6" s="1065">
        <v>1</v>
      </c>
      <c r="G6" s="1065">
        <v>2</v>
      </c>
      <c r="H6" s="306">
        <v>3</v>
      </c>
      <c r="I6" s="306">
        <v>4</v>
      </c>
      <c r="J6" s="306">
        <v>5</v>
      </c>
      <c r="K6" s="306">
        <v>6</v>
      </c>
      <c r="L6" s="306">
        <v>7</v>
      </c>
      <c r="M6" s="306">
        <v>8</v>
      </c>
      <c r="N6" s="306">
        <v>9</v>
      </c>
      <c r="O6" s="306">
        <v>10</v>
      </c>
      <c r="P6" s="306">
        <v>11</v>
      </c>
      <c r="Q6" s="306">
        <v>12</v>
      </c>
      <c r="R6" s="306">
        <v>13</v>
      </c>
      <c r="S6" s="1065">
        <v>14</v>
      </c>
      <c r="T6" s="306">
        <v>15</v>
      </c>
      <c r="U6" s="306">
        <v>16</v>
      </c>
      <c r="V6" s="306">
        <v>17</v>
      </c>
      <c r="W6" s="1065">
        <v>18</v>
      </c>
      <c r="X6" s="306">
        <v>19</v>
      </c>
      <c r="Y6" s="306">
        <v>20</v>
      </c>
      <c r="Z6" s="306">
        <v>21</v>
      </c>
      <c r="AA6" s="306">
        <v>22</v>
      </c>
      <c r="AB6" s="306">
        <v>23</v>
      </c>
      <c r="AC6" s="306">
        <v>24</v>
      </c>
      <c r="AD6" s="306">
        <v>25</v>
      </c>
      <c r="AE6" s="306">
        <v>26</v>
      </c>
      <c r="AF6" s="306">
        <v>27</v>
      </c>
      <c r="AG6" s="306">
        <v>28</v>
      </c>
      <c r="AH6" s="306">
        <v>29</v>
      </c>
      <c r="AI6" s="1065">
        <v>30</v>
      </c>
      <c r="AJ6" s="306">
        <v>31</v>
      </c>
      <c r="AK6" s="1065">
        <v>32</v>
      </c>
      <c r="AL6" s="306">
        <v>33</v>
      </c>
      <c r="AM6" s="306" t="s">
        <v>143</v>
      </c>
      <c r="AN6" s="306" t="s">
        <v>145</v>
      </c>
      <c r="AO6" s="1481"/>
      <c r="AP6" s="1085" t="s">
        <v>77</v>
      </c>
      <c r="AQ6" s="1085" t="s">
        <v>146</v>
      </c>
    </row>
    <row r="7" spans="1:43" s="249" customFormat="1" x14ac:dyDescent="0.2">
      <c r="A7" s="1471">
        <v>1</v>
      </c>
      <c r="B7" s="1461" t="s">
        <v>166</v>
      </c>
      <c r="C7" s="1073"/>
      <c r="D7" s="1045">
        <f t="shared" ref="D7:D38" si="0">SUM(F7:AL7)</f>
        <v>0</v>
      </c>
      <c r="E7" s="1479">
        <v>1</v>
      </c>
      <c r="F7" s="1042"/>
      <c r="G7" s="1051" t="s">
        <v>676</v>
      </c>
      <c r="H7" s="1043" t="s">
        <v>680</v>
      </c>
      <c r="I7" s="1044" t="s">
        <v>265</v>
      </c>
      <c r="J7" s="1044" t="s">
        <v>121</v>
      </c>
      <c r="K7" s="1044" t="s">
        <v>119</v>
      </c>
      <c r="L7" s="1043" t="s">
        <v>680</v>
      </c>
      <c r="M7" s="1044" t="s">
        <v>270</v>
      </c>
      <c r="N7" s="1043" t="s">
        <v>680</v>
      </c>
      <c r="O7" s="1043" t="s">
        <v>680</v>
      </c>
      <c r="P7" s="1044" t="s">
        <v>265</v>
      </c>
      <c r="Q7" s="1044" t="s">
        <v>371</v>
      </c>
      <c r="R7" s="1043" t="s">
        <v>680</v>
      </c>
      <c r="S7" s="1055" t="s">
        <v>676</v>
      </c>
      <c r="T7" s="1043" t="s">
        <v>680</v>
      </c>
      <c r="U7" s="1043" t="s">
        <v>680</v>
      </c>
      <c r="V7" s="1044" t="s">
        <v>676</v>
      </c>
      <c r="W7" s="1055" t="s">
        <v>676</v>
      </c>
      <c r="X7" s="1044" t="s">
        <v>268</v>
      </c>
      <c r="Y7" s="1043" t="s">
        <v>680</v>
      </c>
      <c r="Z7" s="1044" t="s">
        <v>265</v>
      </c>
      <c r="AA7" s="1043" t="s">
        <v>680</v>
      </c>
      <c r="AB7" s="1043" t="s">
        <v>680</v>
      </c>
      <c r="AC7" s="1043" t="s">
        <v>680</v>
      </c>
      <c r="AD7" s="1043" t="s">
        <v>680</v>
      </c>
      <c r="AE7" s="1043" t="s">
        <v>680</v>
      </c>
      <c r="AF7" s="1044" t="s">
        <v>278</v>
      </c>
      <c r="AG7" s="1062" t="s">
        <v>270</v>
      </c>
      <c r="AH7" s="1044" t="s">
        <v>121</v>
      </c>
      <c r="AI7" s="1055" t="s">
        <v>676</v>
      </c>
      <c r="AJ7" s="1043" t="s">
        <v>680</v>
      </c>
      <c r="AK7" s="1043" t="s">
        <v>680</v>
      </c>
      <c r="AL7" s="1043" t="s">
        <v>680</v>
      </c>
      <c r="AM7" s="1479">
        <v>1</v>
      </c>
      <c r="AN7" s="1046"/>
      <c r="AO7" s="360"/>
      <c r="AP7" s="360"/>
      <c r="AQ7" s="361"/>
    </row>
    <row r="8" spans="1:43" s="249" customFormat="1" x14ac:dyDescent="0.2">
      <c r="A8" s="1472"/>
      <c r="B8" s="1462"/>
      <c r="C8" s="1074">
        <v>32</v>
      </c>
      <c r="D8" s="1050">
        <f t="shared" si="0"/>
        <v>7</v>
      </c>
      <c r="E8" s="1480"/>
      <c r="F8" s="1047"/>
      <c r="G8" s="1048">
        <v>0</v>
      </c>
      <c r="H8" s="1049">
        <v>0</v>
      </c>
      <c r="I8" s="1048">
        <v>0</v>
      </c>
      <c r="J8" s="1049">
        <v>1</v>
      </c>
      <c r="K8" s="1049">
        <v>2</v>
      </c>
      <c r="L8" s="1049">
        <v>0</v>
      </c>
      <c r="M8" s="1049">
        <v>0</v>
      </c>
      <c r="N8" s="1049">
        <v>0</v>
      </c>
      <c r="O8" s="1049">
        <v>0</v>
      </c>
      <c r="P8" s="1049">
        <v>0</v>
      </c>
      <c r="Q8" s="1049">
        <v>1</v>
      </c>
      <c r="R8" s="1049">
        <v>0</v>
      </c>
      <c r="S8" s="1049">
        <v>0</v>
      </c>
      <c r="T8" s="1049">
        <v>0</v>
      </c>
      <c r="U8" s="1049">
        <v>0</v>
      </c>
      <c r="V8" s="1049">
        <v>0</v>
      </c>
      <c r="W8" s="1049">
        <v>0</v>
      </c>
      <c r="X8" s="1049">
        <v>2</v>
      </c>
      <c r="Y8" s="1049">
        <v>0</v>
      </c>
      <c r="Z8" s="1049">
        <v>0</v>
      </c>
      <c r="AA8" s="1049">
        <v>0</v>
      </c>
      <c r="AB8" s="1049">
        <v>0</v>
      </c>
      <c r="AC8" s="1049">
        <v>0</v>
      </c>
      <c r="AD8" s="1049">
        <v>0</v>
      </c>
      <c r="AE8" s="1049">
        <v>0</v>
      </c>
      <c r="AF8" s="1049">
        <v>0</v>
      </c>
      <c r="AG8" s="1049">
        <v>0</v>
      </c>
      <c r="AH8" s="1049">
        <v>1</v>
      </c>
      <c r="AI8" s="1049">
        <v>0</v>
      </c>
      <c r="AJ8" s="1049">
        <v>0</v>
      </c>
      <c r="AK8" s="1049">
        <v>0</v>
      </c>
      <c r="AL8" s="1049">
        <v>0</v>
      </c>
      <c r="AM8" s="1480"/>
      <c r="AN8" s="1057">
        <f>RANK(D8,D$7:D$72,0)</f>
        <v>32</v>
      </c>
      <c r="AO8" s="360">
        <v>11</v>
      </c>
      <c r="AP8" s="360">
        <f>COUNTIF(F8:AL8,"=2")</f>
        <v>2</v>
      </c>
      <c r="AQ8" s="361">
        <f>COUNTIF(F8:AL8,"=1")</f>
        <v>3</v>
      </c>
    </row>
    <row r="9" spans="1:43" s="249" customFormat="1" x14ac:dyDescent="0.2">
      <c r="A9" s="1471">
        <v>2</v>
      </c>
      <c r="B9" s="1461" t="s">
        <v>162</v>
      </c>
      <c r="C9" s="1073"/>
      <c r="D9" s="1045">
        <f t="shared" si="0"/>
        <v>0</v>
      </c>
      <c r="E9" s="1479">
        <v>2</v>
      </c>
      <c r="F9" s="1051" t="s">
        <v>676</v>
      </c>
      <c r="G9" s="1059"/>
      <c r="H9" s="1043" t="s">
        <v>680</v>
      </c>
      <c r="I9" s="1043" t="s">
        <v>674</v>
      </c>
      <c r="J9" s="1043" t="s">
        <v>317</v>
      </c>
      <c r="K9" s="1043" t="s">
        <v>371</v>
      </c>
      <c r="L9" s="1043" t="s">
        <v>680</v>
      </c>
      <c r="M9" s="1043" t="s">
        <v>268</v>
      </c>
      <c r="N9" s="1043" t="s">
        <v>265</v>
      </c>
      <c r="O9" s="1043" t="s">
        <v>680</v>
      </c>
      <c r="P9" s="1043" t="s">
        <v>642</v>
      </c>
      <c r="Q9" s="1043" t="s">
        <v>119</v>
      </c>
      <c r="R9" s="1043" t="s">
        <v>316</v>
      </c>
      <c r="S9" s="1055" t="s">
        <v>676</v>
      </c>
      <c r="T9" s="1043" t="s">
        <v>371</v>
      </c>
      <c r="U9" s="1043" t="s">
        <v>265</v>
      </c>
      <c r="V9" s="1044" t="s">
        <v>676</v>
      </c>
      <c r="W9" s="1043" t="s">
        <v>371</v>
      </c>
      <c r="X9" s="1051" t="s">
        <v>265</v>
      </c>
      <c r="Y9" s="1043" t="s">
        <v>317</v>
      </c>
      <c r="Z9" s="1043" t="s">
        <v>119</v>
      </c>
      <c r="AA9" s="1043" t="s">
        <v>680</v>
      </c>
      <c r="AB9" s="1043" t="s">
        <v>316</v>
      </c>
      <c r="AC9" s="1043" t="s">
        <v>317</v>
      </c>
      <c r="AD9" s="1043" t="s">
        <v>680</v>
      </c>
      <c r="AE9" s="1043" t="s">
        <v>121</v>
      </c>
      <c r="AF9" s="1043" t="s">
        <v>121</v>
      </c>
      <c r="AG9" s="1043" t="s">
        <v>680</v>
      </c>
      <c r="AH9" s="1043" t="s">
        <v>119</v>
      </c>
      <c r="AI9" s="1043" t="s">
        <v>554</v>
      </c>
      <c r="AJ9" s="1043" t="s">
        <v>121</v>
      </c>
      <c r="AK9" s="1060" t="s">
        <v>680</v>
      </c>
      <c r="AL9" s="1060" t="s">
        <v>316</v>
      </c>
      <c r="AM9" s="1479">
        <v>2</v>
      </c>
      <c r="AN9" s="1058"/>
      <c r="AO9" s="360"/>
      <c r="AP9" s="360"/>
      <c r="AQ9" s="361"/>
    </row>
    <row r="10" spans="1:43" s="249" customFormat="1" x14ac:dyDescent="0.2">
      <c r="A10" s="1472"/>
      <c r="B10" s="1462"/>
      <c r="C10" s="1074">
        <v>25</v>
      </c>
      <c r="D10" s="1050">
        <f t="shared" si="0"/>
        <v>24</v>
      </c>
      <c r="E10" s="1480"/>
      <c r="F10" s="1048">
        <v>0</v>
      </c>
      <c r="G10" s="1047"/>
      <c r="H10" s="1049">
        <v>0</v>
      </c>
      <c r="I10" s="1049">
        <v>0</v>
      </c>
      <c r="J10" s="1049">
        <v>2</v>
      </c>
      <c r="K10" s="1049">
        <v>1</v>
      </c>
      <c r="L10" s="1049">
        <v>0</v>
      </c>
      <c r="M10" s="1049">
        <v>2</v>
      </c>
      <c r="N10" s="1049">
        <v>0</v>
      </c>
      <c r="O10" s="1049">
        <v>0</v>
      </c>
      <c r="P10" s="1049">
        <v>2</v>
      </c>
      <c r="Q10" s="1049">
        <v>2</v>
      </c>
      <c r="R10" s="1049">
        <v>0</v>
      </c>
      <c r="S10" s="1049">
        <v>0</v>
      </c>
      <c r="T10" s="1049">
        <v>1</v>
      </c>
      <c r="U10" s="1049">
        <v>0</v>
      </c>
      <c r="V10" s="1049">
        <v>0</v>
      </c>
      <c r="W10" s="1049">
        <v>1</v>
      </c>
      <c r="X10" s="1049">
        <v>0</v>
      </c>
      <c r="Y10" s="1049">
        <v>2</v>
      </c>
      <c r="Z10" s="1049">
        <v>2</v>
      </c>
      <c r="AA10" s="1049">
        <v>0</v>
      </c>
      <c r="AB10" s="1049">
        <v>0</v>
      </c>
      <c r="AC10" s="1049">
        <v>2</v>
      </c>
      <c r="AD10" s="1049">
        <v>0</v>
      </c>
      <c r="AE10" s="1049">
        <v>1</v>
      </c>
      <c r="AF10" s="1049">
        <v>1</v>
      </c>
      <c r="AG10" s="1049">
        <v>0</v>
      </c>
      <c r="AH10" s="1049">
        <v>2</v>
      </c>
      <c r="AI10" s="1049">
        <v>2</v>
      </c>
      <c r="AJ10" s="1049">
        <v>1</v>
      </c>
      <c r="AK10" s="1049">
        <v>0</v>
      </c>
      <c r="AL10" s="1049">
        <v>0</v>
      </c>
      <c r="AM10" s="1480"/>
      <c r="AN10" s="1057">
        <f>RANK(D10,D$7:D$72,0)</f>
        <v>25</v>
      </c>
      <c r="AO10" s="360">
        <v>21</v>
      </c>
      <c r="AP10" s="360">
        <f t="shared" ref="AP10:AP72" si="1">COUNTIF(F10:AL10,"=2")</f>
        <v>9</v>
      </c>
      <c r="AQ10" s="361">
        <f t="shared" ref="AQ10:AQ72" si="2">COUNTIF(F10:AL10,"=1")</f>
        <v>6</v>
      </c>
    </row>
    <row r="11" spans="1:43" s="249" customFormat="1" x14ac:dyDescent="0.2">
      <c r="A11" s="1471">
        <v>3</v>
      </c>
      <c r="B11" s="1463" t="s">
        <v>178</v>
      </c>
      <c r="C11" s="1073"/>
      <c r="D11" s="1045">
        <f t="shared" si="0"/>
        <v>0</v>
      </c>
      <c r="E11" s="1477">
        <v>3</v>
      </c>
      <c r="F11" s="1051" t="s">
        <v>673</v>
      </c>
      <c r="G11" s="1043" t="s">
        <v>673</v>
      </c>
      <c r="H11" s="1042"/>
      <c r="I11" s="1043" t="s">
        <v>316</v>
      </c>
      <c r="J11" s="1043" t="s">
        <v>268</v>
      </c>
      <c r="K11" s="1043" t="s">
        <v>121</v>
      </c>
      <c r="L11" s="1043" t="s">
        <v>316</v>
      </c>
      <c r="M11" s="1043" t="s">
        <v>265</v>
      </c>
      <c r="N11" s="1043" t="s">
        <v>316</v>
      </c>
      <c r="O11" s="1043" t="s">
        <v>270</v>
      </c>
      <c r="P11" s="1043" t="s">
        <v>642</v>
      </c>
      <c r="Q11" s="1043" t="s">
        <v>270</v>
      </c>
      <c r="R11" s="1043" t="s">
        <v>316</v>
      </c>
      <c r="S11" s="1043" t="s">
        <v>278</v>
      </c>
      <c r="T11" s="1043" t="s">
        <v>674</v>
      </c>
      <c r="U11" s="1043" t="s">
        <v>370</v>
      </c>
      <c r="V11" s="1044" t="s">
        <v>676</v>
      </c>
      <c r="W11" s="1043" t="s">
        <v>277</v>
      </c>
      <c r="X11" s="1043" t="s">
        <v>370</v>
      </c>
      <c r="Y11" s="1043" t="s">
        <v>265</v>
      </c>
      <c r="Z11" s="1043" t="s">
        <v>642</v>
      </c>
      <c r="AA11" s="1043" t="s">
        <v>121</v>
      </c>
      <c r="AB11" s="1043" t="s">
        <v>270</v>
      </c>
      <c r="AC11" s="1043" t="s">
        <v>268</v>
      </c>
      <c r="AD11" s="1060" t="s">
        <v>268</v>
      </c>
      <c r="AE11" s="1043" t="s">
        <v>317</v>
      </c>
      <c r="AF11" s="1043" t="s">
        <v>554</v>
      </c>
      <c r="AG11" s="1043" t="s">
        <v>673</v>
      </c>
      <c r="AH11" s="1043" t="s">
        <v>371</v>
      </c>
      <c r="AI11" s="1043" t="s">
        <v>268</v>
      </c>
      <c r="AJ11" s="1043" t="s">
        <v>370</v>
      </c>
      <c r="AK11" s="1051" t="s">
        <v>673</v>
      </c>
      <c r="AL11" s="1043" t="s">
        <v>370</v>
      </c>
      <c r="AM11" s="1477">
        <v>3</v>
      </c>
      <c r="AN11" s="1058"/>
      <c r="AO11" s="360"/>
      <c r="AP11" s="360"/>
      <c r="AQ11" s="361"/>
    </row>
    <row r="12" spans="1:43" s="249" customFormat="1" x14ac:dyDescent="0.2">
      <c r="A12" s="1472"/>
      <c r="B12" s="1464"/>
      <c r="C12" s="1075">
        <v>8</v>
      </c>
      <c r="D12" s="1050">
        <f t="shared" si="0"/>
        <v>35</v>
      </c>
      <c r="E12" s="1478"/>
      <c r="F12" s="1048">
        <v>2</v>
      </c>
      <c r="G12" s="1049">
        <v>2</v>
      </c>
      <c r="H12" s="1047"/>
      <c r="I12" s="1049">
        <v>0</v>
      </c>
      <c r="J12" s="1049">
        <v>2</v>
      </c>
      <c r="K12" s="1049">
        <v>1</v>
      </c>
      <c r="L12" s="1049">
        <v>0</v>
      </c>
      <c r="M12" s="1049">
        <v>0</v>
      </c>
      <c r="N12" s="1049">
        <v>0</v>
      </c>
      <c r="O12" s="1049">
        <v>0</v>
      </c>
      <c r="P12" s="1049">
        <v>2</v>
      </c>
      <c r="Q12" s="1049">
        <v>0</v>
      </c>
      <c r="R12" s="1049">
        <v>0</v>
      </c>
      <c r="S12" s="1049">
        <v>0</v>
      </c>
      <c r="T12" s="1049">
        <v>0</v>
      </c>
      <c r="U12" s="1049">
        <v>2</v>
      </c>
      <c r="V12" s="1049">
        <v>0</v>
      </c>
      <c r="W12" s="1049">
        <v>0</v>
      </c>
      <c r="X12" s="1049">
        <v>2</v>
      </c>
      <c r="Y12" s="1049">
        <v>0</v>
      </c>
      <c r="Z12" s="1049">
        <v>2</v>
      </c>
      <c r="AA12" s="1049">
        <v>1</v>
      </c>
      <c r="AB12" s="1049">
        <v>0</v>
      </c>
      <c r="AC12" s="1049">
        <v>2</v>
      </c>
      <c r="AD12" s="1049">
        <v>2</v>
      </c>
      <c r="AE12" s="1049">
        <v>2</v>
      </c>
      <c r="AF12" s="1049">
        <v>2</v>
      </c>
      <c r="AG12" s="1049">
        <v>2</v>
      </c>
      <c r="AH12" s="1049">
        <v>1</v>
      </c>
      <c r="AI12" s="1049">
        <v>2</v>
      </c>
      <c r="AJ12" s="1049">
        <v>2</v>
      </c>
      <c r="AK12" s="1049">
        <v>2</v>
      </c>
      <c r="AL12" s="1049">
        <v>2</v>
      </c>
      <c r="AM12" s="1478"/>
      <c r="AN12" s="1057">
        <f>RANK(D12,D$7:D$72,0)</f>
        <v>8</v>
      </c>
      <c r="AO12" s="360"/>
      <c r="AP12" s="360">
        <f t="shared" si="1"/>
        <v>16</v>
      </c>
      <c r="AQ12" s="361">
        <f t="shared" si="2"/>
        <v>3</v>
      </c>
    </row>
    <row r="13" spans="1:43" s="249" customFormat="1" x14ac:dyDescent="0.2">
      <c r="A13" s="1471">
        <v>4</v>
      </c>
      <c r="B13" s="1465" t="s">
        <v>167</v>
      </c>
      <c r="C13" s="1078"/>
      <c r="D13" s="1045">
        <f t="shared" si="0"/>
        <v>0</v>
      </c>
      <c r="E13" s="1477">
        <v>4</v>
      </c>
      <c r="F13" s="1055" t="s">
        <v>119</v>
      </c>
      <c r="G13" s="1044" t="s">
        <v>642</v>
      </c>
      <c r="H13" s="1043" t="s">
        <v>317</v>
      </c>
      <c r="I13" s="1042"/>
      <c r="J13" s="1043" t="s">
        <v>265</v>
      </c>
      <c r="K13" s="1043" t="s">
        <v>265</v>
      </c>
      <c r="L13" s="1043" t="s">
        <v>119</v>
      </c>
      <c r="M13" s="1043" t="s">
        <v>316</v>
      </c>
      <c r="N13" s="1043" t="s">
        <v>317</v>
      </c>
      <c r="O13" s="1043" t="s">
        <v>317</v>
      </c>
      <c r="P13" s="1043" t="s">
        <v>371</v>
      </c>
      <c r="Q13" s="1043" t="s">
        <v>268</v>
      </c>
      <c r="R13" s="1043" t="s">
        <v>642</v>
      </c>
      <c r="S13" s="1043" t="s">
        <v>673</v>
      </c>
      <c r="T13" s="1043" t="s">
        <v>265</v>
      </c>
      <c r="U13" s="1043" t="s">
        <v>370</v>
      </c>
      <c r="V13" s="1044" t="s">
        <v>676</v>
      </c>
      <c r="W13" s="1043" t="s">
        <v>673</v>
      </c>
      <c r="X13" s="1043" t="s">
        <v>119</v>
      </c>
      <c r="Y13" s="1043" t="s">
        <v>121</v>
      </c>
      <c r="Z13" s="1043" t="s">
        <v>674</v>
      </c>
      <c r="AA13" s="1043" t="s">
        <v>642</v>
      </c>
      <c r="AB13" s="1043" t="s">
        <v>554</v>
      </c>
      <c r="AC13" s="1043" t="s">
        <v>317</v>
      </c>
      <c r="AD13" s="1043" t="s">
        <v>268</v>
      </c>
      <c r="AE13" s="1043" t="s">
        <v>642</v>
      </c>
      <c r="AF13" s="1043" t="s">
        <v>674</v>
      </c>
      <c r="AG13" s="1043" t="s">
        <v>119</v>
      </c>
      <c r="AH13" s="1043" t="s">
        <v>642</v>
      </c>
      <c r="AI13" s="1043" t="s">
        <v>642</v>
      </c>
      <c r="AJ13" s="1043" t="s">
        <v>265</v>
      </c>
      <c r="AK13" s="1043" t="s">
        <v>121</v>
      </c>
      <c r="AL13" s="1043" t="s">
        <v>119</v>
      </c>
      <c r="AM13" s="1477">
        <v>4</v>
      </c>
      <c r="AN13" s="1058"/>
      <c r="AO13" s="360"/>
      <c r="AP13" s="360"/>
      <c r="AQ13" s="361"/>
    </row>
    <row r="14" spans="1:43" s="249" customFormat="1" x14ac:dyDescent="0.2">
      <c r="A14" s="1472"/>
      <c r="B14" s="1466"/>
      <c r="C14" s="1079">
        <v>3</v>
      </c>
      <c r="D14" s="1050">
        <f t="shared" si="0"/>
        <v>45</v>
      </c>
      <c r="E14" s="1478"/>
      <c r="F14" s="1048">
        <v>2</v>
      </c>
      <c r="G14" s="1049">
        <v>2</v>
      </c>
      <c r="H14" s="1049">
        <v>2</v>
      </c>
      <c r="I14" s="1047"/>
      <c r="J14" s="1049">
        <v>0</v>
      </c>
      <c r="K14" s="1049">
        <v>0</v>
      </c>
      <c r="L14" s="1049">
        <v>2</v>
      </c>
      <c r="M14" s="1049">
        <v>0</v>
      </c>
      <c r="N14" s="1049">
        <v>2</v>
      </c>
      <c r="O14" s="1049">
        <v>2</v>
      </c>
      <c r="P14" s="1049">
        <v>1</v>
      </c>
      <c r="Q14" s="1049">
        <v>2</v>
      </c>
      <c r="R14" s="1049">
        <v>2</v>
      </c>
      <c r="S14" s="1049">
        <v>2</v>
      </c>
      <c r="T14" s="1049">
        <v>0</v>
      </c>
      <c r="U14" s="1049">
        <v>2</v>
      </c>
      <c r="V14" s="1049">
        <v>0</v>
      </c>
      <c r="W14" s="1049">
        <v>2</v>
      </c>
      <c r="X14" s="1049">
        <v>2</v>
      </c>
      <c r="Y14" s="1049">
        <v>1</v>
      </c>
      <c r="Z14" s="1049">
        <v>0</v>
      </c>
      <c r="AA14" s="1049">
        <v>2</v>
      </c>
      <c r="AB14" s="1049">
        <v>2</v>
      </c>
      <c r="AC14" s="1049">
        <v>2</v>
      </c>
      <c r="AD14" s="1049">
        <v>2</v>
      </c>
      <c r="AE14" s="1049">
        <v>2</v>
      </c>
      <c r="AF14" s="1049">
        <v>0</v>
      </c>
      <c r="AG14" s="1049">
        <v>2</v>
      </c>
      <c r="AH14" s="1049">
        <v>2</v>
      </c>
      <c r="AI14" s="1049">
        <v>2</v>
      </c>
      <c r="AJ14" s="1049">
        <v>0</v>
      </c>
      <c r="AK14" s="1049">
        <v>1</v>
      </c>
      <c r="AL14" s="1049">
        <v>2</v>
      </c>
      <c r="AM14" s="1478"/>
      <c r="AN14" s="1057">
        <f>RANK(D14,D$7:D$72,0)</f>
        <v>3</v>
      </c>
      <c r="AO14" s="360"/>
      <c r="AP14" s="360">
        <f t="shared" si="1"/>
        <v>21</v>
      </c>
      <c r="AQ14" s="361">
        <f t="shared" si="2"/>
        <v>3</v>
      </c>
    </row>
    <row r="15" spans="1:43" s="249" customFormat="1" x14ac:dyDescent="0.2">
      <c r="A15" s="1471">
        <v>5</v>
      </c>
      <c r="B15" s="1461" t="s">
        <v>170</v>
      </c>
      <c r="C15" s="1073"/>
      <c r="D15" s="1045">
        <f t="shared" si="0"/>
        <v>0</v>
      </c>
      <c r="E15" s="1477">
        <v>5</v>
      </c>
      <c r="F15" s="1051" t="s">
        <v>121</v>
      </c>
      <c r="G15" s="1043" t="s">
        <v>316</v>
      </c>
      <c r="H15" s="1043" t="s">
        <v>270</v>
      </c>
      <c r="I15" s="1043" t="s">
        <v>119</v>
      </c>
      <c r="J15" s="1042"/>
      <c r="K15" s="1051" t="s">
        <v>119</v>
      </c>
      <c r="L15" s="1043" t="s">
        <v>317</v>
      </c>
      <c r="M15" s="1043" t="s">
        <v>119</v>
      </c>
      <c r="N15" s="1043" t="s">
        <v>119</v>
      </c>
      <c r="O15" s="1043" t="s">
        <v>316</v>
      </c>
      <c r="P15" s="1043" t="s">
        <v>371</v>
      </c>
      <c r="Q15" s="1043" t="s">
        <v>265</v>
      </c>
      <c r="R15" s="1043" t="s">
        <v>674</v>
      </c>
      <c r="S15" s="1043" t="s">
        <v>673</v>
      </c>
      <c r="T15" s="1043" t="s">
        <v>119</v>
      </c>
      <c r="U15" s="1043" t="s">
        <v>121</v>
      </c>
      <c r="V15" s="1044" t="s">
        <v>676</v>
      </c>
      <c r="W15" s="1043" t="s">
        <v>673</v>
      </c>
      <c r="X15" s="1043" t="s">
        <v>270</v>
      </c>
      <c r="Y15" s="1043" t="s">
        <v>270</v>
      </c>
      <c r="Z15" s="1043" t="s">
        <v>317</v>
      </c>
      <c r="AA15" s="1043" t="s">
        <v>265</v>
      </c>
      <c r="AB15" s="1043" t="s">
        <v>277</v>
      </c>
      <c r="AC15" s="1043" t="s">
        <v>268</v>
      </c>
      <c r="AD15" s="1043" t="s">
        <v>317</v>
      </c>
      <c r="AE15" s="1043" t="s">
        <v>119</v>
      </c>
      <c r="AF15" s="1043" t="s">
        <v>371</v>
      </c>
      <c r="AG15" s="1043" t="s">
        <v>316</v>
      </c>
      <c r="AH15" s="1043" t="s">
        <v>265</v>
      </c>
      <c r="AI15" s="1043" t="s">
        <v>119</v>
      </c>
      <c r="AJ15" s="1043" t="s">
        <v>119</v>
      </c>
      <c r="AK15" s="1043" t="s">
        <v>270</v>
      </c>
      <c r="AL15" s="1043" t="s">
        <v>316</v>
      </c>
      <c r="AM15" s="1477">
        <v>5</v>
      </c>
      <c r="AN15" s="1058"/>
      <c r="AO15" s="360"/>
      <c r="AP15" s="360"/>
      <c r="AQ15" s="361"/>
    </row>
    <row r="16" spans="1:43" s="249" customFormat="1" x14ac:dyDescent="0.2">
      <c r="A16" s="1472"/>
      <c r="B16" s="1462"/>
      <c r="C16" s="1074">
        <v>15</v>
      </c>
      <c r="D16" s="1050">
        <f t="shared" si="0"/>
        <v>32</v>
      </c>
      <c r="E16" s="1478"/>
      <c r="F16" s="1048">
        <v>1</v>
      </c>
      <c r="G16" s="1049">
        <v>0</v>
      </c>
      <c r="H16" s="1049">
        <v>0</v>
      </c>
      <c r="I16" s="1049">
        <v>2</v>
      </c>
      <c r="J16" s="1047"/>
      <c r="K16" s="1048">
        <v>2</v>
      </c>
      <c r="L16" s="1049">
        <v>2</v>
      </c>
      <c r="M16" s="1049">
        <v>2</v>
      </c>
      <c r="N16" s="1049">
        <v>2</v>
      </c>
      <c r="O16" s="1049">
        <v>0</v>
      </c>
      <c r="P16" s="1049">
        <v>1</v>
      </c>
      <c r="Q16" s="1049">
        <v>0</v>
      </c>
      <c r="R16" s="1049">
        <v>0</v>
      </c>
      <c r="S16" s="1049">
        <v>2</v>
      </c>
      <c r="T16" s="1049">
        <v>2</v>
      </c>
      <c r="U16" s="1049">
        <v>1</v>
      </c>
      <c r="V16" s="1049">
        <v>0</v>
      </c>
      <c r="W16" s="1049">
        <v>2</v>
      </c>
      <c r="X16" s="1049">
        <v>0</v>
      </c>
      <c r="Y16" s="1049">
        <v>0</v>
      </c>
      <c r="Z16" s="1049">
        <v>2</v>
      </c>
      <c r="AA16" s="1049">
        <v>0</v>
      </c>
      <c r="AB16" s="1049">
        <v>0</v>
      </c>
      <c r="AC16" s="1049">
        <v>2</v>
      </c>
      <c r="AD16" s="1049">
        <v>2</v>
      </c>
      <c r="AE16" s="1049">
        <v>2</v>
      </c>
      <c r="AF16" s="1049">
        <v>1</v>
      </c>
      <c r="AG16" s="1049">
        <v>0</v>
      </c>
      <c r="AH16" s="1049">
        <v>0</v>
      </c>
      <c r="AI16" s="1049">
        <v>2</v>
      </c>
      <c r="AJ16" s="1049">
        <v>2</v>
      </c>
      <c r="AK16" s="1049">
        <v>0</v>
      </c>
      <c r="AL16" s="1049">
        <v>0</v>
      </c>
      <c r="AM16" s="1478"/>
      <c r="AN16" s="1057">
        <f>RANK(D16,D$7:D$72,0)</f>
        <v>15</v>
      </c>
      <c r="AO16" s="360"/>
      <c r="AP16" s="360">
        <f t="shared" si="1"/>
        <v>14</v>
      </c>
      <c r="AQ16" s="361">
        <f t="shared" si="2"/>
        <v>4</v>
      </c>
    </row>
    <row r="17" spans="1:43" s="249" customFormat="1" x14ac:dyDescent="0.2">
      <c r="A17" s="1471">
        <v>6</v>
      </c>
      <c r="B17" s="1463" t="s">
        <v>313</v>
      </c>
      <c r="C17" s="1073"/>
      <c r="D17" s="1045">
        <f t="shared" si="0"/>
        <v>0</v>
      </c>
      <c r="E17" s="1477">
        <v>6</v>
      </c>
      <c r="F17" s="1051" t="s">
        <v>265</v>
      </c>
      <c r="G17" s="1043" t="s">
        <v>371</v>
      </c>
      <c r="H17" s="1043" t="s">
        <v>121</v>
      </c>
      <c r="I17" s="1043" t="s">
        <v>119</v>
      </c>
      <c r="J17" s="1043" t="s">
        <v>265</v>
      </c>
      <c r="K17" s="1059"/>
      <c r="L17" s="1051" t="s">
        <v>270</v>
      </c>
      <c r="M17" s="1051" t="s">
        <v>642</v>
      </c>
      <c r="N17" s="1043" t="s">
        <v>277</v>
      </c>
      <c r="O17" s="1051" t="s">
        <v>277</v>
      </c>
      <c r="P17" s="1043" t="s">
        <v>316</v>
      </c>
      <c r="Q17" s="1043" t="s">
        <v>316</v>
      </c>
      <c r="R17" s="1043" t="s">
        <v>317</v>
      </c>
      <c r="S17" s="1043" t="s">
        <v>673</v>
      </c>
      <c r="T17" s="1043" t="s">
        <v>268</v>
      </c>
      <c r="U17" s="1043" t="s">
        <v>121</v>
      </c>
      <c r="V17" s="1044" t="s">
        <v>676</v>
      </c>
      <c r="W17" s="1043" t="s">
        <v>119</v>
      </c>
      <c r="X17" s="1043" t="s">
        <v>316</v>
      </c>
      <c r="Y17" s="1043" t="s">
        <v>270</v>
      </c>
      <c r="Z17" s="1043" t="s">
        <v>554</v>
      </c>
      <c r="AA17" s="1043" t="s">
        <v>317</v>
      </c>
      <c r="AB17" s="1043" t="s">
        <v>265</v>
      </c>
      <c r="AC17" s="1043" t="s">
        <v>119</v>
      </c>
      <c r="AD17" s="1043" t="s">
        <v>121</v>
      </c>
      <c r="AE17" s="1051" t="s">
        <v>677</v>
      </c>
      <c r="AF17" s="1043" t="s">
        <v>268</v>
      </c>
      <c r="AG17" s="1043" t="s">
        <v>265</v>
      </c>
      <c r="AH17" s="1043" t="s">
        <v>317</v>
      </c>
      <c r="AI17" s="1043" t="s">
        <v>119</v>
      </c>
      <c r="AJ17" s="1043" t="s">
        <v>119</v>
      </c>
      <c r="AK17" s="1043" t="s">
        <v>370</v>
      </c>
      <c r="AL17" s="1043" t="s">
        <v>675</v>
      </c>
      <c r="AM17" s="1477">
        <v>6</v>
      </c>
      <c r="AN17" s="1058"/>
      <c r="AO17" s="360"/>
      <c r="AP17" s="360"/>
      <c r="AQ17" s="361"/>
    </row>
    <row r="18" spans="1:43" s="249" customFormat="1" x14ac:dyDescent="0.2">
      <c r="A18" s="1472"/>
      <c r="B18" s="1464"/>
      <c r="C18" s="1075">
        <v>9</v>
      </c>
      <c r="D18" s="1050">
        <f t="shared" si="0"/>
        <v>35</v>
      </c>
      <c r="E18" s="1478"/>
      <c r="F18" s="1048">
        <v>0</v>
      </c>
      <c r="G18" s="1049">
        <v>1</v>
      </c>
      <c r="H18" s="1049">
        <v>1</v>
      </c>
      <c r="I18" s="1049">
        <v>2</v>
      </c>
      <c r="J18" s="1049">
        <v>0</v>
      </c>
      <c r="K18" s="1047"/>
      <c r="L18" s="1049">
        <v>0</v>
      </c>
      <c r="M18" s="1049">
        <v>2</v>
      </c>
      <c r="N18" s="1049">
        <v>0</v>
      </c>
      <c r="O18" s="1049">
        <v>0</v>
      </c>
      <c r="P18" s="1049">
        <v>0</v>
      </c>
      <c r="Q18" s="1049">
        <v>0</v>
      </c>
      <c r="R18" s="1049">
        <v>2</v>
      </c>
      <c r="S18" s="1049">
        <v>2</v>
      </c>
      <c r="T18" s="1049">
        <v>2</v>
      </c>
      <c r="U18" s="1049">
        <v>1</v>
      </c>
      <c r="V18" s="1049">
        <v>0</v>
      </c>
      <c r="W18" s="1049">
        <v>2</v>
      </c>
      <c r="X18" s="1049">
        <v>0</v>
      </c>
      <c r="Y18" s="1049">
        <v>0</v>
      </c>
      <c r="Z18" s="1049">
        <v>2</v>
      </c>
      <c r="AA18" s="1049">
        <v>2</v>
      </c>
      <c r="AB18" s="1049">
        <v>0</v>
      </c>
      <c r="AC18" s="1049">
        <v>2</v>
      </c>
      <c r="AD18" s="1049">
        <v>1</v>
      </c>
      <c r="AE18" s="1049">
        <v>2</v>
      </c>
      <c r="AF18" s="1049">
        <v>2</v>
      </c>
      <c r="AG18" s="1049">
        <v>1</v>
      </c>
      <c r="AH18" s="1049">
        <v>2</v>
      </c>
      <c r="AI18" s="1049">
        <v>2</v>
      </c>
      <c r="AJ18" s="1049">
        <v>2</v>
      </c>
      <c r="AK18" s="1049">
        <v>2</v>
      </c>
      <c r="AL18" s="1049">
        <v>0</v>
      </c>
      <c r="AM18" s="1478"/>
      <c r="AN18" s="1057">
        <f>RANK(D18,D$7:D$72,0)</f>
        <v>8</v>
      </c>
      <c r="AO18" s="360"/>
      <c r="AP18" s="360">
        <f t="shared" si="1"/>
        <v>15</v>
      </c>
      <c r="AQ18" s="361">
        <f t="shared" si="2"/>
        <v>5</v>
      </c>
    </row>
    <row r="19" spans="1:43" s="249" customFormat="1" x14ac:dyDescent="0.2">
      <c r="A19" s="1471">
        <v>7</v>
      </c>
      <c r="B19" s="1461" t="s">
        <v>314</v>
      </c>
      <c r="C19" s="1073"/>
      <c r="D19" s="1045">
        <f t="shared" si="0"/>
        <v>0</v>
      </c>
      <c r="E19" s="1477">
        <v>7</v>
      </c>
      <c r="F19" s="1051" t="s">
        <v>673</v>
      </c>
      <c r="G19" s="1043" t="s">
        <v>673</v>
      </c>
      <c r="H19" s="1043" t="s">
        <v>317</v>
      </c>
      <c r="I19" s="1043" t="s">
        <v>265</v>
      </c>
      <c r="J19" s="1043" t="s">
        <v>316</v>
      </c>
      <c r="K19" s="1051" t="s">
        <v>268</v>
      </c>
      <c r="L19" s="1059"/>
      <c r="M19" s="1043" t="s">
        <v>554</v>
      </c>
      <c r="N19" s="1043" t="s">
        <v>277</v>
      </c>
      <c r="O19" s="1043" t="s">
        <v>268</v>
      </c>
      <c r="P19" s="1043" t="s">
        <v>371</v>
      </c>
      <c r="Q19" s="1043" t="s">
        <v>675</v>
      </c>
      <c r="R19" s="1043" t="s">
        <v>121</v>
      </c>
      <c r="S19" s="1043" t="s">
        <v>673</v>
      </c>
      <c r="T19" s="1043" t="s">
        <v>370</v>
      </c>
      <c r="U19" s="1043" t="s">
        <v>317</v>
      </c>
      <c r="V19" s="1044" t="s">
        <v>676</v>
      </c>
      <c r="W19" s="1043" t="s">
        <v>673</v>
      </c>
      <c r="X19" s="1043" t="s">
        <v>119</v>
      </c>
      <c r="Y19" s="1043" t="s">
        <v>316</v>
      </c>
      <c r="Z19" s="1043" t="s">
        <v>268</v>
      </c>
      <c r="AA19" s="1043" t="s">
        <v>119</v>
      </c>
      <c r="AB19" s="1043" t="s">
        <v>270</v>
      </c>
      <c r="AC19" s="1043" t="s">
        <v>277</v>
      </c>
      <c r="AD19" s="1051" t="s">
        <v>676</v>
      </c>
      <c r="AE19" s="1051" t="s">
        <v>317</v>
      </c>
      <c r="AF19" s="1051" t="s">
        <v>317</v>
      </c>
      <c r="AG19" s="1043" t="s">
        <v>121</v>
      </c>
      <c r="AH19" s="1043" t="s">
        <v>370</v>
      </c>
      <c r="AI19" s="1043" t="s">
        <v>265</v>
      </c>
      <c r="AJ19" s="1043" t="s">
        <v>677</v>
      </c>
      <c r="AK19" s="1043" t="s">
        <v>316</v>
      </c>
      <c r="AL19" s="1043" t="s">
        <v>674</v>
      </c>
      <c r="AM19" s="1477">
        <v>7</v>
      </c>
      <c r="AN19" s="1058"/>
      <c r="AO19" s="360"/>
      <c r="AP19" s="360"/>
      <c r="AQ19" s="361"/>
    </row>
    <row r="20" spans="1:43" s="249" customFormat="1" x14ac:dyDescent="0.2">
      <c r="A20" s="1472"/>
      <c r="B20" s="1462"/>
      <c r="C20" s="1074">
        <v>6</v>
      </c>
      <c r="D20" s="1050">
        <f t="shared" si="0"/>
        <v>37</v>
      </c>
      <c r="E20" s="1478"/>
      <c r="F20" s="1048">
        <v>2</v>
      </c>
      <c r="G20" s="1049">
        <v>2</v>
      </c>
      <c r="H20" s="1049">
        <v>2</v>
      </c>
      <c r="I20" s="1049">
        <v>0</v>
      </c>
      <c r="J20" s="1049">
        <v>0</v>
      </c>
      <c r="K20" s="1048">
        <v>2</v>
      </c>
      <c r="L20" s="1047"/>
      <c r="M20" s="1049">
        <v>2</v>
      </c>
      <c r="N20" s="1049">
        <v>0</v>
      </c>
      <c r="O20" s="1049">
        <v>2</v>
      </c>
      <c r="P20" s="1049">
        <v>1</v>
      </c>
      <c r="Q20" s="1049">
        <v>0</v>
      </c>
      <c r="R20" s="1049">
        <v>1</v>
      </c>
      <c r="S20" s="1049">
        <v>2</v>
      </c>
      <c r="T20" s="1049">
        <v>2</v>
      </c>
      <c r="U20" s="1049">
        <v>2</v>
      </c>
      <c r="V20" s="1049">
        <v>0</v>
      </c>
      <c r="W20" s="1049">
        <v>2</v>
      </c>
      <c r="X20" s="1049">
        <v>2</v>
      </c>
      <c r="Y20" s="1049">
        <v>0</v>
      </c>
      <c r="Z20" s="1049">
        <v>2</v>
      </c>
      <c r="AA20" s="1049">
        <v>2</v>
      </c>
      <c r="AB20" s="1049">
        <v>0</v>
      </c>
      <c r="AC20" s="1049">
        <v>0</v>
      </c>
      <c r="AD20" s="1048">
        <v>0</v>
      </c>
      <c r="AE20" s="1048">
        <v>2</v>
      </c>
      <c r="AF20" s="1048">
        <v>2</v>
      </c>
      <c r="AG20" s="1049">
        <v>1</v>
      </c>
      <c r="AH20" s="1049">
        <v>2</v>
      </c>
      <c r="AI20" s="1049">
        <v>0</v>
      </c>
      <c r="AJ20" s="1049">
        <v>2</v>
      </c>
      <c r="AK20" s="1049">
        <v>0</v>
      </c>
      <c r="AL20" s="1049">
        <v>0</v>
      </c>
      <c r="AM20" s="1478"/>
      <c r="AN20" s="1057">
        <f>RANK(D20,D$7:D$72,0)</f>
        <v>5</v>
      </c>
      <c r="AO20" s="360"/>
      <c r="AP20" s="360">
        <f t="shared" si="1"/>
        <v>17</v>
      </c>
      <c r="AQ20" s="361">
        <f t="shared" si="2"/>
        <v>3</v>
      </c>
    </row>
    <row r="21" spans="1:43" s="249" customFormat="1" x14ac:dyDescent="0.2">
      <c r="A21" s="1471">
        <v>8</v>
      </c>
      <c r="B21" s="1461" t="s">
        <v>630</v>
      </c>
      <c r="C21" s="1073"/>
      <c r="D21" s="1045">
        <f t="shared" si="0"/>
        <v>0</v>
      </c>
      <c r="E21" s="1477">
        <v>8</v>
      </c>
      <c r="F21" s="1051" t="s">
        <v>268</v>
      </c>
      <c r="G21" s="1043" t="s">
        <v>270</v>
      </c>
      <c r="H21" s="1043" t="s">
        <v>119</v>
      </c>
      <c r="I21" s="1043" t="s">
        <v>317</v>
      </c>
      <c r="J21" s="1043" t="s">
        <v>265</v>
      </c>
      <c r="K21" s="1051" t="s">
        <v>674</v>
      </c>
      <c r="L21" s="1043" t="s">
        <v>277</v>
      </c>
      <c r="M21" s="1042"/>
      <c r="N21" s="1043" t="s">
        <v>268</v>
      </c>
      <c r="O21" s="1043" t="s">
        <v>268</v>
      </c>
      <c r="P21" s="1043" t="s">
        <v>121</v>
      </c>
      <c r="Q21" s="1043" t="s">
        <v>371</v>
      </c>
      <c r="R21" s="1043" t="s">
        <v>554</v>
      </c>
      <c r="S21" s="1043" t="s">
        <v>673</v>
      </c>
      <c r="T21" s="1043" t="s">
        <v>316</v>
      </c>
      <c r="U21" s="1043" t="s">
        <v>119</v>
      </c>
      <c r="V21" s="1044" t="s">
        <v>676</v>
      </c>
      <c r="W21" s="1043" t="s">
        <v>673</v>
      </c>
      <c r="X21" s="1043" t="s">
        <v>121</v>
      </c>
      <c r="Y21" s="1043" t="s">
        <v>121</v>
      </c>
      <c r="Z21" s="1043" t="s">
        <v>265</v>
      </c>
      <c r="AA21" s="1043" t="s">
        <v>270</v>
      </c>
      <c r="AB21" s="1043" t="s">
        <v>270</v>
      </c>
      <c r="AC21" s="1043" t="s">
        <v>316</v>
      </c>
      <c r="AD21" s="1051" t="s">
        <v>370</v>
      </c>
      <c r="AE21" s="1051" t="s">
        <v>277</v>
      </c>
      <c r="AF21" s="1051" t="s">
        <v>119</v>
      </c>
      <c r="AG21" s="1043" t="s">
        <v>270</v>
      </c>
      <c r="AH21" s="1043" t="s">
        <v>642</v>
      </c>
      <c r="AI21" s="1043" t="s">
        <v>121</v>
      </c>
      <c r="AJ21" s="1043" t="s">
        <v>277</v>
      </c>
      <c r="AK21" s="1043" t="s">
        <v>317</v>
      </c>
      <c r="AL21" s="1043" t="s">
        <v>121</v>
      </c>
      <c r="AM21" s="1477">
        <v>8</v>
      </c>
      <c r="AN21" s="1058"/>
      <c r="AO21" s="360"/>
      <c r="AP21" s="360"/>
      <c r="AQ21" s="361"/>
    </row>
    <row r="22" spans="1:43" s="249" customFormat="1" x14ac:dyDescent="0.2">
      <c r="A22" s="1472"/>
      <c r="B22" s="1462"/>
      <c r="C22" s="1074">
        <v>16</v>
      </c>
      <c r="D22" s="1050">
        <f t="shared" si="0"/>
        <v>32</v>
      </c>
      <c r="E22" s="1478"/>
      <c r="F22" s="1048">
        <v>2</v>
      </c>
      <c r="G22" s="1049">
        <v>0</v>
      </c>
      <c r="H22" s="1049">
        <v>2</v>
      </c>
      <c r="I22" s="1049">
        <v>2</v>
      </c>
      <c r="J22" s="1049">
        <v>0</v>
      </c>
      <c r="K22" s="1049">
        <v>0</v>
      </c>
      <c r="L22" s="1049">
        <v>0</v>
      </c>
      <c r="M22" s="1047"/>
      <c r="N22" s="1049">
        <v>2</v>
      </c>
      <c r="O22" s="1049">
        <v>2</v>
      </c>
      <c r="P22" s="1049">
        <v>1</v>
      </c>
      <c r="Q22" s="1049">
        <v>1</v>
      </c>
      <c r="R22" s="1049">
        <v>2</v>
      </c>
      <c r="S22" s="1049">
        <v>2</v>
      </c>
      <c r="T22" s="1049">
        <v>0</v>
      </c>
      <c r="U22" s="1049">
        <v>2</v>
      </c>
      <c r="V22" s="1049">
        <v>0</v>
      </c>
      <c r="W22" s="1049">
        <v>2</v>
      </c>
      <c r="X22" s="1049">
        <v>1</v>
      </c>
      <c r="Y22" s="1049">
        <v>1</v>
      </c>
      <c r="Z22" s="1049">
        <v>0</v>
      </c>
      <c r="AA22" s="1049">
        <v>0</v>
      </c>
      <c r="AB22" s="1049">
        <v>0</v>
      </c>
      <c r="AC22" s="1049">
        <v>0</v>
      </c>
      <c r="AD22" s="1048">
        <v>2</v>
      </c>
      <c r="AE22" s="1048">
        <v>0</v>
      </c>
      <c r="AF22" s="1048">
        <v>2</v>
      </c>
      <c r="AG22" s="1049">
        <v>0</v>
      </c>
      <c r="AH22" s="1049">
        <v>2</v>
      </c>
      <c r="AI22" s="1049">
        <v>1</v>
      </c>
      <c r="AJ22" s="1049">
        <v>0</v>
      </c>
      <c r="AK22" s="1049">
        <v>2</v>
      </c>
      <c r="AL22" s="1049">
        <v>1</v>
      </c>
      <c r="AM22" s="1478"/>
      <c r="AN22" s="1057">
        <f>RANK(D22,D$7:D$72,0)</f>
        <v>15</v>
      </c>
      <c r="AO22" s="360"/>
      <c r="AP22" s="360">
        <f t="shared" si="1"/>
        <v>13</v>
      </c>
      <c r="AQ22" s="361">
        <f t="shared" si="2"/>
        <v>6</v>
      </c>
    </row>
    <row r="23" spans="1:43" s="249" customFormat="1" x14ac:dyDescent="0.2">
      <c r="A23" s="1471">
        <v>9</v>
      </c>
      <c r="B23" s="1461" t="s">
        <v>164</v>
      </c>
      <c r="C23" s="1073"/>
      <c r="D23" s="1045">
        <f t="shared" si="0"/>
        <v>0</v>
      </c>
      <c r="E23" s="1477">
        <v>9</v>
      </c>
      <c r="F23" s="1051" t="s">
        <v>673</v>
      </c>
      <c r="G23" s="1043" t="s">
        <v>119</v>
      </c>
      <c r="H23" s="1043" t="s">
        <v>317</v>
      </c>
      <c r="I23" s="1043" t="s">
        <v>316</v>
      </c>
      <c r="J23" s="1043" t="s">
        <v>265</v>
      </c>
      <c r="K23" s="1043" t="s">
        <v>554</v>
      </c>
      <c r="L23" s="1043" t="s">
        <v>554</v>
      </c>
      <c r="M23" s="1043" t="s">
        <v>270</v>
      </c>
      <c r="N23" s="1042"/>
      <c r="O23" s="1043" t="s">
        <v>371</v>
      </c>
      <c r="P23" s="1043" t="s">
        <v>316</v>
      </c>
      <c r="Q23" s="1043" t="s">
        <v>317</v>
      </c>
      <c r="R23" s="1043" t="s">
        <v>642</v>
      </c>
      <c r="S23" s="1043" t="s">
        <v>673</v>
      </c>
      <c r="T23" s="1043" t="s">
        <v>371</v>
      </c>
      <c r="U23" s="1043" t="s">
        <v>317</v>
      </c>
      <c r="V23" s="1044" t="s">
        <v>676</v>
      </c>
      <c r="W23" s="1043" t="s">
        <v>673</v>
      </c>
      <c r="X23" s="1043" t="s">
        <v>265</v>
      </c>
      <c r="Y23" s="1043" t="s">
        <v>674</v>
      </c>
      <c r="Z23" s="1043" t="s">
        <v>121</v>
      </c>
      <c r="AA23" s="1043" t="s">
        <v>278</v>
      </c>
      <c r="AB23" s="1043" t="s">
        <v>119</v>
      </c>
      <c r="AC23" s="1043" t="s">
        <v>675</v>
      </c>
      <c r="AD23" s="1051" t="s">
        <v>121</v>
      </c>
      <c r="AE23" s="1051" t="s">
        <v>678</v>
      </c>
      <c r="AF23" s="1051" t="s">
        <v>679</v>
      </c>
      <c r="AG23" s="1043" t="s">
        <v>317</v>
      </c>
      <c r="AH23" s="1043" t="s">
        <v>268</v>
      </c>
      <c r="AI23" s="1043" t="s">
        <v>119</v>
      </c>
      <c r="AJ23" s="1043" t="s">
        <v>119</v>
      </c>
      <c r="AK23" s="1043" t="s">
        <v>278</v>
      </c>
      <c r="AL23" s="1051" t="s">
        <v>680</v>
      </c>
      <c r="AM23" s="1477">
        <v>9</v>
      </c>
      <c r="AN23" s="1058"/>
      <c r="AO23" s="360"/>
      <c r="AP23" s="360"/>
      <c r="AQ23" s="361"/>
    </row>
    <row r="24" spans="1:43" s="249" customFormat="1" x14ac:dyDescent="0.2">
      <c r="A24" s="1472"/>
      <c r="B24" s="1462"/>
      <c r="C24" s="1074">
        <v>5</v>
      </c>
      <c r="D24" s="1050">
        <f t="shared" si="0"/>
        <v>37</v>
      </c>
      <c r="E24" s="1478"/>
      <c r="F24" s="1048">
        <v>2</v>
      </c>
      <c r="G24" s="1049">
        <v>2</v>
      </c>
      <c r="H24" s="1049">
        <v>2</v>
      </c>
      <c r="I24" s="1049">
        <v>0</v>
      </c>
      <c r="J24" s="1049">
        <v>0</v>
      </c>
      <c r="K24" s="1049">
        <v>2</v>
      </c>
      <c r="L24" s="1049">
        <v>2</v>
      </c>
      <c r="M24" s="1049">
        <v>0</v>
      </c>
      <c r="N24" s="1047"/>
      <c r="O24" s="1049">
        <v>1</v>
      </c>
      <c r="P24" s="1049">
        <v>0</v>
      </c>
      <c r="Q24" s="1049">
        <v>2</v>
      </c>
      <c r="R24" s="1049">
        <v>2</v>
      </c>
      <c r="S24" s="1049">
        <v>2</v>
      </c>
      <c r="T24" s="1049">
        <v>1</v>
      </c>
      <c r="U24" s="1049">
        <v>2</v>
      </c>
      <c r="V24" s="1049">
        <v>0</v>
      </c>
      <c r="W24" s="1049">
        <v>2</v>
      </c>
      <c r="X24" s="1049">
        <v>0</v>
      </c>
      <c r="Y24" s="1049">
        <v>0</v>
      </c>
      <c r="Z24" s="1049">
        <v>1</v>
      </c>
      <c r="AA24" s="1049">
        <v>0</v>
      </c>
      <c r="AB24" s="1049">
        <v>2</v>
      </c>
      <c r="AC24" s="1049">
        <v>0</v>
      </c>
      <c r="AD24" s="1049">
        <v>1</v>
      </c>
      <c r="AE24" s="1049">
        <v>1</v>
      </c>
      <c r="AF24" s="1049">
        <v>2</v>
      </c>
      <c r="AG24" s="1049">
        <v>2</v>
      </c>
      <c r="AH24" s="1049">
        <v>2</v>
      </c>
      <c r="AI24" s="1049">
        <v>2</v>
      </c>
      <c r="AJ24" s="1049">
        <v>2</v>
      </c>
      <c r="AK24" s="1049">
        <v>0</v>
      </c>
      <c r="AL24" s="1049">
        <v>0</v>
      </c>
      <c r="AM24" s="1478"/>
      <c r="AN24" s="1057">
        <f>RANK(D24,D$7:D$72,0)</f>
        <v>5</v>
      </c>
      <c r="AO24" s="360"/>
      <c r="AP24" s="360">
        <f t="shared" si="1"/>
        <v>16</v>
      </c>
      <c r="AQ24" s="361">
        <f t="shared" si="2"/>
        <v>5</v>
      </c>
    </row>
    <row r="25" spans="1:43" s="249" customFormat="1" x14ac:dyDescent="0.2">
      <c r="A25" s="1471">
        <v>10</v>
      </c>
      <c r="B25" s="1461" t="s">
        <v>353</v>
      </c>
      <c r="C25" s="1073"/>
      <c r="D25" s="1045">
        <f t="shared" si="0"/>
        <v>0</v>
      </c>
      <c r="E25" s="1477">
        <v>10</v>
      </c>
      <c r="F25" s="1051" t="s">
        <v>673</v>
      </c>
      <c r="G25" s="1043" t="s">
        <v>673</v>
      </c>
      <c r="H25" s="1043" t="s">
        <v>268</v>
      </c>
      <c r="I25" s="1043" t="s">
        <v>316</v>
      </c>
      <c r="J25" s="1043" t="s">
        <v>317</v>
      </c>
      <c r="K25" s="1043" t="s">
        <v>554</v>
      </c>
      <c r="L25" s="1043" t="s">
        <v>270</v>
      </c>
      <c r="M25" s="1043" t="s">
        <v>270</v>
      </c>
      <c r="N25" s="1043" t="s">
        <v>371</v>
      </c>
      <c r="O25" s="1042"/>
      <c r="P25" s="1043" t="s">
        <v>316</v>
      </c>
      <c r="Q25" s="1043" t="s">
        <v>370</v>
      </c>
      <c r="R25" s="1043" t="s">
        <v>268</v>
      </c>
      <c r="S25" s="1043" t="s">
        <v>119</v>
      </c>
      <c r="T25" s="1051" t="s">
        <v>680</v>
      </c>
      <c r="U25" s="1043" t="s">
        <v>675</v>
      </c>
      <c r="V25" s="1044" t="s">
        <v>676</v>
      </c>
      <c r="W25" s="1043" t="s">
        <v>268</v>
      </c>
      <c r="X25" s="1043" t="s">
        <v>121</v>
      </c>
      <c r="Y25" s="1043" t="s">
        <v>268</v>
      </c>
      <c r="Z25" s="1043" t="s">
        <v>317</v>
      </c>
      <c r="AA25" s="1043" t="s">
        <v>121</v>
      </c>
      <c r="AB25" s="1043" t="s">
        <v>316</v>
      </c>
      <c r="AC25" s="1043" t="s">
        <v>316</v>
      </c>
      <c r="AD25" s="1043" t="s">
        <v>121</v>
      </c>
      <c r="AE25" s="1043" t="s">
        <v>270</v>
      </c>
      <c r="AF25" s="1043" t="s">
        <v>371</v>
      </c>
      <c r="AG25" s="1051" t="s">
        <v>673</v>
      </c>
      <c r="AH25" s="1043" t="s">
        <v>277</v>
      </c>
      <c r="AI25" s="1043" t="s">
        <v>278</v>
      </c>
      <c r="AJ25" s="1043" t="s">
        <v>265</v>
      </c>
      <c r="AK25" s="1043" t="s">
        <v>642</v>
      </c>
      <c r="AL25" s="1043" t="s">
        <v>270</v>
      </c>
      <c r="AM25" s="1477">
        <v>10</v>
      </c>
      <c r="AN25" s="1058"/>
      <c r="AO25" s="360"/>
      <c r="AP25" s="360"/>
      <c r="AQ25" s="361"/>
    </row>
    <row r="26" spans="1:43" s="249" customFormat="1" x14ac:dyDescent="0.2">
      <c r="A26" s="1472"/>
      <c r="B26" s="1462"/>
      <c r="C26" s="1074">
        <v>18</v>
      </c>
      <c r="D26" s="1050">
        <f t="shared" si="0"/>
        <v>31</v>
      </c>
      <c r="E26" s="1478"/>
      <c r="F26" s="1048">
        <v>2</v>
      </c>
      <c r="G26" s="1049">
        <v>2</v>
      </c>
      <c r="H26" s="1049">
        <v>2</v>
      </c>
      <c r="I26" s="1049">
        <v>0</v>
      </c>
      <c r="J26" s="1049">
        <v>2</v>
      </c>
      <c r="K26" s="1049">
        <v>2</v>
      </c>
      <c r="L26" s="1049">
        <v>0</v>
      </c>
      <c r="M26" s="1049">
        <v>0</v>
      </c>
      <c r="N26" s="1049">
        <v>1</v>
      </c>
      <c r="O26" s="1047"/>
      <c r="P26" s="1049">
        <v>0</v>
      </c>
      <c r="Q26" s="1049">
        <v>2</v>
      </c>
      <c r="R26" s="1049">
        <v>2</v>
      </c>
      <c r="S26" s="1049">
        <v>2</v>
      </c>
      <c r="T26" s="1049">
        <v>0</v>
      </c>
      <c r="U26" s="1049">
        <v>0</v>
      </c>
      <c r="V26" s="1049">
        <v>0</v>
      </c>
      <c r="W26" s="1049">
        <v>2</v>
      </c>
      <c r="X26" s="1049">
        <v>1</v>
      </c>
      <c r="Y26" s="1049">
        <v>2</v>
      </c>
      <c r="Z26" s="1049">
        <v>2</v>
      </c>
      <c r="AA26" s="1049">
        <v>1</v>
      </c>
      <c r="AB26" s="1049">
        <v>0</v>
      </c>
      <c r="AC26" s="1049">
        <v>0</v>
      </c>
      <c r="AD26" s="1049">
        <v>1</v>
      </c>
      <c r="AE26" s="1049">
        <v>0</v>
      </c>
      <c r="AF26" s="1049">
        <v>1</v>
      </c>
      <c r="AG26" s="1049">
        <v>2</v>
      </c>
      <c r="AH26" s="1049">
        <v>0</v>
      </c>
      <c r="AI26" s="1049">
        <v>0</v>
      </c>
      <c r="AJ26" s="1049">
        <v>0</v>
      </c>
      <c r="AK26" s="1049">
        <v>2</v>
      </c>
      <c r="AL26" s="1049">
        <v>0</v>
      </c>
      <c r="AM26" s="1478"/>
      <c r="AN26" s="1057">
        <f>RANK(D26,D$7:D$72,0)</f>
        <v>17</v>
      </c>
      <c r="AO26" s="360"/>
      <c r="AP26" s="360">
        <f t="shared" si="1"/>
        <v>13</v>
      </c>
      <c r="AQ26" s="361">
        <f t="shared" si="2"/>
        <v>5</v>
      </c>
    </row>
    <row r="27" spans="1:43" s="249" customFormat="1" x14ac:dyDescent="0.2">
      <c r="A27" s="1471">
        <v>11</v>
      </c>
      <c r="B27" s="1461" t="s">
        <v>176</v>
      </c>
      <c r="C27" s="1073"/>
      <c r="D27" s="1045">
        <f t="shared" si="0"/>
        <v>0</v>
      </c>
      <c r="E27" s="1477">
        <v>11</v>
      </c>
      <c r="F27" s="1051" t="s">
        <v>119</v>
      </c>
      <c r="G27" s="1043" t="s">
        <v>674</v>
      </c>
      <c r="H27" s="1043" t="s">
        <v>674</v>
      </c>
      <c r="I27" s="1043" t="s">
        <v>371</v>
      </c>
      <c r="J27" s="1043" t="s">
        <v>371</v>
      </c>
      <c r="K27" s="1043" t="s">
        <v>317</v>
      </c>
      <c r="L27" s="1043" t="s">
        <v>371</v>
      </c>
      <c r="M27" s="1043" t="s">
        <v>121</v>
      </c>
      <c r="N27" s="1043" t="s">
        <v>317</v>
      </c>
      <c r="O27" s="1043" t="s">
        <v>317</v>
      </c>
      <c r="P27" s="1042"/>
      <c r="Q27" s="1043" t="s">
        <v>317</v>
      </c>
      <c r="R27" s="1043" t="s">
        <v>121</v>
      </c>
      <c r="S27" s="1043" t="s">
        <v>673</v>
      </c>
      <c r="T27" s="1043" t="s">
        <v>119</v>
      </c>
      <c r="U27" s="1043" t="s">
        <v>678</v>
      </c>
      <c r="V27" s="1044" t="s">
        <v>676</v>
      </c>
      <c r="W27" s="1043" t="s">
        <v>673</v>
      </c>
      <c r="X27" s="1043" t="s">
        <v>270</v>
      </c>
      <c r="Y27" s="1043" t="s">
        <v>265</v>
      </c>
      <c r="Z27" s="1043" t="s">
        <v>316</v>
      </c>
      <c r="AA27" s="1043" t="s">
        <v>317</v>
      </c>
      <c r="AB27" s="1043" t="s">
        <v>674</v>
      </c>
      <c r="AC27" s="1043" t="s">
        <v>317</v>
      </c>
      <c r="AD27" s="1043" t="s">
        <v>317</v>
      </c>
      <c r="AE27" s="1043" t="s">
        <v>370</v>
      </c>
      <c r="AF27" s="1043" t="s">
        <v>278</v>
      </c>
      <c r="AG27" s="1043" t="s">
        <v>278</v>
      </c>
      <c r="AH27" s="1043" t="s">
        <v>121</v>
      </c>
      <c r="AI27" s="1043" t="s">
        <v>673</v>
      </c>
      <c r="AJ27" s="1043" t="s">
        <v>121</v>
      </c>
      <c r="AK27" s="1043" t="s">
        <v>278</v>
      </c>
      <c r="AL27" s="1043" t="s">
        <v>278</v>
      </c>
      <c r="AM27" s="1477">
        <v>11</v>
      </c>
      <c r="AN27" s="1058"/>
      <c r="AO27" s="360"/>
      <c r="AP27" s="360"/>
      <c r="AQ27" s="361"/>
    </row>
    <row r="28" spans="1:43" s="249" customFormat="1" x14ac:dyDescent="0.2">
      <c r="A28" s="1472"/>
      <c r="B28" s="1462"/>
      <c r="C28" s="1074">
        <v>12</v>
      </c>
      <c r="D28" s="1050">
        <f t="shared" si="0"/>
        <v>34</v>
      </c>
      <c r="E28" s="1478"/>
      <c r="F28" s="1048">
        <v>2</v>
      </c>
      <c r="G28" s="1049">
        <v>0</v>
      </c>
      <c r="H28" s="1049">
        <v>0</v>
      </c>
      <c r="I28" s="1049">
        <v>1</v>
      </c>
      <c r="J28" s="1049">
        <v>1</v>
      </c>
      <c r="K28" s="1049">
        <v>2</v>
      </c>
      <c r="L28" s="1049">
        <v>1</v>
      </c>
      <c r="M28" s="1049">
        <v>1</v>
      </c>
      <c r="N28" s="1049">
        <v>2</v>
      </c>
      <c r="O28" s="1049">
        <v>2</v>
      </c>
      <c r="P28" s="1047"/>
      <c r="Q28" s="1049">
        <v>2</v>
      </c>
      <c r="R28" s="1049">
        <v>1</v>
      </c>
      <c r="S28" s="1049">
        <v>2</v>
      </c>
      <c r="T28" s="1049">
        <v>2</v>
      </c>
      <c r="U28" s="1049">
        <v>1</v>
      </c>
      <c r="V28" s="1049">
        <v>0</v>
      </c>
      <c r="W28" s="1049">
        <v>2</v>
      </c>
      <c r="X28" s="1049">
        <v>0</v>
      </c>
      <c r="Y28" s="1049">
        <v>0</v>
      </c>
      <c r="Z28" s="1049">
        <v>0</v>
      </c>
      <c r="AA28" s="1049">
        <v>2</v>
      </c>
      <c r="AB28" s="1049">
        <v>0</v>
      </c>
      <c r="AC28" s="1049">
        <v>2</v>
      </c>
      <c r="AD28" s="1049">
        <v>2</v>
      </c>
      <c r="AE28" s="1049">
        <v>2</v>
      </c>
      <c r="AF28" s="1049">
        <v>0</v>
      </c>
      <c r="AG28" s="1049">
        <v>0</v>
      </c>
      <c r="AH28" s="1049">
        <v>1</v>
      </c>
      <c r="AI28" s="1049">
        <v>2</v>
      </c>
      <c r="AJ28" s="1049">
        <v>1</v>
      </c>
      <c r="AK28" s="1049">
        <v>0</v>
      </c>
      <c r="AL28" s="1049">
        <v>0</v>
      </c>
      <c r="AM28" s="1478"/>
      <c r="AN28" s="1057">
        <f>RANK(D28,D$7:D$72,0)</f>
        <v>11</v>
      </c>
      <c r="AO28" s="360"/>
      <c r="AP28" s="360">
        <f t="shared" si="1"/>
        <v>13</v>
      </c>
      <c r="AQ28" s="361">
        <f t="shared" si="2"/>
        <v>8</v>
      </c>
    </row>
    <row r="29" spans="1:43" s="249" customFormat="1" x14ac:dyDescent="0.2">
      <c r="A29" s="1471">
        <v>12</v>
      </c>
      <c r="B29" s="1461" t="s">
        <v>182</v>
      </c>
      <c r="C29" s="1073"/>
      <c r="D29" s="1045">
        <f t="shared" si="0"/>
        <v>0</v>
      </c>
      <c r="E29" s="1477">
        <v>12</v>
      </c>
      <c r="F29" s="1051" t="s">
        <v>371</v>
      </c>
      <c r="G29" s="1043" t="s">
        <v>265</v>
      </c>
      <c r="H29" s="1043" t="s">
        <v>268</v>
      </c>
      <c r="I29" s="1043" t="s">
        <v>270</v>
      </c>
      <c r="J29" s="1043" t="s">
        <v>119</v>
      </c>
      <c r="K29" s="1043" t="s">
        <v>317</v>
      </c>
      <c r="L29" s="1043" t="s">
        <v>677</v>
      </c>
      <c r="M29" s="1043" t="s">
        <v>371</v>
      </c>
      <c r="N29" s="1043" t="s">
        <v>316</v>
      </c>
      <c r="O29" s="1043" t="s">
        <v>278</v>
      </c>
      <c r="P29" s="1043" t="s">
        <v>316</v>
      </c>
      <c r="Q29" s="1042"/>
      <c r="R29" s="1043" t="s">
        <v>119</v>
      </c>
      <c r="S29" s="1043" t="s">
        <v>278</v>
      </c>
      <c r="T29" s="1043" t="s">
        <v>268</v>
      </c>
      <c r="U29" s="1043" t="s">
        <v>371</v>
      </c>
      <c r="V29" s="1044" t="s">
        <v>676</v>
      </c>
      <c r="W29" s="1043" t="s">
        <v>673</v>
      </c>
      <c r="X29" s="1043" t="s">
        <v>371</v>
      </c>
      <c r="Y29" s="1043" t="s">
        <v>270</v>
      </c>
      <c r="Z29" s="1043" t="s">
        <v>674</v>
      </c>
      <c r="AA29" s="1043" t="s">
        <v>121</v>
      </c>
      <c r="AB29" s="1043" t="s">
        <v>371</v>
      </c>
      <c r="AC29" s="1043" t="s">
        <v>268</v>
      </c>
      <c r="AD29" s="1043" t="s">
        <v>119</v>
      </c>
      <c r="AE29" s="1043" t="s">
        <v>370</v>
      </c>
      <c r="AF29" s="1043" t="s">
        <v>277</v>
      </c>
      <c r="AG29" s="1043" t="s">
        <v>121</v>
      </c>
      <c r="AH29" s="1043" t="s">
        <v>119</v>
      </c>
      <c r="AI29" s="1043" t="s">
        <v>268</v>
      </c>
      <c r="AJ29" s="1043" t="s">
        <v>121</v>
      </c>
      <c r="AK29" s="1043" t="s">
        <v>316</v>
      </c>
      <c r="AL29" s="1043" t="s">
        <v>370</v>
      </c>
      <c r="AM29" s="1477">
        <v>12</v>
      </c>
      <c r="AN29" s="1058"/>
      <c r="AO29" s="360"/>
      <c r="AP29" s="360"/>
      <c r="AQ29" s="361"/>
    </row>
    <row r="30" spans="1:43" s="249" customFormat="1" x14ac:dyDescent="0.2">
      <c r="A30" s="1472"/>
      <c r="B30" s="1462"/>
      <c r="C30" s="1074">
        <v>14</v>
      </c>
      <c r="D30" s="1050">
        <f t="shared" si="0"/>
        <v>34</v>
      </c>
      <c r="E30" s="1478"/>
      <c r="F30" s="1048">
        <v>1</v>
      </c>
      <c r="G30" s="1049">
        <v>0</v>
      </c>
      <c r="H30" s="1049">
        <v>2</v>
      </c>
      <c r="I30" s="1049">
        <v>0</v>
      </c>
      <c r="J30" s="1049">
        <v>2</v>
      </c>
      <c r="K30" s="1049">
        <v>2</v>
      </c>
      <c r="L30" s="1049">
        <v>2</v>
      </c>
      <c r="M30" s="1049">
        <v>1</v>
      </c>
      <c r="N30" s="1049">
        <v>0</v>
      </c>
      <c r="O30" s="1049">
        <v>0</v>
      </c>
      <c r="P30" s="1049">
        <v>0</v>
      </c>
      <c r="Q30" s="1047"/>
      <c r="R30" s="1049">
        <v>2</v>
      </c>
      <c r="S30" s="1049">
        <v>0</v>
      </c>
      <c r="T30" s="1049">
        <v>2</v>
      </c>
      <c r="U30" s="1049">
        <v>1</v>
      </c>
      <c r="V30" s="1049">
        <v>0</v>
      </c>
      <c r="W30" s="1049">
        <v>2</v>
      </c>
      <c r="X30" s="1049">
        <v>1</v>
      </c>
      <c r="Y30" s="1049">
        <v>0</v>
      </c>
      <c r="Z30" s="1049">
        <v>0</v>
      </c>
      <c r="AA30" s="1049">
        <v>1</v>
      </c>
      <c r="AB30" s="1049">
        <v>1</v>
      </c>
      <c r="AC30" s="1049">
        <v>2</v>
      </c>
      <c r="AD30" s="1049">
        <v>2</v>
      </c>
      <c r="AE30" s="1049">
        <v>2</v>
      </c>
      <c r="AF30" s="1049">
        <v>0</v>
      </c>
      <c r="AG30" s="1049">
        <v>1</v>
      </c>
      <c r="AH30" s="1049">
        <v>2</v>
      </c>
      <c r="AI30" s="1049">
        <v>2</v>
      </c>
      <c r="AJ30" s="1049">
        <v>1</v>
      </c>
      <c r="AK30" s="1049">
        <v>0</v>
      </c>
      <c r="AL30" s="1049">
        <v>2</v>
      </c>
      <c r="AM30" s="1478"/>
      <c r="AN30" s="1057">
        <f>RANK(D30,D$7:D$72,0)</f>
        <v>11</v>
      </c>
      <c r="AO30" s="360"/>
      <c r="AP30" s="360">
        <f t="shared" si="1"/>
        <v>13</v>
      </c>
      <c r="AQ30" s="361">
        <f t="shared" si="2"/>
        <v>8</v>
      </c>
    </row>
    <row r="31" spans="1:43" s="249" customFormat="1" x14ac:dyDescent="0.2">
      <c r="A31" s="1471">
        <v>13</v>
      </c>
      <c r="B31" s="1461" t="s">
        <v>614</v>
      </c>
      <c r="C31" s="1073"/>
      <c r="D31" s="1045">
        <f t="shared" si="0"/>
        <v>0</v>
      </c>
      <c r="E31" s="1477">
        <v>13</v>
      </c>
      <c r="F31" s="1051" t="s">
        <v>673</v>
      </c>
      <c r="G31" s="1043" t="s">
        <v>317</v>
      </c>
      <c r="H31" s="1043" t="s">
        <v>317</v>
      </c>
      <c r="I31" s="1043" t="s">
        <v>674</v>
      </c>
      <c r="J31" s="1043" t="s">
        <v>642</v>
      </c>
      <c r="K31" s="1043" t="s">
        <v>316</v>
      </c>
      <c r="L31" s="1043" t="s">
        <v>121</v>
      </c>
      <c r="M31" s="1043" t="s">
        <v>277</v>
      </c>
      <c r="N31" s="1043" t="s">
        <v>674</v>
      </c>
      <c r="O31" s="1043" t="s">
        <v>270</v>
      </c>
      <c r="P31" s="1043" t="s">
        <v>121</v>
      </c>
      <c r="Q31" s="1043" t="s">
        <v>265</v>
      </c>
      <c r="R31" s="1042"/>
      <c r="S31" s="1043" t="s">
        <v>673</v>
      </c>
      <c r="T31" s="1043" t="s">
        <v>674</v>
      </c>
      <c r="U31" s="1043" t="s">
        <v>674</v>
      </c>
      <c r="V31" s="1044" t="s">
        <v>676</v>
      </c>
      <c r="W31" s="1043" t="s">
        <v>673</v>
      </c>
      <c r="X31" s="1043" t="s">
        <v>674</v>
      </c>
      <c r="Y31" s="1043" t="s">
        <v>316</v>
      </c>
      <c r="Z31" s="1043" t="s">
        <v>316</v>
      </c>
      <c r="AA31" s="1043" t="s">
        <v>121</v>
      </c>
      <c r="AB31" s="1043" t="s">
        <v>316</v>
      </c>
      <c r="AC31" s="1043" t="s">
        <v>675</v>
      </c>
      <c r="AD31" s="1043" t="s">
        <v>370</v>
      </c>
      <c r="AE31" s="1043" t="s">
        <v>677</v>
      </c>
      <c r="AF31" s="1043" t="s">
        <v>371</v>
      </c>
      <c r="AG31" s="1043" t="s">
        <v>121</v>
      </c>
      <c r="AH31" s="1043" t="s">
        <v>554</v>
      </c>
      <c r="AI31" s="1043" t="s">
        <v>121</v>
      </c>
      <c r="AJ31" s="1043" t="s">
        <v>316</v>
      </c>
      <c r="AK31" s="1043" t="s">
        <v>677</v>
      </c>
      <c r="AL31" s="1043" t="s">
        <v>119</v>
      </c>
      <c r="AM31" s="1477">
        <v>13</v>
      </c>
      <c r="AN31" s="1058"/>
      <c r="AO31" s="360"/>
      <c r="AP31" s="360"/>
      <c r="AQ31" s="361"/>
    </row>
    <row r="32" spans="1:43" s="249" customFormat="1" x14ac:dyDescent="0.2">
      <c r="A32" s="1472"/>
      <c r="B32" s="1462"/>
      <c r="C32" s="1074">
        <v>23</v>
      </c>
      <c r="D32" s="1050">
        <f t="shared" si="0"/>
        <v>28</v>
      </c>
      <c r="E32" s="1478"/>
      <c r="F32" s="1048">
        <v>2</v>
      </c>
      <c r="G32" s="1049">
        <v>2</v>
      </c>
      <c r="H32" s="1049">
        <v>2</v>
      </c>
      <c r="I32" s="1049">
        <v>0</v>
      </c>
      <c r="J32" s="1049">
        <v>2</v>
      </c>
      <c r="K32" s="1049">
        <v>0</v>
      </c>
      <c r="L32" s="1049">
        <v>1</v>
      </c>
      <c r="M32" s="1049">
        <v>0</v>
      </c>
      <c r="N32" s="1049">
        <v>0</v>
      </c>
      <c r="O32" s="1049">
        <v>0</v>
      </c>
      <c r="P32" s="1049">
        <v>1</v>
      </c>
      <c r="Q32" s="1049">
        <v>0</v>
      </c>
      <c r="R32" s="1047"/>
      <c r="S32" s="1049">
        <v>2</v>
      </c>
      <c r="T32" s="1049">
        <v>0</v>
      </c>
      <c r="U32" s="1049">
        <v>0</v>
      </c>
      <c r="V32" s="1049">
        <v>0</v>
      </c>
      <c r="W32" s="1049">
        <v>2</v>
      </c>
      <c r="X32" s="1049">
        <v>0</v>
      </c>
      <c r="Y32" s="1049">
        <v>0</v>
      </c>
      <c r="Z32" s="1049">
        <v>0</v>
      </c>
      <c r="AA32" s="1049">
        <v>1</v>
      </c>
      <c r="AB32" s="1049">
        <v>0</v>
      </c>
      <c r="AC32" s="1049">
        <v>0</v>
      </c>
      <c r="AD32" s="1049">
        <v>2</v>
      </c>
      <c r="AE32" s="1049">
        <v>2</v>
      </c>
      <c r="AF32" s="1049">
        <v>1</v>
      </c>
      <c r="AG32" s="1049">
        <v>1</v>
      </c>
      <c r="AH32" s="1049">
        <v>2</v>
      </c>
      <c r="AI32" s="1049">
        <v>1</v>
      </c>
      <c r="AJ32" s="1049">
        <v>0</v>
      </c>
      <c r="AK32" s="1049">
        <v>2</v>
      </c>
      <c r="AL32" s="1049">
        <v>2</v>
      </c>
      <c r="AM32" s="1478"/>
      <c r="AN32" s="1057">
        <f>RANK(D32,D$7:D$72,0)</f>
        <v>23</v>
      </c>
      <c r="AO32" s="360"/>
      <c r="AP32" s="360">
        <f t="shared" si="1"/>
        <v>11</v>
      </c>
      <c r="AQ32" s="361">
        <f t="shared" si="2"/>
        <v>6</v>
      </c>
    </row>
    <row r="33" spans="1:43" s="249" customFormat="1" x14ac:dyDescent="0.2">
      <c r="A33" s="1471">
        <v>14</v>
      </c>
      <c r="B33" s="1461" t="s">
        <v>156</v>
      </c>
      <c r="C33" s="1073"/>
      <c r="D33" s="1045">
        <f t="shared" si="0"/>
        <v>0</v>
      </c>
      <c r="E33" s="1479">
        <v>14</v>
      </c>
      <c r="F33" s="1055" t="s">
        <v>676</v>
      </c>
      <c r="G33" s="1055" t="s">
        <v>676</v>
      </c>
      <c r="H33" s="1043" t="s">
        <v>370</v>
      </c>
      <c r="I33" s="1043" t="s">
        <v>680</v>
      </c>
      <c r="J33" s="1043" t="s">
        <v>680</v>
      </c>
      <c r="K33" s="1043" t="s">
        <v>680</v>
      </c>
      <c r="L33" s="1043" t="s">
        <v>680</v>
      </c>
      <c r="M33" s="1043" t="s">
        <v>680</v>
      </c>
      <c r="N33" s="1043" t="s">
        <v>680</v>
      </c>
      <c r="O33" s="1043" t="s">
        <v>265</v>
      </c>
      <c r="P33" s="1043" t="s">
        <v>680</v>
      </c>
      <c r="Q33" s="1043" t="s">
        <v>370</v>
      </c>
      <c r="R33" s="1043" t="s">
        <v>680</v>
      </c>
      <c r="S33" s="1059"/>
      <c r="T33" s="1043" t="s">
        <v>680</v>
      </c>
      <c r="U33" s="1043" t="s">
        <v>680</v>
      </c>
      <c r="V33" s="1044" t="s">
        <v>676</v>
      </c>
      <c r="W33" s="1055" t="s">
        <v>676</v>
      </c>
      <c r="X33" s="1043" t="s">
        <v>680</v>
      </c>
      <c r="Y33" s="1043" t="s">
        <v>277</v>
      </c>
      <c r="Z33" s="1043" t="s">
        <v>680</v>
      </c>
      <c r="AA33" s="1043" t="s">
        <v>680</v>
      </c>
      <c r="AB33" s="1043" t="s">
        <v>680</v>
      </c>
      <c r="AC33" s="1043" t="s">
        <v>680</v>
      </c>
      <c r="AD33" s="1043" t="s">
        <v>680</v>
      </c>
      <c r="AE33" s="1043" t="s">
        <v>680</v>
      </c>
      <c r="AF33" s="1043" t="s">
        <v>642</v>
      </c>
      <c r="AG33" s="1043" t="s">
        <v>680</v>
      </c>
      <c r="AH33" s="1043" t="s">
        <v>680</v>
      </c>
      <c r="AI33" s="1043" t="s">
        <v>119</v>
      </c>
      <c r="AJ33" s="1043" t="s">
        <v>680</v>
      </c>
      <c r="AK33" s="1043" t="s">
        <v>680</v>
      </c>
      <c r="AL33" s="1043" t="s">
        <v>674</v>
      </c>
      <c r="AM33" s="1479">
        <v>14</v>
      </c>
      <c r="AN33" s="1058"/>
      <c r="AO33" s="360"/>
      <c r="AP33" s="360"/>
      <c r="AQ33" s="361"/>
    </row>
    <row r="34" spans="1:43" s="249" customFormat="1" x14ac:dyDescent="0.2">
      <c r="A34" s="1472"/>
      <c r="B34" s="1462"/>
      <c r="C34" s="1074">
        <v>31</v>
      </c>
      <c r="D34" s="1050">
        <f t="shared" si="0"/>
        <v>8</v>
      </c>
      <c r="E34" s="1480"/>
      <c r="F34" s="1049">
        <v>0</v>
      </c>
      <c r="G34" s="1049">
        <v>0</v>
      </c>
      <c r="H34" s="1049">
        <v>2</v>
      </c>
      <c r="I34" s="1049">
        <v>0</v>
      </c>
      <c r="J34" s="1049">
        <v>0</v>
      </c>
      <c r="K34" s="1049">
        <v>0</v>
      </c>
      <c r="L34" s="1049">
        <v>0</v>
      </c>
      <c r="M34" s="1049">
        <v>0</v>
      </c>
      <c r="N34" s="1049">
        <v>0</v>
      </c>
      <c r="O34" s="1049">
        <v>0</v>
      </c>
      <c r="P34" s="1049">
        <v>0</v>
      </c>
      <c r="Q34" s="1049">
        <v>2</v>
      </c>
      <c r="R34" s="1049">
        <v>0</v>
      </c>
      <c r="S34" s="1047"/>
      <c r="T34" s="1049">
        <v>0</v>
      </c>
      <c r="U34" s="1049">
        <v>0</v>
      </c>
      <c r="V34" s="1049">
        <v>0</v>
      </c>
      <c r="W34" s="1049">
        <v>0</v>
      </c>
      <c r="X34" s="1049">
        <v>0</v>
      </c>
      <c r="Y34" s="1049">
        <v>0</v>
      </c>
      <c r="Z34" s="1049">
        <v>0</v>
      </c>
      <c r="AA34" s="1049">
        <v>0</v>
      </c>
      <c r="AB34" s="1049">
        <v>0</v>
      </c>
      <c r="AC34" s="1049">
        <v>0</v>
      </c>
      <c r="AD34" s="1049">
        <v>0</v>
      </c>
      <c r="AE34" s="1049">
        <v>0</v>
      </c>
      <c r="AF34" s="1049">
        <v>2</v>
      </c>
      <c r="AG34" s="1049">
        <v>0</v>
      </c>
      <c r="AH34" s="1049">
        <v>0</v>
      </c>
      <c r="AI34" s="1049">
        <v>2</v>
      </c>
      <c r="AJ34" s="1049">
        <v>0</v>
      </c>
      <c r="AK34" s="1049">
        <v>0</v>
      </c>
      <c r="AL34" s="1049">
        <v>0</v>
      </c>
      <c r="AM34" s="1480"/>
      <c r="AN34" s="1057">
        <f>RANK(D34,D$7:D$72,0)</f>
        <v>31</v>
      </c>
      <c r="AO34" s="360"/>
      <c r="AP34" s="360">
        <f t="shared" si="1"/>
        <v>4</v>
      </c>
      <c r="AQ34" s="361">
        <f t="shared" si="2"/>
        <v>0</v>
      </c>
    </row>
    <row r="35" spans="1:43" s="249" customFormat="1" x14ac:dyDescent="0.2">
      <c r="A35" s="1471">
        <v>15</v>
      </c>
      <c r="B35" s="1461" t="s">
        <v>445</v>
      </c>
      <c r="C35" s="1073"/>
      <c r="D35" s="1045">
        <f t="shared" si="0"/>
        <v>0</v>
      </c>
      <c r="E35" s="1477">
        <v>15</v>
      </c>
      <c r="F35" s="1051" t="s">
        <v>673</v>
      </c>
      <c r="G35" s="1043" t="s">
        <v>371</v>
      </c>
      <c r="H35" s="1043" t="s">
        <v>642</v>
      </c>
      <c r="I35" s="1043" t="s">
        <v>119</v>
      </c>
      <c r="J35" s="1043" t="s">
        <v>265</v>
      </c>
      <c r="K35" s="1043" t="s">
        <v>270</v>
      </c>
      <c r="L35" s="1043" t="s">
        <v>278</v>
      </c>
      <c r="M35" s="1043" t="s">
        <v>317</v>
      </c>
      <c r="N35" s="1043" t="s">
        <v>371</v>
      </c>
      <c r="O35" s="1051" t="s">
        <v>673</v>
      </c>
      <c r="P35" s="1043" t="s">
        <v>265</v>
      </c>
      <c r="Q35" s="1043" t="s">
        <v>270</v>
      </c>
      <c r="R35" s="1043" t="s">
        <v>642</v>
      </c>
      <c r="S35" s="1043" t="s">
        <v>673</v>
      </c>
      <c r="T35" s="1042"/>
      <c r="U35" s="1043" t="s">
        <v>316</v>
      </c>
      <c r="V35" s="1044" t="s">
        <v>676</v>
      </c>
      <c r="W35" s="1043" t="s">
        <v>121</v>
      </c>
      <c r="X35" s="1043" t="s">
        <v>316</v>
      </c>
      <c r="Y35" s="1043" t="s">
        <v>270</v>
      </c>
      <c r="Z35" s="1043" t="s">
        <v>674</v>
      </c>
      <c r="AA35" s="1043" t="s">
        <v>119</v>
      </c>
      <c r="AB35" s="1043" t="s">
        <v>317</v>
      </c>
      <c r="AC35" s="1043" t="s">
        <v>674</v>
      </c>
      <c r="AD35" s="1043" t="s">
        <v>642</v>
      </c>
      <c r="AE35" s="1043" t="s">
        <v>278</v>
      </c>
      <c r="AF35" s="1043" t="s">
        <v>121</v>
      </c>
      <c r="AG35" s="1043" t="s">
        <v>642</v>
      </c>
      <c r="AH35" s="1043" t="s">
        <v>265</v>
      </c>
      <c r="AI35" s="1043" t="s">
        <v>673</v>
      </c>
      <c r="AJ35" s="1043" t="s">
        <v>270</v>
      </c>
      <c r="AK35" s="1043" t="s">
        <v>121</v>
      </c>
      <c r="AL35" s="1043" t="s">
        <v>121</v>
      </c>
      <c r="AM35" s="1477">
        <v>15</v>
      </c>
      <c r="AN35" s="1058"/>
      <c r="AO35" s="360"/>
      <c r="AP35" s="360"/>
      <c r="AQ35" s="361"/>
    </row>
    <row r="36" spans="1:43" s="249" customFormat="1" x14ac:dyDescent="0.2">
      <c r="A36" s="1472"/>
      <c r="B36" s="1462"/>
      <c r="C36" s="1074">
        <v>22</v>
      </c>
      <c r="D36" s="1050">
        <f t="shared" si="0"/>
        <v>30</v>
      </c>
      <c r="E36" s="1478"/>
      <c r="F36" s="1048">
        <v>2</v>
      </c>
      <c r="G36" s="1049">
        <v>1</v>
      </c>
      <c r="H36" s="1049">
        <v>2</v>
      </c>
      <c r="I36" s="1049">
        <v>2</v>
      </c>
      <c r="J36" s="1049">
        <v>0</v>
      </c>
      <c r="K36" s="1049">
        <v>0</v>
      </c>
      <c r="L36" s="1049">
        <v>0</v>
      </c>
      <c r="M36" s="1049">
        <v>2</v>
      </c>
      <c r="N36" s="1049">
        <v>1</v>
      </c>
      <c r="O36" s="1049">
        <v>2</v>
      </c>
      <c r="P36" s="1049">
        <v>0</v>
      </c>
      <c r="Q36" s="1049">
        <v>0</v>
      </c>
      <c r="R36" s="1049">
        <v>2</v>
      </c>
      <c r="S36" s="1049">
        <v>2</v>
      </c>
      <c r="T36" s="1047"/>
      <c r="U36" s="1049">
        <v>0</v>
      </c>
      <c r="V36" s="1049">
        <v>0</v>
      </c>
      <c r="W36" s="1049">
        <v>1</v>
      </c>
      <c r="X36" s="1049">
        <v>0</v>
      </c>
      <c r="Y36" s="1049">
        <v>0</v>
      </c>
      <c r="Z36" s="1049">
        <v>0</v>
      </c>
      <c r="AA36" s="1049">
        <v>2</v>
      </c>
      <c r="AB36" s="1049">
        <v>2</v>
      </c>
      <c r="AC36" s="1049">
        <v>0</v>
      </c>
      <c r="AD36" s="1049">
        <v>2</v>
      </c>
      <c r="AE36" s="1049">
        <v>0</v>
      </c>
      <c r="AF36" s="1049">
        <v>1</v>
      </c>
      <c r="AG36" s="1049">
        <v>2</v>
      </c>
      <c r="AH36" s="1049">
        <v>0</v>
      </c>
      <c r="AI36" s="1049">
        <v>2</v>
      </c>
      <c r="AJ36" s="1049">
        <v>0</v>
      </c>
      <c r="AK36" s="1049">
        <v>1</v>
      </c>
      <c r="AL36" s="1049">
        <v>1</v>
      </c>
      <c r="AM36" s="1478"/>
      <c r="AN36" s="1057">
        <f>RANK(D36,D$7:D$72,0)</f>
        <v>21</v>
      </c>
      <c r="AO36" s="360"/>
      <c r="AP36" s="360">
        <f t="shared" si="1"/>
        <v>12</v>
      </c>
      <c r="AQ36" s="361">
        <f t="shared" si="2"/>
        <v>6</v>
      </c>
    </row>
    <row r="37" spans="1:43" s="249" customFormat="1" x14ac:dyDescent="0.2">
      <c r="A37" s="1471">
        <v>16</v>
      </c>
      <c r="B37" s="1461" t="s">
        <v>355</v>
      </c>
      <c r="C37" s="1073"/>
      <c r="D37" s="1045">
        <f t="shared" si="0"/>
        <v>0</v>
      </c>
      <c r="E37" s="1477">
        <v>16</v>
      </c>
      <c r="F37" s="1051" t="s">
        <v>673</v>
      </c>
      <c r="G37" s="1043" t="s">
        <v>119</v>
      </c>
      <c r="H37" s="1043" t="s">
        <v>278</v>
      </c>
      <c r="I37" s="1043" t="s">
        <v>278</v>
      </c>
      <c r="J37" s="1043" t="s">
        <v>121</v>
      </c>
      <c r="K37" s="1043" t="s">
        <v>121</v>
      </c>
      <c r="L37" s="1043" t="s">
        <v>316</v>
      </c>
      <c r="M37" s="1043" t="s">
        <v>265</v>
      </c>
      <c r="N37" s="1043" t="s">
        <v>316</v>
      </c>
      <c r="O37" s="1043" t="s">
        <v>677</v>
      </c>
      <c r="P37" s="1043" t="s">
        <v>678</v>
      </c>
      <c r="Q37" s="1043" t="s">
        <v>371</v>
      </c>
      <c r="R37" s="1043" t="s">
        <v>642</v>
      </c>
      <c r="S37" s="1043" t="s">
        <v>673</v>
      </c>
      <c r="T37" s="1043" t="s">
        <v>317</v>
      </c>
      <c r="U37" s="1042"/>
      <c r="V37" s="1044" t="s">
        <v>676</v>
      </c>
      <c r="W37" s="1043" t="s">
        <v>265</v>
      </c>
      <c r="X37" s="1043" t="s">
        <v>265</v>
      </c>
      <c r="Y37" s="1043" t="s">
        <v>119</v>
      </c>
      <c r="Z37" s="1043" t="s">
        <v>554</v>
      </c>
      <c r="AA37" s="1043" t="s">
        <v>316</v>
      </c>
      <c r="AB37" s="1043" t="s">
        <v>265</v>
      </c>
      <c r="AC37" s="1043" t="s">
        <v>268</v>
      </c>
      <c r="AD37" s="1043" t="s">
        <v>268</v>
      </c>
      <c r="AE37" s="1043" t="s">
        <v>121</v>
      </c>
      <c r="AF37" s="1043" t="s">
        <v>265</v>
      </c>
      <c r="AG37" s="1043" t="s">
        <v>121</v>
      </c>
      <c r="AH37" s="1043" t="s">
        <v>121</v>
      </c>
      <c r="AI37" s="1043" t="s">
        <v>265</v>
      </c>
      <c r="AJ37" s="1043" t="s">
        <v>317</v>
      </c>
      <c r="AK37" s="1043" t="s">
        <v>317</v>
      </c>
      <c r="AL37" s="1043" t="s">
        <v>277</v>
      </c>
      <c r="AM37" s="1477">
        <v>16</v>
      </c>
      <c r="AN37" s="1058"/>
      <c r="AO37" s="360"/>
      <c r="AP37" s="360"/>
      <c r="AQ37" s="361"/>
    </row>
    <row r="38" spans="1:43" s="249" customFormat="1" x14ac:dyDescent="0.2">
      <c r="A38" s="1472"/>
      <c r="B38" s="1462"/>
      <c r="C38" s="1074">
        <v>17</v>
      </c>
      <c r="D38" s="1050">
        <f t="shared" si="0"/>
        <v>31</v>
      </c>
      <c r="E38" s="1478"/>
      <c r="F38" s="1048">
        <v>2</v>
      </c>
      <c r="G38" s="1049">
        <v>2</v>
      </c>
      <c r="H38" s="1049">
        <v>0</v>
      </c>
      <c r="I38" s="1049">
        <v>0</v>
      </c>
      <c r="J38" s="1049">
        <v>1</v>
      </c>
      <c r="K38" s="1049">
        <v>1</v>
      </c>
      <c r="L38" s="1049">
        <v>0</v>
      </c>
      <c r="M38" s="1049">
        <v>0</v>
      </c>
      <c r="N38" s="1049">
        <v>0</v>
      </c>
      <c r="O38" s="1049">
        <v>2</v>
      </c>
      <c r="P38" s="1049">
        <v>1</v>
      </c>
      <c r="Q38" s="1049">
        <v>1</v>
      </c>
      <c r="R38" s="1049">
        <v>2</v>
      </c>
      <c r="S38" s="1049">
        <v>2</v>
      </c>
      <c r="T38" s="1049">
        <v>2</v>
      </c>
      <c r="U38" s="1047"/>
      <c r="V38" s="1049">
        <v>0</v>
      </c>
      <c r="W38" s="1049">
        <v>0</v>
      </c>
      <c r="X38" s="1049">
        <v>0</v>
      </c>
      <c r="Y38" s="1049">
        <v>2</v>
      </c>
      <c r="Z38" s="1049">
        <v>2</v>
      </c>
      <c r="AA38" s="1049">
        <v>0</v>
      </c>
      <c r="AB38" s="1049">
        <v>0</v>
      </c>
      <c r="AC38" s="1049">
        <v>2</v>
      </c>
      <c r="AD38" s="1049">
        <v>2</v>
      </c>
      <c r="AE38" s="1049">
        <v>1</v>
      </c>
      <c r="AF38" s="1049">
        <v>0</v>
      </c>
      <c r="AG38" s="1049">
        <v>1</v>
      </c>
      <c r="AH38" s="1049">
        <v>1</v>
      </c>
      <c r="AI38" s="1049">
        <v>0</v>
      </c>
      <c r="AJ38" s="1049">
        <v>2</v>
      </c>
      <c r="AK38" s="1049">
        <v>2</v>
      </c>
      <c r="AL38" s="1049">
        <v>0</v>
      </c>
      <c r="AM38" s="1478"/>
      <c r="AN38" s="1057">
        <f>RANK(D38,D$7:D$72,0)</f>
        <v>17</v>
      </c>
      <c r="AO38" s="360"/>
      <c r="AP38" s="360">
        <f t="shared" si="1"/>
        <v>12</v>
      </c>
      <c r="AQ38" s="361">
        <f t="shared" si="2"/>
        <v>7</v>
      </c>
    </row>
    <row r="39" spans="1:43" s="249" customFormat="1" x14ac:dyDescent="0.2">
      <c r="A39" s="1471">
        <v>17</v>
      </c>
      <c r="B39" s="1469" t="s">
        <v>397</v>
      </c>
      <c r="C39" s="1073"/>
      <c r="D39" s="1045">
        <f t="shared" ref="D39:D72" si="3">SUM(F39:AL39)</f>
        <v>0</v>
      </c>
      <c r="E39" s="1477">
        <v>17</v>
      </c>
      <c r="F39" s="1051" t="s">
        <v>676</v>
      </c>
      <c r="G39" s="1051" t="s">
        <v>676</v>
      </c>
      <c r="H39" s="1051" t="s">
        <v>676</v>
      </c>
      <c r="I39" s="1051" t="s">
        <v>676</v>
      </c>
      <c r="J39" s="1051" t="s">
        <v>676</v>
      </c>
      <c r="K39" s="1051" t="s">
        <v>676</v>
      </c>
      <c r="L39" s="1051" t="s">
        <v>676</v>
      </c>
      <c r="M39" s="1051" t="s">
        <v>676</v>
      </c>
      <c r="N39" s="1051" t="s">
        <v>676</v>
      </c>
      <c r="O39" s="1051" t="s">
        <v>676</v>
      </c>
      <c r="P39" s="1051" t="s">
        <v>676</v>
      </c>
      <c r="Q39" s="1051" t="s">
        <v>676</v>
      </c>
      <c r="R39" s="1051" t="s">
        <v>676</v>
      </c>
      <c r="S39" s="1051" t="s">
        <v>676</v>
      </c>
      <c r="T39" s="1051" t="s">
        <v>676</v>
      </c>
      <c r="U39" s="1051" t="s">
        <v>676</v>
      </c>
      <c r="V39" s="1042"/>
      <c r="W39" s="1051" t="s">
        <v>676</v>
      </c>
      <c r="X39" s="1051" t="s">
        <v>676</v>
      </c>
      <c r="Y39" s="1051" t="s">
        <v>676</v>
      </c>
      <c r="Z39" s="1051" t="s">
        <v>676</v>
      </c>
      <c r="AA39" s="1051" t="s">
        <v>676</v>
      </c>
      <c r="AB39" s="1051" t="s">
        <v>676</v>
      </c>
      <c r="AC39" s="1051" t="s">
        <v>676</v>
      </c>
      <c r="AD39" s="1051" t="s">
        <v>676</v>
      </c>
      <c r="AE39" s="1051" t="s">
        <v>676</v>
      </c>
      <c r="AF39" s="1051" t="s">
        <v>676</v>
      </c>
      <c r="AG39" s="1051" t="s">
        <v>676</v>
      </c>
      <c r="AH39" s="1051" t="s">
        <v>676</v>
      </c>
      <c r="AI39" s="1051" t="s">
        <v>676</v>
      </c>
      <c r="AJ39" s="1051" t="s">
        <v>676</v>
      </c>
      <c r="AK39" s="1051" t="s">
        <v>676</v>
      </c>
      <c r="AL39" s="1051" t="s">
        <v>676</v>
      </c>
      <c r="AM39" s="1477">
        <v>17</v>
      </c>
      <c r="AN39" s="1058"/>
      <c r="AO39" s="360"/>
      <c r="AP39" s="360"/>
      <c r="AQ39" s="361"/>
    </row>
    <row r="40" spans="1:43" s="249" customFormat="1" x14ac:dyDescent="0.2">
      <c r="A40" s="1472"/>
      <c r="B40" s="1470"/>
      <c r="C40" s="1074">
        <v>33</v>
      </c>
      <c r="D40" s="1050">
        <f t="shared" si="3"/>
        <v>0</v>
      </c>
      <c r="E40" s="1478"/>
      <c r="F40" s="1048">
        <v>0</v>
      </c>
      <c r="G40" s="1049">
        <v>0</v>
      </c>
      <c r="H40" s="1049">
        <v>0</v>
      </c>
      <c r="I40" s="1049">
        <v>0</v>
      </c>
      <c r="J40" s="1049">
        <v>0</v>
      </c>
      <c r="K40" s="1049">
        <v>0</v>
      </c>
      <c r="L40" s="1049">
        <v>0</v>
      </c>
      <c r="M40" s="1049">
        <v>0</v>
      </c>
      <c r="N40" s="1049">
        <v>0</v>
      </c>
      <c r="O40" s="1049">
        <v>0</v>
      </c>
      <c r="P40" s="1049">
        <v>0</v>
      </c>
      <c r="Q40" s="1049">
        <v>0</v>
      </c>
      <c r="R40" s="1049">
        <v>0</v>
      </c>
      <c r="S40" s="1049">
        <v>0</v>
      </c>
      <c r="T40" s="1049">
        <v>0</v>
      </c>
      <c r="U40" s="1049">
        <v>0</v>
      </c>
      <c r="V40" s="1047"/>
      <c r="W40" s="1049">
        <v>0</v>
      </c>
      <c r="X40" s="1049">
        <v>0</v>
      </c>
      <c r="Y40" s="1049">
        <v>0</v>
      </c>
      <c r="Z40" s="1049">
        <v>0</v>
      </c>
      <c r="AA40" s="1049">
        <v>0</v>
      </c>
      <c r="AB40" s="1049">
        <v>0</v>
      </c>
      <c r="AC40" s="1049">
        <v>0</v>
      </c>
      <c r="AD40" s="1049">
        <v>0</v>
      </c>
      <c r="AE40" s="1049">
        <v>0</v>
      </c>
      <c r="AF40" s="1049">
        <v>0</v>
      </c>
      <c r="AG40" s="1049">
        <v>0</v>
      </c>
      <c r="AH40" s="1049">
        <v>0</v>
      </c>
      <c r="AI40" s="1049">
        <v>0</v>
      </c>
      <c r="AJ40" s="1049">
        <v>0</v>
      </c>
      <c r="AK40" s="1049">
        <v>0</v>
      </c>
      <c r="AL40" s="1049">
        <v>0</v>
      </c>
      <c r="AM40" s="1478"/>
      <c r="AN40" s="1057">
        <f>RANK(D40,D$7:D$72,0)</f>
        <v>33</v>
      </c>
      <c r="AO40" s="360">
        <v>0</v>
      </c>
      <c r="AP40" s="360">
        <f t="shared" si="1"/>
        <v>0</v>
      </c>
      <c r="AQ40" s="361">
        <f t="shared" si="2"/>
        <v>0</v>
      </c>
    </row>
    <row r="41" spans="1:43" s="249" customFormat="1" x14ac:dyDescent="0.2">
      <c r="A41" s="1471">
        <v>18</v>
      </c>
      <c r="B41" s="1469" t="s">
        <v>404</v>
      </c>
      <c r="C41" s="1073"/>
      <c r="D41" s="1045">
        <f t="shared" si="3"/>
        <v>0</v>
      </c>
      <c r="E41" s="1479">
        <v>18</v>
      </c>
      <c r="F41" s="1055" t="s">
        <v>676</v>
      </c>
      <c r="G41" s="1043" t="s">
        <v>371</v>
      </c>
      <c r="H41" s="1051" t="s">
        <v>554</v>
      </c>
      <c r="I41" s="1051" t="s">
        <v>680</v>
      </c>
      <c r="J41" s="1043" t="s">
        <v>680</v>
      </c>
      <c r="K41" s="1043" t="s">
        <v>265</v>
      </c>
      <c r="L41" s="1043" t="s">
        <v>680</v>
      </c>
      <c r="M41" s="1043" t="s">
        <v>680</v>
      </c>
      <c r="N41" s="1043" t="s">
        <v>680</v>
      </c>
      <c r="O41" s="1043" t="s">
        <v>270</v>
      </c>
      <c r="P41" s="1043" t="s">
        <v>680</v>
      </c>
      <c r="Q41" s="1043" t="s">
        <v>680</v>
      </c>
      <c r="R41" s="1043" t="s">
        <v>680</v>
      </c>
      <c r="S41" s="1055" t="s">
        <v>676</v>
      </c>
      <c r="T41" s="1043" t="s">
        <v>121</v>
      </c>
      <c r="U41" s="1043" t="s">
        <v>119</v>
      </c>
      <c r="V41" s="1044" t="s">
        <v>676</v>
      </c>
      <c r="W41" s="1042"/>
      <c r="X41" s="1051" t="s">
        <v>265</v>
      </c>
      <c r="Y41" s="1051" t="s">
        <v>680</v>
      </c>
      <c r="Z41" s="1051" t="s">
        <v>265</v>
      </c>
      <c r="AA41" s="1051" t="s">
        <v>680</v>
      </c>
      <c r="AB41" s="1051" t="s">
        <v>680</v>
      </c>
      <c r="AC41" s="1051" t="s">
        <v>316</v>
      </c>
      <c r="AD41" s="1051" t="s">
        <v>317</v>
      </c>
      <c r="AE41" s="1051" t="s">
        <v>642</v>
      </c>
      <c r="AF41" s="1051" t="s">
        <v>278</v>
      </c>
      <c r="AG41" s="1051" t="s">
        <v>680</v>
      </c>
      <c r="AH41" s="1051" t="s">
        <v>680</v>
      </c>
      <c r="AI41" s="1051" t="s">
        <v>370</v>
      </c>
      <c r="AJ41" s="1051" t="s">
        <v>680</v>
      </c>
      <c r="AK41" s="1051" t="s">
        <v>121</v>
      </c>
      <c r="AL41" s="1051" t="s">
        <v>270</v>
      </c>
      <c r="AM41" s="1479">
        <v>18</v>
      </c>
      <c r="AN41" s="1058"/>
      <c r="AO41" s="360"/>
      <c r="AP41" s="360"/>
      <c r="AQ41" s="361"/>
    </row>
    <row r="42" spans="1:43" s="249" customFormat="1" x14ac:dyDescent="0.2">
      <c r="A42" s="1472"/>
      <c r="B42" s="1470"/>
      <c r="C42" s="1074">
        <v>30</v>
      </c>
      <c r="D42" s="1050">
        <f t="shared" si="3"/>
        <v>13</v>
      </c>
      <c r="E42" s="1480"/>
      <c r="F42" s="1049">
        <v>0</v>
      </c>
      <c r="G42" s="1053">
        <v>1</v>
      </c>
      <c r="H42" s="1052">
        <v>2</v>
      </c>
      <c r="I42" s="1052">
        <v>0</v>
      </c>
      <c r="J42" s="1053">
        <v>0</v>
      </c>
      <c r="K42" s="1053">
        <v>0</v>
      </c>
      <c r="L42" s="1053">
        <v>0</v>
      </c>
      <c r="M42" s="1053">
        <v>0</v>
      </c>
      <c r="N42" s="1053">
        <v>0</v>
      </c>
      <c r="O42" s="1053">
        <v>0</v>
      </c>
      <c r="P42" s="1053">
        <v>0</v>
      </c>
      <c r="Q42" s="1053">
        <v>0</v>
      </c>
      <c r="R42" s="1053">
        <v>0</v>
      </c>
      <c r="S42" s="1049">
        <v>0</v>
      </c>
      <c r="T42" s="1053">
        <v>1</v>
      </c>
      <c r="U42" s="1053">
        <v>2</v>
      </c>
      <c r="V42" s="1049">
        <v>0</v>
      </c>
      <c r="W42" s="1056"/>
      <c r="X42" s="1052">
        <v>0</v>
      </c>
      <c r="Y42" s="1052">
        <v>0</v>
      </c>
      <c r="Z42" s="1052">
        <v>0</v>
      </c>
      <c r="AA42" s="1052">
        <v>0</v>
      </c>
      <c r="AB42" s="1052">
        <v>0</v>
      </c>
      <c r="AC42" s="1052">
        <v>0</v>
      </c>
      <c r="AD42" s="1052">
        <v>2</v>
      </c>
      <c r="AE42" s="1052">
        <v>2</v>
      </c>
      <c r="AF42" s="1052">
        <v>0</v>
      </c>
      <c r="AG42" s="1052">
        <v>0</v>
      </c>
      <c r="AH42" s="1052">
        <v>0</v>
      </c>
      <c r="AI42" s="1052">
        <v>2</v>
      </c>
      <c r="AJ42" s="1052">
        <v>0</v>
      </c>
      <c r="AK42" s="1052">
        <v>1</v>
      </c>
      <c r="AL42" s="1052">
        <v>0</v>
      </c>
      <c r="AM42" s="1480"/>
      <c r="AN42" s="1057">
        <f>RANK(D42,D$7:D$72,0)</f>
        <v>30</v>
      </c>
      <c r="AO42" s="360"/>
      <c r="AP42" s="360">
        <f t="shared" si="1"/>
        <v>5</v>
      </c>
      <c r="AQ42" s="361">
        <f t="shared" si="2"/>
        <v>3</v>
      </c>
    </row>
    <row r="43" spans="1:43" s="249" customFormat="1" x14ac:dyDescent="0.2">
      <c r="A43" s="1471">
        <v>19</v>
      </c>
      <c r="B43" s="1469" t="s">
        <v>354</v>
      </c>
      <c r="C43" s="1073"/>
      <c r="D43" s="1045">
        <f t="shared" si="3"/>
        <v>0</v>
      </c>
      <c r="E43" s="1477">
        <v>19</v>
      </c>
      <c r="F43" s="1051" t="s">
        <v>270</v>
      </c>
      <c r="G43" s="1051" t="s">
        <v>119</v>
      </c>
      <c r="H43" s="1043" t="s">
        <v>278</v>
      </c>
      <c r="I43" s="1043" t="s">
        <v>265</v>
      </c>
      <c r="J43" s="1043" t="s">
        <v>268</v>
      </c>
      <c r="K43" s="1043" t="s">
        <v>317</v>
      </c>
      <c r="L43" s="1043" t="s">
        <v>265</v>
      </c>
      <c r="M43" s="1043" t="s">
        <v>121</v>
      </c>
      <c r="N43" s="1043" t="s">
        <v>119</v>
      </c>
      <c r="O43" s="1043" t="s">
        <v>121</v>
      </c>
      <c r="P43" s="1043" t="s">
        <v>268</v>
      </c>
      <c r="Q43" s="1043" t="s">
        <v>371</v>
      </c>
      <c r="R43" s="1043" t="s">
        <v>642</v>
      </c>
      <c r="S43" s="1043" t="s">
        <v>673</v>
      </c>
      <c r="T43" s="1043" t="s">
        <v>317</v>
      </c>
      <c r="U43" s="1043" t="s">
        <v>119</v>
      </c>
      <c r="V43" s="1044" t="s">
        <v>676</v>
      </c>
      <c r="W43" s="1051" t="s">
        <v>119</v>
      </c>
      <c r="X43" s="1059"/>
      <c r="Y43" s="1051" t="s">
        <v>674</v>
      </c>
      <c r="Z43" s="1051" t="s">
        <v>121</v>
      </c>
      <c r="AA43" s="1051" t="s">
        <v>316</v>
      </c>
      <c r="AB43" s="1051" t="s">
        <v>674</v>
      </c>
      <c r="AC43" s="1051" t="s">
        <v>370</v>
      </c>
      <c r="AD43" s="1051" t="s">
        <v>119</v>
      </c>
      <c r="AE43" s="1051" t="s">
        <v>270</v>
      </c>
      <c r="AF43" s="1051" t="s">
        <v>642</v>
      </c>
      <c r="AG43" s="1051" t="s">
        <v>268</v>
      </c>
      <c r="AH43" s="1051" t="s">
        <v>370</v>
      </c>
      <c r="AI43" s="1051" t="s">
        <v>270</v>
      </c>
      <c r="AJ43" s="1051" t="s">
        <v>119</v>
      </c>
      <c r="AK43" s="1051" t="s">
        <v>317</v>
      </c>
      <c r="AL43" s="1051" t="s">
        <v>119</v>
      </c>
      <c r="AM43" s="1477">
        <v>19</v>
      </c>
      <c r="AN43" s="1058"/>
      <c r="AO43" s="360"/>
      <c r="AP43" s="360"/>
      <c r="AQ43" s="361"/>
    </row>
    <row r="44" spans="1:43" s="249" customFormat="1" x14ac:dyDescent="0.2">
      <c r="A44" s="1472"/>
      <c r="B44" s="1470"/>
      <c r="C44" s="1074">
        <v>4</v>
      </c>
      <c r="D44" s="1050">
        <f t="shared" si="3"/>
        <v>40</v>
      </c>
      <c r="E44" s="1478"/>
      <c r="F44" s="1052">
        <v>0</v>
      </c>
      <c r="G44" s="1053">
        <v>2</v>
      </c>
      <c r="H44" s="1053">
        <v>0</v>
      </c>
      <c r="I44" s="1053">
        <v>0</v>
      </c>
      <c r="J44" s="1053">
        <v>2</v>
      </c>
      <c r="K44" s="1053">
        <v>2</v>
      </c>
      <c r="L44" s="1053">
        <v>0</v>
      </c>
      <c r="M44" s="1053">
        <v>1</v>
      </c>
      <c r="N44" s="1053">
        <v>2</v>
      </c>
      <c r="O44" s="1053">
        <v>1</v>
      </c>
      <c r="P44" s="1053">
        <v>2</v>
      </c>
      <c r="Q44" s="1053">
        <v>1</v>
      </c>
      <c r="R44" s="1053">
        <v>2</v>
      </c>
      <c r="S44" s="1053">
        <v>2</v>
      </c>
      <c r="T44" s="1053">
        <v>2</v>
      </c>
      <c r="U44" s="1053">
        <v>2</v>
      </c>
      <c r="V44" s="1049">
        <v>0</v>
      </c>
      <c r="W44" s="1052">
        <v>2</v>
      </c>
      <c r="X44" s="1054"/>
      <c r="Y44" s="1052">
        <v>0</v>
      </c>
      <c r="Z44" s="1052">
        <v>1</v>
      </c>
      <c r="AA44" s="1052">
        <v>0</v>
      </c>
      <c r="AB44" s="1052">
        <v>0</v>
      </c>
      <c r="AC44" s="1052">
        <v>2</v>
      </c>
      <c r="AD44" s="1052">
        <v>2</v>
      </c>
      <c r="AE44" s="1052">
        <v>0</v>
      </c>
      <c r="AF44" s="1052">
        <v>2</v>
      </c>
      <c r="AG44" s="1052">
        <v>2</v>
      </c>
      <c r="AH44" s="1052">
        <v>2</v>
      </c>
      <c r="AI44" s="1052">
        <v>0</v>
      </c>
      <c r="AJ44" s="1052">
        <v>2</v>
      </c>
      <c r="AK44" s="1052">
        <v>2</v>
      </c>
      <c r="AL44" s="1052">
        <v>2</v>
      </c>
      <c r="AM44" s="1478"/>
      <c r="AN44" s="1057">
        <f>RANK(D44,D$7:D$72,0)</f>
        <v>4</v>
      </c>
      <c r="AO44" s="360"/>
      <c r="AP44" s="360">
        <f t="shared" si="1"/>
        <v>18</v>
      </c>
      <c r="AQ44" s="361">
        <f t="shared" si="2"/>
        <v>4</v>
      </c>
    </row>
    <row r="45" spans="1:43" s="249" customFormat="1" x14ac:dyDescent="0.2">
      <c r="A45" s="1471">
        <v>20</v>
      </c>
      <c r="B45" s="1473" t="s">
        <v>158</v>
      </c>
      <c r="C45" s="1067"/>
      <c r="D45" s="1045">
        <f t="shared" si="3"/>
        <v>0</v>
      </c>
      <c r="E45" s="1477">
        <v>20</v>
      </c>
      <c r="F45" s="1051" t="s">
        <v>673</v>
      </c>
      <c r="G45" s="1043" t="s">
        <v>316</v>
      </c>
      <c r="H45" s="1043" t="s">
        <v>119</v>
      </c>
      <c r="I45" s="1043" t="s">
        <v>121</v>
      </c>
      <c r="J45" s="1043" t="s">
        <v>268</v>
      </c>
      <c r="K45" s="1043" t="s">
        <v>268</v>
      </c>
      <c r="L45" s="1043" t="s">
        <v>317</v>
      </c>
      <c r="M45" s="1043" t="s">
        <v>121</v>
      </c>
      <c r="N45" s="1043" t="s">
        <v>642</v>
      </c>
      <c r="O45" s="1043" t="s">
        <v>270</v>
      </c>
      <c r="P45" s="1043" t="s">
        <v>119</v>
      </c>
      <c r="Q45" s="1043" t="s">
        <v>268</v>
      </c>
      <c r="R45" s="1043" t="s">
        <v>317</v>
      </c>
      <c r="S45" s="1043" t="s">
        <v>554</v>
      </c>
      <c r="T45" s="1043" t="s">
        <v>268</v>
      </c>
      <c r="U45" s="1043" t="s">
        <v>265</v>
      </c>
      <c r="V45" s="1044" t="s">
        <v>676</v>
      </c>
      <c r="W45" s="1051" t="s">
        <v>673</v>
      </c>
      <c r="X45" s="1051" t="s">
        <v>642</v>
      </c>
      <c r="Y45" s="1042"/>
      <c r="Z45" s="1051" t="s">
        <v>268</v>
      </c>
      <c r="AA45" s="1051" t="s">
        <v>642</v>
      </c>
      <c r="AB45" s="1051" t="s">
        <v>371</v>
      </c>
      <c r="AC45" s="1051" t="s">
        <v>268</v>
      </c>
      <c r="AD45" s="1051" t="s">
        <v>121</v>
      </c>
      <c r="AE45" s="1051" t="s">
        <v>677</v>
      </c>
      <c r="AF45" s="1051" t="s">
        <v>268</v>
      </c>
      <c r="AG45" s="1051" t="s">
        <v>371</v>
      </c>
      <c r="AH45" s="1051" t="s">
        <v>317</v>
      </c>
      <c r="AI45" s="1051" t="s">
        <v>121</v>
      </c>
      <c r="AJ45" s="1051" t="s">
        <v>371</v>
      </c>
      <c r="AK45" s="1061" t="s">
        <v>673</v>
      </c>
      <c r="AL45" s="1051" t="s">
        <v>268</v>
      </c>
      <c r="AM45" s="1477">
        <v>20</v>
      </c>
      <c r="AN45" s="1058"/>
      <c r="AO45" s="360"/>
      <c r="AP45" s="360"/>
      <c r="AQ45" s="361"/>
    </row>
    <row r="46" spans="1:43" s="249" customFormat="1" x14ac:dyDescent="0.2">
      <c r="A46" s="1472"/>
      <c r="B46" s="1474"/>
      <c r="C46" s="1066">
        <v>2</v>
      </c>
      <c r="D46" s="1050">
        <f t="shared" si="3"/>
        <v>49</v>
      </c>
      <c r="E46" s="1478"/>
      <c r="F46" s="1048">
        <v>2</v>
      </c>
      <c r="G46" s="1049">
        <v>0</v>
      </c>
      <c r="H46" s="1049">
        <v>2</v>
      </c>
      <c r="I46" s="1049">
        <v>1</v>
      </c>
      <c r="J46" s="1049">
        <v>2</v>
      </c>
      <c r="K46" s="1049">
        <v>2</v>
      </c>
      <c r="L46" s="1049">
        <v>2</v>
      </c>
      <c r="M46" s="1049">
        <v>1</v>
      </c>
      <c r="N46" s="1049">
        <v>2</v>
      </c>
      <c r="O46" s="1049">
        <v>0</v>
      </c>
      <c r="P46" s="1049">
        <v>2</v>
      </c>
      <c r="Q46" s="1049">
        <v>2</v>
      </c>
      <c r="R46" s="1049">
        <v>2</v>
      </c>
      <c r="S46" s="1049">
        <v>2</v>
      </c>
      <c r="T46" s="1049">
        <v>2</v>
      </c>
      <c r="U46" s="1049">
        <v>0</v>
      </c>
      <c r="V46" s="1049">
        <v>0</v>
      </c>
      <c r="W46" s="1048">
        <v>2</v>
      </c>
      <c r="X46" s="1048">
        <v>2</v>
      </c>
      <c r="Y46" s="1047"/>
      <c r="Z46" s="1048">
        <v>2</v>
      </c>
      <c r="AA46" s="1048">
        <v>2</v>
      </c>
      <c r="AB46" s="1048">
        <v>1</v>
      </c>
      <c r="AC46" s="1048">
        <v>2</v>
      </c>
      <c r="AD46" s="1048">
        <v>1</v>
      </c>
      <c r="AE46" s="1048">
        <v>2</v>
      </c>
      <c r="AF46" s="1048">
        <v>2</v>
      </c>
      <c r="AG46" s="1048">
        <v>1</v>
      </c>
      <c r="AH46" s="1048">
        <v>2</v>
      </c>
      <c r="AI46" s="1048">
        <v>1</v>
      </c>
      <c r="AJ46" s="1048">
        <v>1</v>
      </c>
      <c r="AK46" s="1048">
        <v>2</v>
      </c>
      <c r="AL46" s="1048">
        <v>2</v>
      </c>
      <c r="AM46" s="1478"/>
      <c r="AN46" s="1057">
        <f>RANK(D46,D$7:D$72,0)</f>
        <v>1</v>
      </c>
      <c r="AO46" s="360"/>
      <c r="AP46" s="360">
        <f t="shared" si="1"/>
        <v>21</v>
      </c>
      <c r="AQ46" s="361">
        <f t="shared" si="2"/>
        <v>7</v>
      </c>
    </row>
    <row r="47" spans="1:43" s="249" customFormat="1" x14ac:dyDescent="0.2">
      <c r="A47" s="1471">
        <v>21</v>
      </c>
      <c r="B47" s="1469" t="s">
        <v>159</v>
      </c>
      <c r="C47" s="1073"/>
      <c r="D47" s="1045">
        <f t="shared" si="3"/>
        <v>0</v>
      </c>
      <c r="E47" s="1477">
        <v>21</v>
      </c>
      <c r="F47" s="1051" t="s">
        <v>119</v>
      </c>
      <c r="G47" s="1043" t="s">
        <v>265</v>
      </c>
      <c r="H47" s="1043" t="s">
        <v>674</v>
      </c>
      <c r="I47" s="1043" t="s">
        <v>642</v>
      </c>
      <c r="J47" s="1043" t="s">
        <v>316</v>
      </c>
      <c r="K47" s="1043" t="s">
        <v>277</v>
      </c>
      <c r="L47" s="1043" t="s">
        <v>270</v>
      </c>
      <c r="M47" s="1043" t="s">
        <v>119</v>
      </c>
      <c r="N47" s="1043" t="s">
        <v>121</v>
      </c>
      <c r="O47" s="1043" t="s">
        <v>316</v>
      </c>
      <c r="P47" s="1043" t="s">
        <v>317</v>
      </c>
      <c r="Q47" s="1043" t="s">
        <v>642</v>
      </c>
      <c r="R47" s="1043" t="s">
        <v>317</v>
      </c>
      <c r="S47" s="1043" t="s">
        <v>673</v>
      </c>
      <c r="T47" s="1043" t="s">
        <v>642</v>
      </c>
      <c r="U47" s="1043" t="s">
        <v>277</v>
      </c>
      <c r="V47" s="1044" t="s">
        <v>676</v>
      </c>
      <c r="W47" s="1051" t="s">
        <v>119</v>
      </c>
      <c r="X47" s="1051" t="s">
        <v>121</v>
      </c>
      <c r="Y47" s="1051" t="s">
        <v>270</v>
      </c>
      <c r="Z47" s="1042"/>
      <c r="AA47" s="1051" t="s">
        <v>121</v>
      </c>
      <c r="AB47" s="1051" t="s">
        <v>675</v>
      </c>
      <c r="AC47" s="1051" t="s">
        <v>317</v>
      </c>
      <c r="AD47" s="1051" t="s">
        <v>317</v>
      </c>
      <c r="AE47" s="1051" t="s">
        <v>677</v>
      </c>
      <c r="AF47" s="1051" t="s">
        <v>642</v>
      </c>
      <c r="AG47" s="1051" t="s">
        <v>317</v>
      </c>
      <c r="AH47" s="1051" t="s">
        <v>119</v>
      </c>
      <c r="AI47" s="1051" t="s">
        <v>121</v>
      </c>
      <c r="AJ47" s="1051" t="s">
        <v>316</v>
      </c>
      <c r="AK47" s="1051" t="s">
        <v>265</v>
      </c>
      <c r="AL47" s="1051" t="s">
        <v>674</v>
      </c>
      <c r="AM47" s="1477">
        <v>21</v>
      </c>
      <c r="AN47" s="1058"/>
      <c r="AO47" s="360"/>
      <c r="AP47" s="360"/>
      <c r="AQ47" s="361"/>
    </row>
    <row r="48" spans="1:43" s="249" customFormat="1" x14ac:dyDescent="0.2">
      <c r="A48" s="1472"/>
      <c r="B48" s="1470"/>
      <c r="C48" s="1074">
        <v>11</v>
      </c>
      <c r="D48" s="1050">
        <f t="shared" si="3"/>
        <v>34</v>
      </c>
      <c r="E48" s="1478"/>
      <c r="F48" s="1048">
        <v>2</v>
      </c>
      <c r="G48" s="1049">
        <v>0</v>
      </c>
      <c r="H48" s="1049">
        <v>0</v>
      </c>
      <c r="I48" s="1049">
        <v>2</v>
      </c>
      <c r="J48" s="1049">
        <v>0</v>
      </c>
      <c r="K48" s="1049">
        <v>0</v>
      </c>
      <c r="L48" s="1049">
        <v>0</v>
      </c>
      <c r="M48" s="1049">
        <v>2</v>
      </c>
      <c r="N48" s="1049">
        <v>1</v>
      </c>
      <c r="O48" s="1049">
        <v>0</v>
      </c>
      <c r="P48" s="1049">
        <v>2</v>
      </c>
      <c r="Q48" s="1049">
        <v>2</v>
      </c>
      <c r="R48" s="1049">
        <v>2</v>
      </c>
      <c r="S48" s="1049">
        <v>2</v>
      </c>
      <c r="T48" s="1049">
        <v>2</v>
      </c>
      <c r="U48" s="1049">
        <v>0</v>
      </c>
      <c r="V48" s="1049">
        <v>0</v>
      </c>
      <c r="W48" s="1048">
        <v>2</v>
      </c>
      <c r="X48" s="1048">
        <v>1</v>
      </c>
      <c r="Y48" s="1048">
        <v>0</v>
      </c>
      <c r="Z48" s="1047"/>
      <c r="AA48" s="1048">
        <v>1</v>
      </c>
      <c r="AB48" s="1048">
        <v>0</v>
      </c>
      <c r="AC48" s="1048">
        <v>2</v>
      </c>
      <c r="AD48" s="1048">
        <v>2</v>
      </c>
      <c r="AE48" s="1048">
        <v>2</v>
      </c>
      <c r="AF48" s="1048">
        <v>2</v>
      </c>
      <c r="AG48" s="1048">
        <v>2</v>
      </c>
      <c r="AH48" s="1048">
        <v>2</v>
      </c>
      <c r="AI48" s="1048">
        <v>1</v>
      </c>
      <c r="AJ48" s="1048">
        <v>0</v>
      </c>
      <c r="AK48" s="1048">
        <v>0</v>
      </c>
      <c r="AL48" s="1048">
        <v>0</v>
      </c>
      <c r="AM48" s="1478"/>
      <c r="AN48" s="1057">
        <f>RANK(D48,D$7:D$72,0)</f>
        <v>11</v>
      </c>
      <c r="AO48" s="360"/>
      <c r="AP48" s="360">
        <f t="shared" si="1"/>
        <v>15</v>
      </c>
      <c r="AQ48" s="361">
        <f t="shared" si="2"/>
        <v>4</v>
      </c>
    </row>
    <row r="49" spans="1:43" s="249" customFormat="1" x14ac:dyDescent="0.2">
      <c r="A49" s="1471">
        <v>22</v>
      </c>
      <c r="B49" s="1467" t="s">
        <v>184</v>
      </c>
      <c r="C49" s="1073"/>
      <c r="D49" s="1045">
        <f t="shared" si="3"/>
        <v>0</v>
      </c>
      <c r="E49" s="1477">
        <v>22</v>
      </c>
      <c r="F49" s="1051" t="s">
        <v>673</v>
      </c>
      <c r="G49" s="1043" t="s">
        <v>673</v>
      </c>
      <c r="H49" s="1043" t="s">
        <v>121</v>
      </c>
      <c r="I49" s="1043" t="s">
        <v>674</v>
      </c>
      <c r="J49" s="1043" t="s">
        <v>119</v>
      </c>
      <c r="K49" s="1043" t="s">
        <v>316</v>
      </c>
      <c r="L49" s="1043" t="s">
        <v>265</v>
      </c>
      <c r="M49" s="1043" t="s">
        <v>268</v>
      </c>
      <c r="N49" s="1043" t="s">
        <v>370</v>
      </c>
      <c r="O49" s="1043" t="s">
        <v>121</v>
      </c>
      <c r="P49" s="1043" t="s">
        <v>316</v>
      </c>
      <c r="Q49" s="1043" t="s">
        <v>121</v>
      </c>
      <c r="R49" s="1043" t="s">
        <v>121</v>
      </c>
      <c r="S49" s="1043" t="s">
        <v>673</v>
      </c>
      <c r="T49" s="1043" t="s">
        <v>265</v>
      </c>
      <c r="U49" s="1043" t="s">
        <v>317</v>
      </c>
      <c r="V49" s="1044" t="s">
        <v>676</v>
      </c>
      <c r="W49" s="1051" t="s">
        <v>673</v>
      </c>
      <c r="X49" s="1051" t="s">
        <v>317</v>
      </c>
      <c r="Y49" s="1051" t="s">
        <v>674</v>
      </c>
      <c r="Z49" s="1051" t="s">
        <v>121</v>
      </c>
      <c r="AA49" s="1042"/>
      <c r="AB49" s="1051" t="s">
        <v>371</v>
      </c>
      <c r="AC49" s="1051" t="s">
        <v>317</v>
      </c>
      <c r="AD49" s="1051" t="s">
        <v>119</v>
      </c>
      <c r="AE49" s="1051" t="s">
        <v>316</v>
      </c>
      <c r="AF49" s="1051" t="s">
        <v>674</v>
      </c>
      <c r="AG49" s="1051" t="s">
        <v>268</v>
      </c>
      <c r="AH49" s="1051" t="s">
        <v>268</v>
      </c>
      <c r="AI49" s="1051" t="s">
        <v>270</v>
      </c>
      <c r="AJ49" s="1051" t="s">
        <v>278</v>
      </c>
      <c r="AK49" s="1051" t="s">
        <v>121</v>
      </c>
      <c r="AL49" s="1051" t="s">
        <v>121</v>
      </c>
      <c r="AM49" s="1477">
        <v>22</v>
      </c>
      <c r="AN49" s="1058"/>
      <c r="AO49" s="360"/>
      <c r="AP49" s="360"/>
      <c r="AQ49" s="361"/>
    </row>
    <row r="50" spans="1:43" s="249" customFormat="1" x14ac:dyDescent="0.2">
      <c r="A50" s="1472"/>
      <c r="B50" s="1468"/>
      <c r="C50" s="1074">
        <v>13</v>
      </c>
      <c r="D50" s="1050">
        <f t="shared" si="3"/>
        <v>34</v>
      </c>
      <c r="E50" s="1478"/>
      <c r="F50" s="1048">
        <v>2</v>
      </c>
      <c r="G50" s="1049">
        <v>2</v>
      </c>
      <c r="H50" s="1049">
        <v>1</v>
      </c>
      <c r="I50" s="1049">
        <v>0</v>
      </c>
      <c r="J50" s="1049">
        <v>2</v>
      </c>
      <c r="K50" s="1049">
        <v>0</v>
      </c>
      <c r="L50" s="1049">
        <v>0</v>
      </c>
      <c r="M50" s="1049">
        <v>2</v>
      </c>
      <c r="N50" s="1049">
        <v>2</v>
      </c>
      <c r="O50" s="1049">
        <v>1</v>
      </c>
      <c r="P50" s="1049">
        <v>0</v>
      </c>
      <c r="Q50" s="1049">
        <v>1</v>
      </c>
      <c r="R50" s="1049">
        <v>1</v>
      </c>
      <c r="S50" s="1049">
        <v>2</v>
      </c>
      <c r="T50" s="1049">
        <v>0</v>
      </c>
      <c r="U50" s="1049">
        <v>2</v>
      </c>
      <c r="V50" s="1049">
        <v>0</v>
      </c>
      <c r="W50" s="1048">
        <v>2</v>
      </c>
      <c r="X50" s="1048">
        <v>2</v>
      </c>
      <c r="Y50" s="1048">
        <v>0</v>
      </c>
      <c r="Z50" s="1048">
        <v>1</v>
      </c>
      <c r="AA50" s="1047"/>
      <c r="AB50" s="1048">
        <v>1</v>
      </c>
      <c r="AC50" s="1048">
        <v>2</v>
      </c>
      <c r="AD50" s="1048">
        <v>2</v>
      </c>
      <c r="AE50" s="1048">
        <v>0</v>
      </c>
      <c r="AF50" s="1048">
        <v>0</v>
      </c>
      <c r="AG50" s="1048">
        <v>2</v>
      </c>
      <c r="AH50" s="1048">
        <v>2</v>
      </c>
      <c r="AI50" s="1048">
        <v>0</v>
      </c>
      <c r="AJ50" s="1048">
        <v>0</v>
      </c>
      <c r="AK50" s="1048">
        <v>1</v>
      </c>
      <c r="AL50" s="1048">
        <v>1</v>
      </c>
      <c r="AM50" s="1478"/>
      <c r="AN50" s="1057">
        <f>RANK(D50,D$7:D$72,0)</f>
        <v>11</v>
      </c>
      <c r="AO50" s="360"/>
      <c r="AP50" s="360">
        <f t="shared" si="1"/>
        <v>13</v>
      </c>
      <c r="AQ50" s="361">
        <f t="shared" si="2"/>
        <v>8</v>
      </c>
    </row>
    <row r="51" spans="1:43" s="249" customFormat="1" x14ac:dyDescent="0.2">
      <c r="A51" s="1471">
        <v>23</v>
      </c>
      <c r="B51" s="1475" t="s">
        <v>160</v>
      </c>
      <c r="C51" s="1076"/>
      <c r="D51" s="1045">
        <f t="shared" si="3"/>
        <v>0</v>
      </c>
      <c r="E51" s="1477">
        <v>23</v>
      </c>
      <c r="F51" s="1051" t="s">
        <v>673</v>
      </c>
      <c r="G51" s="1043" t="s">
        <v>317</v>
      </c>
      <c r="H51" s="1043" t="s">
        <v>268</v>
      </c>
      <c r="I51" s="1043" t="s">
        <v>277</v>
      </c>
      <c r="J51" s="1043" t="s">
        <v>554</v>
      </c>
      <c r="K51" s="1043" t="s">
        <v>119</v>
      </c>
      <c r="L51" s="1043" t="s">
        <v>268</v>
      </c>
      <c r="M51" s="1043" t="s">
        <v>268</v>
      </c>
      <c r="N51" s="1043" t="s">
        <v>265</v>
      </c>
      <c r="O51" s="1043" t="s">
        <v>317</v>
      </c>
      <c r="P51" s="1043" t="s">
        <v>642</v>
      </c>
      <c r="Q51" s="1043" t="s">
        <v>371</v>
      </c>
      <c r="R51" s="1043" t="s">
        <v>317</v>
      </c>
      <c r="S51" s="1043" t="s">
        <v>673</v>
      </c>
      <c r="T51" s="1043" t="s">
        <v>316</v>
      </c>
      <c r="U51" s="1043" t="s">
        <v>119</v>
      </c>
      <c r="V51" s="1044" t="s">
        <v>676</v>
      </c>
      <c r="W51" s="1051" t="s">
        <v>673</v>
      </c>
      <c r="X51" s="1051" t="s">
        <v>642</v>
      </c>
      <c r="Y51" s="1051" t="s">
        <v>371</v>
      </c>
      <c r="Z51" s="1051" t="s">
        <v>677</v>
      </c>
      <c r="AA51" s="1051" t="s">
        <v>371</v>
      </c>
      <c r="AB51" s="1042"/>
      <c r="AC51" s="1051" t="s">
        <v>316</v>
      </c>
      <c r="AD51" s="1051" t="s">
        <v>679</v>
      </c>
      <c r="AE51" s="1051" t="s">
        <v>677</v>
      </c>
      <c r="AF51" s="1051" t="s">
        <v>674</v>
      </c>
      <c r="AG51" s="1051" t="s">
        <v>317</v>
      </c>
      <c r="AH51" s="1051" t="s">
        <v>317</v>
      </c>
      <c r="AI51" s="1051" t="s">
        <v>673</v>
      </c>
      <c r="AJ51" s="1051" t="s">
        <v>268</v>
      </c>
      <c r="AK51" s="1051" t="s">
        <v>268</v>
      </c>
      <c r="AL51" s="1051" t="s">
        <v>119</v>
      </c>
      <c r="AM51" s="1477">
        <v>23</v>
      </c>
      <c r="AN51" s="1058"/>
      <c r="AO51" s="360"/>
      <c r="AP51" s="360"/>
      <c r="AQ51" s="361"/>
    </row>
    <row r="52" spans="1:43" s="249" customFormat="1" x14ac:dyDescent="0.2">
      <c r="A52" s="1472"/>
      <c r="B52" s="1476"/>
      <c r="C52" s="1077">
        <v>1</v>
      </c>
      <c r="D52" s="1050">
        <f t="shared" si="3"/>
        <v>49</v>
      </c>
      <c r="E52" s="1478"/>
      <c r="F52" s="1048">
        <v>2</v>
      </c>
      <c r="G52" s="1049">
        <v>2</v>
      </c>
      <c r="H52" s="1049">
        <v>2</v>
      </c>
      <c r="I52" s="1049">
        <v>0</v>
      </c>
      <c r="J52" s="1049">
        <v>2</v>
      </c>
      <c r="K52" s="1049">
        <v>2</v>
      </c>
      <c r="L52" s="1049">
        <v>2</v>
      </c>
      <c r="M52" s="1049">
        <v>2</v>
      </c>
      <c r="N52" s="1049">
        <v>0</v>
      </c>
      <c r="O52" s="1049">
        <v>2</v>
      </c>
      <c r="P52" s="1049">
        <v>2</v>
      </c>
      <c r="Q52" s="1049">
        <v>1</v>
      </c>
      <c r="R52" s="1049">
        <v>2</v>
      </c>
      <c r="S52" s="1049">
        <v>2</v>
      </c>
      <c r="T52" s="1049">
        <v>0</v>
      </c>
      <c r="U52" s="1049">
        <v>2</v>
      </c>
      <c r="V52" s="1049">
        <v>0</v>
      </c>
      <c r="W52" s="1048">
        <v>2</v>
      </c>
      <c r="X52" s="1048">
        <v>2</v>
      </c>
      <c r="Y52" s="1048">
        <v>1</v>
      </c>
      <c r="Z52" s="1048">
        <v>2</v>
      </c>
      <c r="AA52" s="1048">
        <v>1</v>
      </c>
      <c r="AB52" s="1047"/>
      <c r="AC52" s="1048">
        <v>0</v>
      </c>
      <c r="AD52" s="1048">
        <v>2</v>
      </c>
      <c r="AE52" s="1048">
        <v>2</v>
      </c>
      <c r="AF52" s="1048">
        <v>0</v>
      </c>
      <c r="AG52" s="1048">
        <v>2</v>
      </c>
      <c r="AH52" s="1048">
        <v>2</v>
      </c>
      <c r="AI52" s="1048">
        <v>2</v>
      </c>
      <c r="AJ52" s="1048">
        <v>2</v>
      </c>
      <c r="AK52" s="1048">
        <v>2</v>
      </c>
      <c r="AL52" s="1048">
        <v>2</v>
      </c>
      <c r="AM52" s="1478"/>
      <c r="AN52" s="1057">
        <f>RANK(D52,D$7:D$72,0)</f>
        <v>1</v>
      </c>
      <c r="AO52" s="360"/>
      <c r="AP52" s="360">
        <f t="shared" si="1"/>
        <v>23</v>
      </c>
      <c r="AQ52" s="361">
        <f t="shared" si="2"/>
        <v>3</v>
      </c>
    </row>
    <row r="53" spans="1:43" s="249" customFormat="1" x14ac:dyDescent="0.2">
      <c r="A53" s="1471">
        <v>24</v>
      </c>
      <c r="B53" s="1469" t="s">
        <v>348</v>
      </c>
      <c r="C53" s="1073"/>
      <c r="D53" s="1045">
        <f t="shared" si="3"/>
        <v>0</v>
      </c>
      <c r="E53" s="1477">
        <v>24</v>
      </c>
      <c r="F53" s="1051" t="s">
        <v>673</v>
      </c>
      <c r="G53" s="1043" t="s">
        <v>316</v>
      </c>
      <c r="H53" s="1043" t="s">
        <v>270</v>
      </c>
      <c r="I53" s="1043" t="s">
        <v>316</v>
      </c>
      <c r="J53" s="1043" t="s">
        <v>270</v>
      </c>
      <c r="K53" s="1043" t="s">
        <v>265</v>
      </c>
      <c r="L53" s="1043" t="s">
        <v>554</v>
      </c>
      <c r="M53" s="1043" t="s">
        <v>317</v>
      </c>
      <c r="N53" s="1043" t="s">
        <v>677</v>
      </c>
      <c r="O53" s="1043" t="s">
        <v>317</v>
      </c>
      <c r="P53" s="1043" t="s">
        <v>316</v>
      </c>
      <c r="Q53" s="1043" t="s">
        <v>270</v>
      </c>
      <c r="R53" s="1043" t="s">
        <v>677</v>
      </c>
      <c r="S53" s="1043" t="s">
        <v>673</v>
      </c>
      <c r="T53" s="1043" t="s">
        <v>642</v>
      </c>
      <c r="U53" s="1051" t="s">
        <v>270</v>
      </c>
      <c r="V53" s="1044" t="s">
        <v>676</v>
      </c>
      <c r="W53" s="1051" t="s">
        <v>317</v>
      </c>
      <c r="X53" s="1051" t="s">
        <v>278</v>
      </c>
      <c r="Y53" s="1051" t="s">
        <v>270</v>
      </c>
      <c r="Z53" s="1051" t="s">
        <v>316</v>
      </c>
      <c r="AA53" s="1051" t="s">
        <v>316</v>
      </c>
      <c r="AB53" s="1051" t="s">
        <v>317</v>
      </c>
      <c r="AC53" s="1042"/>
      <c r="AD53" s="1051" t="s">
        <v>316</v>
      </c>
      <c r="AE53" s="1051" t="s">
        <v>270</v>
      </c>
      <c r="AF53" s="1051" t="s">
        <v>121</v>
      </c>
      <c r="AG53" s="1051" t="s">
        <v>371</v>
      </c>
      <c r="AH53" s="1051" t="s">
        <v>317</v>
      </c>
      <c r="AI53" s="1051" t="s">
        <v>673</v>
      </c>
      <c r="AJ53" s="1051" t="s">
        <v>270</v>
      </c>
      <c r="AK53" s="1051" t="s">
        <v>673</v>
      </c>
      <c r="AL53" s="1051" t="s">
        <v>317</v>
      </c>
      <c r="AM53" s="1477">
        <v>24</v>
      </c>
      <c r="AN53" s="1058"/>
      <c r="AO53" s="360"/>
      <c r="AP53" s="360"/>
      <c r="AQ53" s="361"/>
    </row>
    <row r="54" spans="1:43" s="249" customFormat="1" x14ac:dyDescent="0.2">
      <c r="A54" s="1472"/>
      <c r="B54" s="1470"/>
      <c r="C54" s="1074">
        <v>21</v>
      </c>
      <c r="D54" s="1050">
        <f t="shared" si="3"/>
        <v>30</v>
      </c>
      <c r="E54" s="1478"/>
      <c r="F54" s="1048">
        <v>2</v>
      </c>
      <c r="G54" s="1049">
        <v>0</v>
      </c>
      <c r="H54" s="1049">
        <v>0</v>
      </c>
      <c r="I54" s="1049">
        <v>0</v>
      </c>
      <c r="J54" s="1049">
        <v>0</v>
      </c>
      <c r="K54" s="1049">
        <v>0</v>
      </c>
      <c r="L54" s="1049">
        <v>2</v>
      </c>
      <c r="M54" s="1049">
        <v>2</v>
      </c>
      <c r="N54" s="1049">
        <v>2</v>
      </c>
      <c r="O54" s="1049">
        <v>2</v>
      </c>
      <c r="P54" s="1049">
        <v>0</v>
      </c>
      <c r="Q54" s="1049">
        <v>0</v>
      </c>
      <c r="R54" s="1049">
        <v>2</v>
      </c>
      <c r="S54" s="1049">
        <v>2</v>
      </c>
      <c r="T54" s="1049">
        <v>2</v>
      </c>
      <c r="U54" s="1048">
        <v>0</v>
      </c>
      <c r="V54" s="1049">
        <v>0</v>
      </c>
      <c r="W54" s="1048">
        <v>2</v>
      </c>
      <c r="X54" s="1048">
        <v>0</v>
      </c>
      <c r="Y54" s="1048">
        <v>0</v>
      </c>
      <c r="Z54" s="1048">
        <v>0</v>
      </c>
      <c r="AA54" s="1048">
        <v>0</v>
      </c>
      <c r="AB54" s="1048">
        <v>2</v>
      </c>
      <c r="AC54" s="1047"/>
      <c r="AD54" s="1048">
        <v>0</v>
      </c>
      <c r="AE54" s="1048">
        <v>0</v>
      </c>
      <c r="AF54" s="1048">
        <v>1</v>
      </c>
      <c r="AG54" s="1048">
        <v>1</v>
      </c>
      <c r="AH54" s="1048">
        <v>2</v>
      </c>
      <c r="AI54" s="1048">
        <v>2</v>
      </c>
      <c r="AJ54" s="1048">
        <v>0</v>
      </c>
      <c r="AK54" s="1048">
        <v>2</v>
      </c>
      <c r="AL54" s="1048">
        <v>2</v>
      </c>
      <c r="AM54" s="1478"/>
      <c r="AN54" s="1057">
        <f>RANK(D54,D$7:D$72,0)</f>
        <v>21</v>
      </c>
      <c r="AO54" s="360"/>
      <c r="AP54" s="360">
        <f t="shared" si="1"/>
        <v>14</v>
      </c>
      <c r="AQ54" s="361">
        <f t="shared" si="2"/>
        <v>2</v>
      </c>
    </row>
    <row r="55" spans="1:43" s="249" customFormat="1" x14ac:dyDescent="0.2">
      <c r="A55" s="1471">
        <v>25</v>
      </c>
      <c r="B55" s="1469" t="s">
        <v>349</v>
      </c>
      <c r="C55" s="1073"/>
      <c r="D55" s="1045">
        <f t="shared" si="3"/>
        <v>0</v>
      </c>
      <c r="E55" s="1477">
        <v>25</v>
      </c>
      <c r="F55" s="1051" t="s">
        <v>673</v>
      </c>
      <c r="G55" s="1043" t="s">
        <v>673</v>
      </c>
      <c r="H55" s="1060" t="s">
        <v>278</v>
      </c>
      <c r="I55" s="1043" t="s">
        <v>270</v>
      </c>
      <c r="J55" s="1043" t="s">
        <v>316</v>
      </c>
      <c r="K55" s="1043" t="s">
        <v>121</v>
      </c>
      <c r="L55" s="1051" t="s">
        <v>676</v>
      </c>
      <c r="M55" s="1051" t="s">
        <v>278</v>
      </c>
      <c r="N55" s="1051" t="s">
        <v>121</v>
      </c>
      <c r="O55" s="1043" t="s">
        <v>121</v>
      </c>
      <c r="P55" s="1043" t="s">
        <v>316</v>
      </c>
      <c r="Q55" s="1043" t="s">
        <v>265</v>
      </c>
      <c r="R55" s="1043" t="s">
        <v>278</v>
      </c>
      <c r="S55" s="1043" t="s">
        <v>673</v>
      </c>
      <c r="T55" s="1043" t="s">
        <v>674</v>
      </c>
      <c r="U55" s="1051" t="s">
        <v>270</v>
      </c>
      <c r="V55" s="1044" t="s">
        <v>676</v>
      </c>
      <c r="W55" s="1051" t="s">
        <v>316</v>
      </c>
      <c r="X55" s="1051" t="s">
        <v>265</v>
      </c>
      <c r="Y55" s="1051" t="s">
        <v>121</v>
      </c>
      <c r="Z55" s="1051" t="s">
        <v>316</v>
      </c>
      <c r="AA55" s="1051" t="s">
        <v>265</v>
      </c>
      <c r="AB55" s="1051" t="s">
        <v>681</v>
      </c>
      <c r="AC55" s="1051" t="s">
        <v>317</v>
      </c>
      <c r="AD55" s="1059"/>
      <c r="AE55" s="1051" t="s">
        <v>370</v>
      </c>
      <c r="AF55" s="1051" t="s">
        <v>371</v>
      </c>
      <c r="AG55" s="1051" t="s">
        <v>121</v>
      </c>
      <c r="AH55" s="1051" t="s">
        <v>316</v>
      </c>
      <c r="AI55" s="1051" t="s">
        <v>673</v>
      </c>
      <c r="AJ55" s="1051" t="s">
        <v>317</v>
      </c>
      <c r="AK55" s="1061" t="s">
        <v>268</v>
      </c>
      <c r="AL55" s="1051" t="s">
        <v>317</v>
      </c>
      <c r="AM55" s="1477">
        <v>25</v>
      </c>
      <c r="AN55" s="1058"/>
      <c r="AO55" s="360"/>
      <c r="AP55" s="360"/>
      <c r="AQ55" s="361"/>
    </row>
    <row r="56" spans="1:43" s="249" customFormat="1" x14ac:dyDescent="0.2">
      <c r="A56" s="1472"/>
      <c r="B56" s="1470"/>
      <c r="C56" s="1074">
        <v>27</v>
      </c>
      <c r="D56" s="1050">
        <f t="shared" si="3"/>
        <v>24</v>
      </c>
      <c r="E56" s="1478"/>
      <c r="F56" s="1048">
        <v>2</v>
      </c>
      <c r="G56" s="1049">
        <v>2</v>
      </c>
      <c r="H56" s="1049">
        <v>0</v>
      </c>
      <c r="I56" s="1049">
        <v>0</v>
      </c>
      <c r="J56" s="1049">
        <v>0</v>
      </c>
      <c r="K56" s="1049">
        <v>1</v>
      </c>
      <c r="L56" s="1048">
        <v>0</v>
      </c>
      <c r="M56" s="1048">
        <v>0</v>
      </c>
      <c r="N56" s="1048">
        <v>1</v>
      </c>
      <c r="O56" s="1049">
        <v>1</v>
      </c>
      <c r="P56" s="1049">
        <v>0</v>
      </c>
      <c r="Q56" s="1049">
        <v>0</v>
      </c>
      <c r="R56" s="1049">
        <v>0</v>
      </c>
      <c r="S56" s="1049">
        <v>2</v>
      </c>
      <c r="T56" s="1049">
        <v>0</v>
      </c>
      <c r="U56" s="1048">
        <v>0</v>
      </c>
      <c r="V56" s="1049">
        <v>0</v>
      </c>
      <c r="W56" s="1048">
        <v>0</v>
      </c>
      <c r="X56" s="1048">
        <v>0</v>
      </c>
      <c r="Y56" s="1048">
        <v>1</v>
      </c>
      <c r="Z56" s="1048">
        <v>0</v>
      </c>
      <c r="AA56" s="1048">
        <v>0</v>
      </c>
      <c r="AB56" s="1048">
        <v>0</v>
      </c>
      <c r="AC56" s="1048">
        <v>2</v>
      </c>
      <c r="AD56" s="1047"/>
      <c r="AE56" s="1048">
        <v>2</v>
      </c>
      <c r="AF56" s="1048">
        <v>1</v>
      </c>
      <c r="AG56" s="1048">
        <v>1</v>
      </c>
      <c r="AH56" s="1048">
        <v>0</v>
      </c>
      <c r="AI56" s="1048">
        <v>2</v>
      </c>
      <c r="AJ56" s="1048">
        <v>2</v>
      </c>
      <c r="AK56" s="1048">
        <v>2</v>
      </c>
      <c r="AL56" s="1048">
        <v>2</v>
      </c>
      <c r="AM56" s="1478"/>
      <c r="AN56" s="1057">
        <f>RANK(D56,D$7:D$72,0)</f>
        <v>25</v>
      </c>
      <c r="AO56" s="360"/>
      <c r="AP56" s="360">
        <f t="shared" si="1"/>
        <v>9</v>
      </c>
      <c r="AQ56" s="361">
        <f t="shared" si="2"/>
        <v>6</v>
      </c>
    </row>
    <row r="57" spans="1:43" s="249" customFormat="1" x14ac:dyDescent="0.2">
      <c r="A57" s="1471">
        <v>26</v>
      </c>
      <c r="B57" s="1467" t="s">
        <v>436</v>
      </c>
      <c r="C57" s="1073"/>
      <c r="D57" s="1045">
        <f t="shared" si="3"/>
        <v>0</v>
      </c>
      <c r="E57" s="1477">
        <v>26</v>
      </c>
      <c r="F57" s="1051" t="s">
        <v>673</v>
      </c>
      <c r="G57" s="1043" t="s">
        <v>121</v>
      </c>
      <c r="H57" s="1043" t="s">
        <v>316</v>
      </c>
      <c r="I57" s="1043" t="s">
        <v>674</v>
      </c>
      <c r="J57" s="1043" t="s">
        <v>265</v>
      </c>
      <c r="K57" s="1043" t="s">
        <v>675</v>
      </c>
      <c r="L57" s="1051" t="s">
        <v>316</v>
      </c>
      <c r="M57" s="1051" t="s">
        <v>554</v>
      </c>
      <c r="N57" s="1051" t="s">
        <v>678</v>
      </c>
      <c r="O57" s="1043" t="s">
        <v>268</v>
      </c>
      <c r="P57" s="1043" t="s">
        <v>278</v>
      </c>
      <c r="Q57" s="1043" t="s">
        <v>278</v>
      </c>
      <c r="R57" s="1043" t="s">
        <v>675</v>
      </c>
      <c r="S57" s="1043" t="s">
        <v>673</v>
      </c>
      <c r="T57" s="1043" t="s">
        <v>370</v>
      </c>
      <c r="U57" s="1051" t="s">
        <v>121</v>
      </c>
      <c r="V57" s="1044" t="s">
        <v>676</v>
      </c>
      <c r="W57" s="1051" t="s">
        <v>674</v>
      </c>
      <c r="X57" s="1051" t="s">
        <v>268</v>
      </c>
      <c r="Y57" s="1051" t="s">
        <v>675</v>
      </c>
      <c r="Z57" s="1051" t="s">
        <v>675</v>
      </c>
      <c r="AA57" s="1051" t="s">
        <v>317</v>
      </c>
      <c r="AB57" s="1051" t="s">
        <v>675</v>
      </c>
      <c r="AC57" s="1051" t="s">
        <v>268</v>
      </c>
      <c r="AD57" s="1051" t="s">
        <v>278</v>
      </c>
      <c r="AE57" s="1042"/>
      <c r="AF57" s="1051" t="s">
        <v>121</v>
      </c>
      <c r="AG57" s="1051" t="s">
        <v>642</v>
      </c>
      <c r="AH57" s="1051" t="s">
        <v>121</v>
      </c>
      <c r="AI57" s="1051" t="s">
        <v>121</v>
      </c>
      <c r="AJ57" s="1051" t="s">
        <v>677</v>
      </c>
      <c r="AK57" s="1051" t="s">
        <v>121</v>
      </c>
      <c r="AL57" s="1051" t="s">
        <v>316</v>
      </c>
      <c r="AM57" s="1477">
        <v>26</v>
      </c>
      <c r="AN57" s="1058"/>
      <c r="AO57" s="360"/>
      <c r="AP57" s="360"/>
      <c r="AQ57" s="361"/>
    </row>
    <row r="58" spans="1:43" s="249" customFormat="1" x14ac:dyDescent="0.2">
      <c r="A58" s="1472"/>
      <c r="B58" s="1468"/>
      <c r="C58" s="1074">
        <v>24</v>
      </c>
      <c r="D58" s="1050">
        <f t="shared" si="3"/>
        <v>27</v>
      </c>
      <c r="E58" s="1478"/>
      <c r="F58" s="1048">
        <v>2</v>
      </c>
      <c r="G58" s="1049">
        <v>1</v>
      </c>
      <c r="H58" s="1049">
        <v>0</v>
      </c>
      <c r="I58" s="1049">
        <v>0</v>
      </c>
      <c r="J58" s="1049">
        <v>0</v>
      </c>
      <c r="K58" s="1049">
        <v>0</v>
      </c>
      <c r="L58" s="1048">
        <v>0</v>
      </c>
      <c r="M58" s="1048">
        <v>2</v>
      </c>
      <c r="N58" s="1048">
        <v>1</v>
      </c>
      <c r="O58" s="1049">
        <v>2</v>
      </c>
      <c r="P58" s="1049">
        <v>0</v>
      </c>
      <c r="Q58" s="1049">
        <v>0</v>
      </c>
      <c r="R58" s="1049">
        <v>0</v>
      </c>
      <c r="S58" s="1049">
        <v>2</v>
      </c>
      <c r="T58" s="1049">
        <v>2</v>
      </c>
      <c r="U58" s="1048">
        <v>1</v>
      </c>
      <c r="V58" s="1049">
        <v>0</v>
      </c>
      <c r="W58" s="1048">
        <v>0</v>
      </c>
      <c r="X58" s="1048">
        <v>2</v>
      </c>
      <c r="Y58" s="1048">
        <v>0</v>
      </c>
      <c r="Z58" s="1048">
        <v>0</v>
      </c>
      <c r="AA58" s="1048">
        <v>2</v>
      </c>
      <c r="AB58" s="1048">
        <v>0</v>
      </c>
      <c r="AC58" s="1048">
        <v>2</v>
      </c>
      <c r="AD58" s="1048">
        <v>0</v>
      </c>
      <c r="AE58" s="1047"/>
      <c r="AF58" s="1048">
        <v>1</v>
      </c>
      <c r="AG58" s="1048">
        <v>2</v>
      </c>
      <c r="AH58" s="1048">
        <v>1</v>
      </c>
      <c r="AI58" s="1048">
        <v>1</v>
      </c>
      <c r="AJ58" s="1048">
        <v>2</v>
      </c>
      <c r="AK58" s="1048">
        <v>1</v>
      </c>
      <c r="AL58" s="1048">
        <v>0</v>
      </c>
      <c r="AM58" s="1478"/>
      <c r="AN58" s="1057">
        <f>RANK(D58,D$7:D$72,0)</f>
        <v>24</v>
      </c>
      <c r="AO58" s="360"/>
      <c r="AP58" s="360">
        <f t="shared" si="1"/>
        <v>10</v>
      </c>
      <c r="AQ58" s="361">
        <f t="shared" si="2"/>
        <v>7</v>
      </c>
    </row>
    <row r="59" spans="1:43" s="249" customFormat="1" x14ac:dyDescent="0.2">
      <c r="A59" s="1471">
        <v>27</v>
      </c>
      <c r="B59" s="1469" t="s">
        <v>525</v>
      </c>
      <c r="C59" s="1073"/>
      <c r="D59" s="1045">
        <f t="shared" si="3"/>
        <v>0</v>
      </c>
      <c r="E59" s="1477">
        <v>27</v>
      </c>
      <c r="F59" s="1051" t="s">
        <v>370</v>
      </c>
      <c r="G59" s="1043" t="s">
        <v>121</v>
      </c>
      <c r="H59" s="1043" t="s">
        <v>277</v>
      </c>
      <c r="I59" s="1043" t="s">
        <v>642</v>
      </c>
      <c r="J59" s="1043" t="s">
        <v>371</v>
      </c>
      <c r="K59" s="1043" t="s">
        <v>270</v>
      </c>
      <c r="L59" s="1051" t="s">
        <v>316</v>
      </c>
      <c r="M59" s="1051" t="s">
        <v>265</v>
      </c>
      <c r="N59" s="1051" t="s">
        <v>681</v>
      </c>
      <c r="O59" s="1043" t="s">
        <v>371</v>
      </c>
      <c r="P59" s="1043" t="s">
        <v>370</v>
      </c>
      <c r="Q59" s="1043" t="s">
        <v>554</v>
      </c>
      <c r="R59" s="1043" t="s">
        <v>371</v>
      </c>
      <c r="S59" s="1043" t="s">
        <v>674</v>
      </c>
      <c r="T59" s="1043" t="s">
        <v>121</v>
      </c>
      <c r="U59" s="1051" t="s">
        <v>119</v>
      </c>
      <c r="V59" s="1044" t="s">
        <v>676</v>
      </c>
      <c r="W59" s="1051" t="s">
        <v>370</v>
      </c>
      <c r="X59" s="1051" t="s">
        <v>674</v>
      </c>
      <c r="Y59" s="1051" t="s">
        <v>270</v>
      </c>
      <c r="Z59" s="1051" t="s">
        <v>674</v>
      </c>
      <c r="AA59" s="1051" t="s">
        <v>642</v>
      </c>
      <c r="AB59" s="1051" t="s">
        <v>642</v>
      </c>
      <c r="AC59" s="1051" t="s">
        <v>121</v>
      </c>
      <c r="AD59" s="1051" t="s">
        <v>371</v>
      </c>
      <c r="AE59" s="1051" t="s">
        <v>121</v>
      </c>
      <c r="AF59" s="1042"/>
      <c r="AG59" s="1051" t="s">
        <v>680</v>
      </c>
      <c r="AH59" s="1051" t="s">
        <v>265</v>
      </c>
      <c r="AI59" s="1051" t="s">
        <v>265</v>
      </c>
      <c r="AJ59" s="1051" t="s">
        <v>270</v>
      </c>
      <c r="AK59" s="1051" t="s">
        <v>674</v>
      </c>
      <c r="AL59" s="1051" t="s">
        <v>674</v>
      </c>
      <c r="AM59" s="1477">
        <v>27</v>
      </c>
      <c r="AN59" s="1058"/>
      <c r="AO59" s="360"/>
      <c r="AP59" s="360"/>
      <c r="AQ59" s="361"/>
    </row>
    <row r="60" spans="1:43" s="249" customFormat="1" x14ac:dyDescent="0.2">
      <c r="A60" s="1472"/>
      <c r="B60" s="1470"/>
      <c r="C60" s="1074">
        <v>26</v>
      </c>
      <c r="D60" s="1050">
        <f t="shared" si="3"/>
        <v>24</v>
      </c>
      <c r="E60" s="1478"/>
      <c r="F60" s="1048">
        <v>2</v>
      </c>
      <c r="G60" s="1049">
        <v>1</v>
      </c>
      <c r="H60" s="1049">
        <v>0</v>
      </c>
      <c r="I60" s="1049">
        <v>2</v>
      </c>
      <c r="J60" s="1049">
        <v>1</v>
      </c>
      <c r="K60" s="1049">
        <v>0</v>
      </c>
      <c r="L60" s="1049">
        <v>0</v>
      </c>
      <c r="M60" s="1049">
        <v>0</v>
      </c>
      <c r="N60" s="1049">
        <v>0</v>
      </c>
      <c r="O60" s="1049">
        <v>1</v>
      </c>
      <c r="P60" s="1049">
        <v>2</v>
      </c>
      <c r="Q60" s="1049">
        <v>2</v>
      </c>
      <c r="R60" s="1049">
        <v>1</v>
      </c>
      <c r="S60" s="1049">
        <v>0</v>
      </c>
      <c r="T60" s="1049">
        <v>1</v>
      </c>
      <c r="U60" s="1049">
        <v>2</v>
      </c>
      <c r="V60" s="1049">
        <v>0</v>
      </c>
      <c r="W60" s="1048">
        <v>2</v>
      </c>
      <c r="X60" s="1048">
        <v>0</v>
      </c>
      <c r="Y60" s="1048">
        <v>0</v>
      </c>
      <c r="Z60" s="1048">
        <v>0</v>
      </c>
      <c r="AA60" s="1048">
        <v>2</v>
      </c>
      <c r="AB60" s="1048">
        <v>2</v>
      </c>
      <c r="AC60" s="1048">
        <v>1</v>
      </c>
      <c r="AD60" s="1048">
        <v>1</v>
      </c>
      <c r="AE60" s="1048">
        <v>1</v>
      </c>
      <c r="AF60" s="1047"/>
      <c r="AG60" s="1048">
        <v>0</v>
      </c>
      <c r="AH60" s="1048">
        <v>0</v>
      </c>
      <c r="AI60" s="1048">
        <v>0</v>
      </c>
      <c r="AJ60" s="1048">
        <v>0</v>
      </c>
      <c r="AK60" s="1048">
        <v>0</v>
      </c>
      <c r="AL60" s="1048">
        <v>0</v>
      </c>
      <c r="AM60" s="1478"/>
      <c r="AN60" s="1057">
        <f>RANK(D60,D$7:D$72,0)</f>
        <v>25</v>
      </c>
      <c r="AO60" s="360"/>
      <c r="AP60" s="360">
        <f t="shared" si="1"/>
        <v>8</v>
      </c>
      <c r="AQ60" s="361">
        <f t="shared" si="2"/>
        <v>8</v>
      </c>
    </row>
    <row r="61" spans="1:43" s="249" customFormat="1" x14ac:dyDescent="0.2">
      <c r="A61" s="1471">
        <v>28</v>
      </c>
      <c r="B61" s="1469" t="s">
        <v>173</v>
      </c>
      <c r="C61" s="1073"/>
      <c r="D61" s="1045">
        <f t="shared" si="3"/>
        <v>0</v>
      </c>
      <c r="E61" s="1477">
        <v>28</v>
      </c>
      <c r="F61" s="1060" t="s">
        <v>673</v>
      </c>
      <c r="G61" s="1043" t="s">
        <v>673</v>
      </c>
      <c r="H61" s="1051" t="s">
        <v>680</v>
      </c>
      <c r="I61" s="1043" t="s">
        <v>265</v>
      </c>
      <c r="J61" s="1043" t="s">
        <v>317</v>
      </c>
      <c r="K61" s="1043" t="s">
        <v>119</v>
      </c>
      <c r="L61" s="1043" t="s">
        <v>121</v>
      </c>
      <c r="M61" s="1043" t="s">
        <v>268</v>
      </c>
      <c r="N61" s="1043" t="s">
        <v>316</v>
      </c>
      <c r="O61" s="1051" t="s">
        <v>680</v>
      </c>
      <c r="P61" s="1043" t="s">
        <v>370</v>
      </c>
      <c r="Q61" s="1043" t="s">
        <v>121</v>
      </c>
      <c r="R61" s="1043" t="s">
        <v>121</v>
      </c>
      <c r="S61" s="1043" t="s">
        <v>673</v>
      </c>
      <c r="T61" s="1043" t="s">
        <v>674</v>
      </c>
      <c r="U61" s="1043" t="s">
        <v>121</v>
      </c>
      <c r="V61" s="1044" t="s">
        <v>676</v>
      </c>
      <c r="W61" s="1051" t="s">
        <v>673</v>
      </c>
      <c r="X61" s="1051" t="s">
        <v>270</v>
      </c>
      <c r="Y61" s="1051" t="s">
        <v>371</v>
      </c>
      <c r="Z61" s="1051" t="s">
        <v>316</v>
      </c>
      <c r="AA61" s="1051" t="s">
        <v>270</v>
      </c>
      <c r="AB61" s="1051" t="s">
        <v>316</v>
      </c>
      <c r="AC61" s="1051" t="s">
        <v>371</v>
      </c>
      <c r="AD61" s="1051" t="s">
        <v>121</v>
      </c>
      <c r="AE61" s="1051" t="s">
        <v>674</v>
      </c>
      <c r="AF61" s="1051" t="s">
        <v>673</v>
      </c>
      <c r="AG61" s="1042"/>
      <c r="AH61" s="1051" t="s">
        <v>317</v>
      </c>
      <c r="AI61" s="1051" t="s">
        <v>317</v>
      </c>
      <c r="AJ61" s="1051" t="s">
        <v>121</v>
      </c>
      <c r="AK61" s="1051" t="s">
        <v>278</v>
      </c>
      <c r="AL61" s="1051" t="s">
        <v>121</v>
      </c>
      <c r="AM61" s="1477">
        <v>28</v>
      </c>
      <c r="AN61" s="1058"/>
      <c r="AO61" s="360"/>
      <c r="AP61" s="360"/>
      <c r="AQ61" s="361"/>
    </row>
    <row r="62" spans="1:43" s="249" customFormat="1" x14ac:dyDescent="0.2">
      <c r="A62" s="1472"/>
      <c r="B62" s="1470"/>
      <c r="C62" s="1074">
        <v>20</v>
      </c>
      <c r="D62" s="1050">
        <f t="shared" si="3"/>
        <v>31</v>
      </c>
      <c r="E62" s="1478"/>
      <c r="F62" s="1048">
        <v>2</v>
      </c>
      <c r="G62" s="1049">
        <v>2</v>
      </c>
      <c r="H62" s="1049">
        <v>0</v>
      </c>
      <c r="I62" s="1049">
        <v>0</v>
      </c>
      <c r="J62" s="1049">
        <v>2</v>
      </c>
      <c r="K62" s="1049">
        <v>2</v>
      </c>
      <c r="L62" s="1049">
        <v>1</v>
      </c>
      <c r="M62" s="1049">
        <v>2</v>
      </c>
      <c r="N62" s="1049">
        <v>0</v>
      </c>
      <c r="O62" s="1049">
        <v>0</v>
      </c>
      <c r="P62" s="1049">
        <v>2</v>
      </c>
      <c r="Q62" s="1049">
        <v>1</v>
      </c>
      <c r="R62" s="1049">
        <v>1</v>
      </c>
      <c r="S62" s="1049">
        <v>2</v>
      </c>
      <c r="T62" s="1049">
        <v>0</v>
      </c>
      <c r="U62" s="1049">
        <v>1</v>
      </c>
      <c r="V62" s="1049">
        <v>0</v>
      </c>
      <c r="W62" s="1048">
        <v>2</v>
      </c>
      <c r="X62" s="1048">
        <v>0</v>
      </c>
      <c r="Y62" s="1048">
        <v>1</v>
      </c>
      <c r="Z62" s="1048">
        <v>0</v>
      </c>
      <c r="AA62" s="1048">
        <v>0</v>
      </c>
      <c r="AB62" s="1048">
        <v>0</v>
      </c>
      <c r="AC62" s="1048">
        <v>1</v>
      </c>
      <c r="AD62" s="1048">
        <v>1</v>
      </c>
      <c r="AE62" s="1048">
        <v>0</v>
      </c>
      <c r="AF62" s="1048">
        <v>2</v>
      </c>
      <c r="AG62" s="1047"/>
      <c r="AH62" s="1048">
        <v>2</v>
      </c>
      <c r="AI62" s="1048">
        <v>2</v>
      </c>
      <c r="AJ62" s="1048">
        <v>1</v>
      </c>
      <c r="AK62" s="1048">
        <v>0</v>
      </c>
      <c r="AL62" s="1048">
        <v>1</v>
      </c>
      <c r="AM62" s="1478"/>
      <c r="AN62" s="1057">
        <f>RANK(D62,D$7:D$72,0)</f>
        <v>17</v>
      </c>
      <c r="AO62" s="360"/>
      <c r="AP62" s="360">
        <f t="shared" si="1"/>
        <v>11</v>
      </c>
      <c r="AQ62" s="361">
        <f t="shared" si="2"/>
        <v>9</v>
      </c>
    </row>
    <row r="63" spans="1:43" s="249" customFormat="1" x14ac:dyDescent="0.2">
      <c r="A63" s="1471">
        <v>29</v>
      </c>
      <c r="B63" s="1469" t="s">
        <v>169</v>
      </c>
      <c r="C63" s="1073"/>
      <c r="D63" s="1045">
        <f t="shared" si="3"/>
        <v>0</v>
      </c>
      <c r="E63" s="1477">
        <v>29</v>
      </c>
      <c r="F63" s="1051" t="s">
        <v>121</v>
      </c>
      <c r="G63" s="1043" t="s">
        <v>265</v>
      </c>
      <c r="H63" s="1043" t="s">
        <v>371</v>
      </c>
      <c r="I63" s="1043" t="s">
        <v>674</v>
      </c>
      <c r="J63" s="1043" t="s">
        <v>119</v>
      </c>
      <c r="K63" s="1043" t="s">
        <v>316</v>
      </c>
      <c r="L63" s="1043" t="s">
        <v>278</v>
      </c>
      <c r="M63" s="1043" t="s">
        <v>674</v>
      </c>
      <c r="N63" s="1043" t="s">
        <v>270</v>
      </c>
      <c r="O63" s="1043" t="s">
        <v>554</v>
      </c>
      <c r="P63" s="1043" t="s">
        <v>121</v>
      </c>
      <c r="Q63" s="1043" t="s">
        <v>265</v>
      </c>
      <c r="R63" s="1043" t="s">
        <v>277</v>
      </c>
      <c r="S63" s="1043" t="s">
        <v>673</v>
      </c>
      <c r="T63" s="1043" t="s">
        <v>119</v>
      </c>
      <c r="U63" s="1043" t="s">
        <v>121</v>
      </c>
      <c r="V63" s="1044" t="s">
        <v>676</v>
      </c>
      <c r="W63" s="1051" t="s">
        <v>673</v>
      </c>
      <c r="X63" s="1051" t="s">
        <v>278</v>
      </c>
      <c r="Y63" s="1051" t="s">
        <v>316</v>
      </c>
      <c r="Z63" s="1051" t="s">
        <v>265</v>
      </c>
      <c r="AA63" s="1051" t="s">
        <v>270</v>
      </c>
      <c r="AB63" s="1051" t="s">
        <v>316</v>
      </c>
      <c r="AC63" s="1051" t="s">
        <v>316</v>
      </c>
      <c r="AD63" s="1051" t="s">
        <v>317</v>
      </c>
      <c r="AE63" s="1051" t="s">
        <v>121</v>
      </c>
      <c r="AF63" s="1051" t="s">
        <v>119</v>
      </c>
      <c r="AG63" s="1051" t="s">
        <v>316</v>
      </c>
      <c r="AH63" s="1059"/>
      <c r="AI63" s="1051" t="s">
        <v>265</v>
      </c>
      <c r="AJ63" s="1051" t="s">
        <v>316</v>
      </c>
      <c r="AK63" s="1051" t="s">
        <v>121</v>
      </c>
      <c r="AL63" s="1051" t="s">
        <v>121</v>
      </c>
      <c r="AM63" s="1477">
        <v>29</v>
      </c>
      <c r="AN63" s="1058"/>
      <c r="AO63" s="360"/>
      <c r="AP63" s="360"/>
      <c r="AQ63" s="361"/>
    </row>
    <row r="64" spans="1:43" s="249" customFormat="1" x14ac:dyDescent="0.2">
      <c r="A64" s="1472"/>
      <c r="B64" s="1470"/>
      <c r="C64" s="1074">
        <v>29</v>
      </c>
      <c r="D64" s="1050">
        <f t="shared" si="3"/>
        <v>21</v>
      </c>
      <c r="E64" s="1478"/>
      <c r="F64" s="1048">
        <v>1</v>
      </c>
      <c r="G64" s="1049">
        <v>0</v>
      </c>
      <c r="H64" s="1049">
        <v>1</v>
      </c>
      <c r="I64" s="1049">
        <v>0</v>
      </c>
      <c r="J64" s="1049">
        <v>2</v>
      </c>
      <c r="K64" s="1049">
        <v>0</v>
      </c>
      <c r="L64" s="1049">
        <v>0</v>
      </c>
      <c r="M64" s="1049">
        <v>0</v>
      </c>
      <c r="N64" s="1049">
        <v>0</v>
      </c>
      <c r="O64" s="1049">
        <v>2</v>
      </c>
      <c r="P64" s="1049">
        <v>1</v>
      </c>
      <c r="Q64" s="1049">
        <v>0</v>
      </c>
      <c r="R64" s="1049">
        <v>0</v>
      </c>
      <c r="S64" s="1049">
        <v>2</v>
      </c>
      <c r="T64" s="1049">
        <v>2</v>
      </c>
      <c r="U64" s="1049">
        <v>1</v>
      </c>
      <c r="V64" s="1049">
        <v>0</v>
      </c>
      <c r="W64" s="1048">
        <v>2</v>
      </c>
      <c r="X64" s="1048">
        <v>0</v>
      </c>
      <c r="Y64" s="1048">
        <v>0</v>
      </c>
      <c r="Z64" s="1048">
        <v>0</v>
      </c>
      <c r="AA64" s="1048">
        <v>0</v>
      </c>
      <c r="AB64" s="1048">
        <v>0</v>
      </c>
      <c r="AC64" s="1048">
        <v>0</v>
      </c>
      <c r="AD64" s="1048">
        <v>2</v>
      </c>
      <c r="AE64" s="1048">
        <v>1</v>
      </c>
      <c r="AF64" s="1048">
        <v>2</v>
      </c>
      <c r="AG64" s="1048">
        <v>0</v>
      </c>
      <c r="AH64" s="1047"/>
      <c r="AI64" s="1048">
        <v>0</v>
      </c>
      <c r="AJ64" s="1048">
        <v>0</v>
      </c>
      <c r="AK64" s="1048">
        <v>1</v>
      </c>
      <c r="AL64" s="1048">
        <v>1</v>
      </c>
      <c r="AM64" s="1478"/>
      <c r="AN64" s="1057">
        <f>RANK(D64,D$7:D$72,0)</f>
        <v>28</v>
      </c>
      <c r="AO64" s="360"/>
      <c r="AP64" s="360">
        <f t="shared" si="1"/>
        <v>7</v>
      </c>
      <c r="AQ64" s="361">
        <f t="shared" si="2"/>
        <v>7</v>
      </c>
    </row>
    <row r="65" spans="1:43" s="249" customFormat="1" x14ac:dyDescent="0.2">
      <c r="A65" s="1471">
        <v>30</v>
      </c>
      <c r="B65" s="1469" t="s">
        <v>179</v>
      </c>
      <c r="C65" s="1073"/>
      <c r="D65" s="1045">
        <f t="shared" si="3"/>
        <v>0</v>
      </c>
      <c r="E65" s="1479">
        <v>30</v>
      </c>
      <c r="F65" s="1055" t="s">
        <v>676</v>
      </c>
      <c r="G65" s="1043" t="s">
        <v>277</v>
      </c>
      <c r="H65" s="1043" t="s">
        <v>270</v>
      </c>
      <c r="I65" s="1043" t="s">
        <v>674</v>
      </c>
      <c r="J65" s="1043" t="s">
        <v>265</v>
      </c>
      <c r="K65" s="1043" t="s">
        <v>265</v>
      </c>
      <c r="L65" s="1043" t="s">
        <v>119</v>
      </c>
      <c r="M65" s="1043" t="s">
        <v>121</v>
      </c>
      <c r="N65" s="1043" t="s">
        <v>265</v>
      </c>
      <c r="O65" s="1043" t="s">
        <v>370</v>
      </c>
      <c r="P65" s="1051" t="s">
        <v>680</v>
      </c>
      <c r="Q65" s="1051" t="s">
        <v>270</v>
      </c>
      <c r="R65" s="1051" t="s">
        <v>121</v>
      </c>
      <c r="S65" s="1051" t="s">
        <v>265</v>
      </c>
      <c r="T65" s="1051" t="s">
        <v>680</v>
      </c>
      <c r="U65" s="1051" t="s">
        <v>119</v>
      </c>
      <c r="V65" s="1055" t="s">
        <v>676</v>
      </c>
      <c r="W65" s="1051" t="s">
        <v>278</v>
      </c>
      <c r="X65" s="1051" t="s">
        <v>268</v>
      </c>
      <c r="Y65" s="1051" t="s">
        <v>121</v>
      </c>
      <c r="Z65" s="1051" t="s">
        <v>121</v>
      </c>
      <c r="AA65" s="1051" t="s">
        <v>268</v>
      </c>
      <c r="AB65" s="1051" t="s">
        <v>680</v>
      </c>
      <c r="AC65" s="1051" t="s">
        <v>680</v>
      </c>
      <c r="AD65" s="1051" t="s">
        <v>680</v>
      </c>
      <c r="AE65" s="1051" t="s">
        <v>121</v>
      </c>
      <c r="AF65" s="1051" t="s">
        <v>119</v>
      </c>
      <c r="AG65" s="1051" t="s">
        <v>316</v>
      </c>
      <c r="AH65" s="1051" t="s">
        <v>119</v>
      </c>
      <c r="AI65" s="1059"/>
      <c r="AJ65" s="1051" t="s">
        <v>268</v>
      </c>
      <c r="AK65" s="1051" t="s">
        <v>270</v>
      </c>
      <c r="AL65" s="1051" t="s">
        <v>680</v>
      </c>
      <c r="AM65" s="1479">
        <v>30</v>
      </c>
      <c r="AN65" s="1058"/>
      <c r="AO65" s="360"/>
      <c r="AP65" s="360"/>
      <c r="AQ65" s="361"/>
    </row>
    <row r="66" spans="1:43" s="249" customFormat="1" x14ac:dyDescent="0.2">
      <c r="A66" s="1472"/>
      <c r="B66" s="1470"/>
      <c r="C66" s="1074">
        <v>28</v>
      </c>
      <c r="D66" s="1050">
        <f t="shared" si="3"/>
        <v>21</v>
      </c>
      <c r="E66" s="1480"/>
      <c r="F66" s="1049">
        <v>0</v>
      </c>
      <c r="G66" s="1049">
        <v>0</v>
      </c>
      <c r="H66" s="1049">
        <v>0</v>
      </c>
      <c r="I66" s="1049">
        <v>0</v>
      </c>
      <c r="J66" s="1049">
        <v>0</v>
      </c>
      <c r="K66" s="1049">
        <v>0</v>
      </c>
      <c r="L66" s="1049">
        <v>2</v>
      </c>
      <c r="M66" s="1049">
        <v>1</v>
      </c>
      <c r="N66" s="1049">
        <v>0</v>
      </c>
      <c r="O66" s="1049">
        <v>2</v>
      </c>
      <c r="P66" s="1049">
        <v>0</v>
      </c>
      <c r="Q66" s="1049">
        <v>0</v>
      </c>
      <c r="R66" s="1049">
        <v>1</v>
      </c>
      <c r="S66" s="1049">
        <v>0</v>
      </c>
      <c r="T66" s="1049">
        <v>0</v>
      </c>
      <c r="U66" s="1049">
        <v>2</v>
      </c>
      <c r="V66" s="1049">
        <v>0</v>
      </c>
      <c r="W66" s="1048">
        <v>0</v>
      </c>
      <c r="X66" s="1048">
        <v>2</v>
      </c>
      <c r="Y66" s="1048">
        <v>1</v>
      </c>
      <c r="Z66" s="1048">
        <v>1</v>
      </c>
      <c r="AA66" s="1048">
        <v>2</v>
      </c>
      <c r="AB66" s="1048">
        <v>0</v>
      </c>
      <c r="AC66" s="1048">
        <v>0</v>
      </c>
      <c r="AD66" s="1048">
        <v>0</v>
      </c>
      <c r="AE66" s="1048">
        <v>1</v>
      </c>
      <c r="AF66" s="1048">
        <v>2</v>
      </c>
      <c r="AG66" s="1048">
        <v>0</v>
      </c>
      <c r="AH66" s="1048">
        <v>2</v>
      </c>
      <c r="AI66" s="1047"/>
      <c r="AJ66" s="1048">
        <v>2</v>
      </c>
      <c r="AK66" s="1048">
        <v>0</v>
      </c>
      <c r="AL66" s="1048">
        <v>0</v>
      </c>
      <c r="AM66" s="1480"/>
      <c r="AN66" s="1057">
        <f>RANK(D66,D$7:D$72,0)</f>
        <v>28</v>
      </c>
      <c r="AO66" s="360"/>
      <c r="AP66" s="360">
        <f t="shared" si="1"/>
        <v>8</v>
      </c>
      <c r="AQ66" s="361">
        <f t="shared" si="2"/>
        <v>5</v>
      </c>
    </row>
    <row r="67" spans="1:43" s="249" customFormat="1" x14ac:dyDescent="0.2">
      <c r="A67" s="1471">
        <v>31</v>
      </c>
      <c r="B67" s="1469" t="s">
        <v>183</v>
      </c>
      <c r="C67" s="1073"/>
      <c r="D67" s="1045">
        <f t="shared" si="3"/>
        <v>0</v>
      </c>
      <c r="E67" s="1477">
        <v>31</v>
      </c>
      <c r="F67" s="1051" t="s">
        <v>673</v>
      </c>
      <c r="G67" s="1043" t="s">
        <v>121</v>
      </c>
      <c r="H67" s="1043" t="s">
        <v>278</v>
      </c>
      <c r="I67" s="1043" t="s">
        <v>119</v>
      </c>
      <c r="J67" s="1043" t="s">
        <v>265</v>
      </c>
      <c r="K67" s="1043" t="s">
        <v>265</v>
      </c>
      <c r="L67" s="1043" t="s">
        <v>675</v>
      </c>
      <c r="M67" s="1043" t="s">
        <v>554</v>
      </c>
      <c r="N67" s="1043" t="s">
        <v>265</v>
      </c>
      <c r="O67" s="1043" t="s">
        <v>119</v>
      </c>
      <c r="P67" s="1043" t="s">
        <v>121</v>
      </c>
      <c r="Q67" s="1043" t="s">
        <v>121</v>
      </c>
      <c r="R67" s="1043" t="s">
        <v>317</v>
      </c>
      <c r="S67" s="1043" t="s">
        <v>673</v>
      </c>
      <c r="T67" s="1043" t="s">
        <v>268</v>
      </c>
      <c r="U67" s="1043" t="s">
        <v>316</v>
      </c>
      <c r="V67" s="1044" t="s">
        <v>676</v>
      </c>
      <c r="W67" s="1051" t="s">
        <v>673</v>
      </c>
      <c r="X67" s="1051" t="s">
        <v>265</v>
      </c>
      <c r="Y67" s="1051" t="s">
        <v>371</v>
      </c>
      <c r="Z67" s="1051" t="s">
        <v>317</v>
      </c>
      <c r="AA67" s="1051" t="s">
        <v>370</v>
      </c>
      <c r="AB67" s="1051" t="s">
        <v>270</v>
      </c>
      <c r="AC67" s="1051" t="s">
        <v>268</v>
      </c>
      <c r="AD67" s="1051" t="s">
        <v>316</v>
      </c>
      <c r="AE67" s="1051" t="s">
        <v>675</v>
      </c>
      <c r="AF67" s="1051" t="s">
        <v>268</v>
      </c>
      <c r="AG67" s="1051" t="s">
        <v>121</v>
      </c>
      <c r="AH67" s="1051" t="s">
        <v>317</v>
      </c>
      <c r="AI67" s="1051" t="s">
        <v>270</v>
      </c>
      <c r="AJ67" s="1042"/>
      <c r="AK67" s="1051" t="s">
        <v>268</v>
      </c>
      <c r="AL67" s="1051" t="s">
        <v>317</v>
      </c>
      <c r="AM67" s="1477">
        <v>31</v>
      </c>
      <c r="AN67" s="1058"/>
      <c r="AO67" s="360"/>
      <c r="AP67" s="360"/>
      <c r="AQ67" s="361"/>
    </row>
    <row r="68" spans="1:43" s="249" customFormat="1" x14ac:dyDescent="0.2">
      <c r="A68" s="1472"/>
      <c r="B68" s="1470"/>
      <c r="C68" s="1074">
        <v>10</v>
      </c>
      <c r="D68" s="1050">
        <f t="shared" si="3"/>
        <v>35</v>
      </c>
      <c r="E68" s="1478"/>
      <c r="F68" s="1048">
        <v>2</v>
      </c>
      <c r="G68" s="1049">
        <v>1</v>
      </c>
      <c r="H68" s="1049">
        <v>0</v>
      </c>
      <c r="I68" s="1049">
        <v>2</v>
      </c>
      <c r="J68" s="1049">
        <v>0</v>
      </c>
      <c r="K68" s="1049">
        <v>0</v>
      </c>
      <c r="L68" s="1049">
        <v>0</v>
      </c>
      <c r="M68" s="1049">
        <v>2</v>
      </c>
      <c r="N68" s="1049">
        <v>0</v>
      </c>
      <c r="O68" s="1049">
        <v>2</v>
      </c>
      <c r="P68" s="1049">
        <v>1</v>
      </c>
      <c r="Q68" s="1049">
        <v>1</v>
      </c>
      <c r="R68" s="1049">
        <v>2</v>
      </c>
      <c r="S68" s="1049">
        <v>2</v>
      </c>
      <c r="T68" s="1049">
        <v>2</v>
      </c>
      <c r="U68" s="1049">
        <v>0</v>
      </c>
      <c r="V68" s="1049">
        <v>0</v>
      </c>
      <c r="W68" s="1048">
        <v>2</v>
      </c>
      <c r="X68" s="1048">
        <v>0</v>
      </c>
      <c r="Y68" s="1048">
        <v>1</v>
      </c>
      <c r="Z68" s="1048">
        <v>2</v>
      </c>
      <c r="AA68" s="1048">
        <v>2</v>
      </c>
      <c r="AB68" s="1048">
        <v>0</v>
      </c>
      <c r="AC68" s="1048">
        <v>2</v>
      </c>
      <c r="AD68" s="1048">
        <v>0</v>
      </c>
      <c r="AE68" s="1048">
        <v>0</v>
      </c>
      <c r="AF68" s="1048">
        <v>2</v>
      </c>
      <c r="AG68" s="1048">
        <v>1</v>
      </c>
      <c r="AH68" s="1048">
        <v>2</v>
      </c>
      <c r="AI68" s="1048">
        <v>0</v>
      </c>
      <c r="AJ68" s="1047"/>
      <c r="AK68" s="1048">
        <v>2</v>
      </c>
      <c r="AL68" s="1048">
        <v>2</v>
      </c>
      <c r="AM68" s="1478"/>
      <c r="AN68" s="1057">
        <f>RANK(D68,D$7:D$72,0)</f>
        <v>8</v>
      </c>
      <c r="AO68" s="360"/>
      <c r="AP68" s="360">
        <f t="shared" si="1"/>
        <v>15</v>
      </c>
      <c r="AQ68" s="361">
        <f t="shared" si="2"/>
        <v>5</v>
      </c>
    </row>
    <row r="69" spans="1:43" s="249" customFormat="1" x14ac:dyDescent="0.2">
      <c r="A69" s="1471">
        <v>32</v>
      </c>
      <c r="B69" s="1467" t="s">
        <v>332</v>
      </c>
      <c r="C69" s="1073"/>
      <c r="D69" s="1045">
        <f t="shared" si="3"/>
        <v>0</v>
      </c>
      <c r="E69" s="1479">
        <v>32</v>
      </c>
      <c r="F69" s="1051" t="s">
        <v>673</v>
      </c>
      <c r="G69" s="1060" t="s">
        <v>317</v>
      </c>
      <c r="H69" s="1051" t="s">
        <v>680</v>
      </c>
      <c r="I69" s="1043" t="s">
        <v>121</v>
      </c>
      <c r="J69" s="1043" t="s">
        <v>268</v>
      </c>
      <c r="K69" s="1043" t="s">
        <v>278</v>
      </c>
      <c r="L69" s="1043" t="s">
        <v>317</v>
      </c>
      <c r="M69" s="1043" t="s">
        <v>316</v>
      </c>
      <c r="N69" s="1043" t="s">
        <v>370</v>
      </c>
      <c r="O69" s="1043" t="s">
        <v>674</v>
      </c>
      <c r="P69" s="1043" t="s">
        <v>370</v>
      </c>
      <c r="Q69" s="1043" t="s">
        <v>317</v>
      </c>
      <c r="R69" s="1043" t="s">
        <v>675</v>
      </c>
      <c r="S69" s="1043" t="s">
        <v>673</v>
      </c>
      <c r="T69" s="1043" t="s">
        <v>121</v>
      </c>
      <c r="U69" s="1043" t="s">
        <v>316</v>
      </c>
      <c r="V69" s="1044" t="s">
        <v>676</v>
      </c>
      <c r="W69" s="1051" t="s">
        <v>121</v>
      </c>
      <c r="X69" s="1051" t="s">
        <v>316</v>
      </c>
      <c r="Y69" s="1061" t="s">
        <v>316</v>
      </c>
      <c r="Z69" s="1051" t="s">
        <v>119</v>
      </c>
      <c r="AA69" s="1051" t="s">
        <v>121</v>
      </c>
      <c r="AB69" s="1051" t="s">
        <v>270</v>
      </c>
      <c r="AC69" s="1051" t="s">
        <v>680</v>
      </c>
      <c r="AD69" s="1061" t="s">
        <v>316</v>
      </c>
      <c r="AE69" s="1051" t="s">
        <v>121</v>
      </c>
      <c r="AF69" s="1051" t="s">
        <v>642</v>
      </c>
      <c r="AG69" s="1051" t="s">
        <v>370</v>
      </c>
      <c r="AH69" s="1051" t="s">
        <v>121</v>
      </c>
      <c r="AI69" s="1051" t="s">
        <v>268</v>
      </c>
      <c r="AJ69" s="1051" t="s">
        <v>270</v>
      </c>
      <c r="AK69" s="1042"/>
      <c r="AL69" s="1051" t="s">
        <v>371</v>
      </c>
      <c r="AM69" s="1479">
        <v>32</v>
      </c>
      <c r="AN69" s="1058"/>
      <c r="AO69" s="360"/>
      <c r="AP69" s="360"/>
      <c r="AQ69" s="361"/>
    </row>
    <row r="70" spans="1:43" s="249" customFormat="1" x14ac:dyDescent="0.2">
      <c r="A70" s="1472"/>
      <c r="B70" s="1468"/>
      <c r="C70" s="1074">
        <v>19</v>
      </c>
      <c r="D70" s="1050">
        <f t="shared" si="3"/>
        <v>31</v>
      </c>
      <c r="E70" s="1480"/>
      <c r="F70" s="1048">
        <v>2</v>
      </c>
      <c r="G70" s="1049">
        <v>2</v>
      </c>
      <c r="H70" s="1049">
        <v>0</v>
      </c>
      <c r="I70" s="1049">
        <v>1</v>
      </c>
      <c r="J70" s="1049">
        <v>2</v>
      </c>
      <c r="K70" s="1049">
        <v>0</v>
      </c>
      <c r="L70" s="1049">
        <v>2</v>
      </c>
      <c r="M70" s="1049">
        <v>0</v>
      </c>
      <c r="N70" s="1049">
        <v>2</v>
      </c>
      <c r="O70" s="1049">
        <v>0</v>
      </c>
      <c r="P70" s="1049">
        <v>2</v>
      </c>
      <c r="Q70" s="1049">
        <v>2</v>
      </c>
      <c r="R70" s="1049">
        <v>0</v>
      </c>
      <c r="S70" s="1049">
        <v>2</v>
      </c>
      <c r="T70" s="1049">
        <v>1</v>
      </c>
      <c r="U70" s="1049">
        <v>0</v>
      </c>
      <c r="V70" s="1049">
        <v>0</v>
      </c>
      <c r="W70" s="1048">
        <v>1</v>
      </c>
      <c r="X70" s="1048">
        <v>0</v>
      </c>
      <c r="Y70" s="1048">
        <v>0</v>
      </c>
      <c r="Z70" s="1048">
        <v>2</v>
      </c>
      <c r="AA70" s="1048">
        <v>1</v>
      </c>
      <c r="AB70" s="1048">
        <v>0</v>
      </c>
      <c r="AC70" s="1048">
        <v>0</v>
      </c>
      <c r="AD70" s="1048">
        <v>0</v>
      </c>
      <c r="AE70" s="1048">
        <v>1</v>
      </c>
      <c r="AF70" s="1048">
        <v>2</v>
      </c>
      <c r="AG70" s="1048">
        <v>2</v>
      </c>
      <c r="AH70" s="1048">
        <v>1</v>
      </c>
      <c r="AI70" s="1048">
        <v>2</v>
      </c>
      <c r="AJ70" s="1048">
        <v>0</v>
      </c>
      <c r="AK70" s="1047"/>
      <c r="AL70" s="1048">
        <v>1</v>
      </c>
      <c r="AM70" s="1480"/>
      <c r="AN70" s="1057">
        <f>RANK(D70,D$7:D$72,0)</f>
        <v>17</v>
      </c>
      <c r="AO70" s="360"/>
      <c r="AP70" s="360">
        <f t="shared" si="1"/>
        <v>12</v>
      </c>
      <c r="AQ70" s="361">
        <f t="shared" si="2"/>
        <v>7</v>
      </c>
    </row>
    <row r="71" spans="1:43" s="249" customFormat="1" x14ac:dyDescent="0.2">
      <c r="A71" s="1471">
        <v>33</v>
      </c>
      <c r="B71" s="1469" t="s">
        <v>351</v>
      </c>
      <c r="C71" s="1073"/>
      <c r="D71" s="1045">
        <f t="shared" si="3"/>
        <v>0</v>
      </c>
      <c r="E71" s="1477">
        <v>33</v>
      </c>
      <c r="F71" s="1051" t="s">
        <v>673</v>
      </c>
      <c r="G71" s="1060" t="s">
        <v>673</v>
      </c>
      <c r="H71" s="1043" t="s">
        <v>278</v>
      </c>
      <c r="I71" s="1043" t="s">
        <v>265</v>
      </c>
      <c r="J71" s="1043" t="s">
        <v>317</v>
      </c>
      <c r="K71" s="1043" t="s">
        <v>677</v>
      </c>
      <c r="L71" s="1043" t="s">
        <v>642</v>
      </c>
      <c r="M71" s="1043" t="s">
        <v>121</v>
      </c>
      <c r="N71" s="1051" t="s">
        <v>673</v>
      </c>
      <c r="O71" s="1043" t="s">
        <v>268</v>
      </c>
      <c r="P71" s="1043" t="s">
        <v>370</v>
      </c>
      <c r="Q71" s="1043" t="s">
        <v>278</v>
      </c>
      <c r="R71" s="1043" t="s">
        <v>265</v>
      </c>
      <c r="S71" s="1043" t="s">
        <v>642</v>
      </c>
      <c r="T71" s="1043" t="s">
        <v>121</v>
      </c>
      <c r="U71" s="1043" t="s">
        <v>554</v>
      </c>
      <c r="V71" s="1044" t="s">
        <v>676</v>
      </c>
      <c r="W71" s="1051" t="s">
        <v>268</v>
      </c>
      <c r="X71" s="1051" t="s">
        <v>265</v>
      </c>
      <c r="Y71" s="1051" t="s">
        <v>270</v>
      </c>
      <c r="Z71" s="1051" t="s">
        <v>642</v>
      </c>
      <c r="AA71" s="1051" t="s">
        <v>121</v>
      </c>
      <c r="AB71" s="1051" t="s">
        <v>265</v>
      </c>
      <c r="AC71" s="1051" t="s">
        <v>316</v>
      </c>
      <c r="AD71" s="1051" t="s">
        <v>316</v>
      </c>
      <c r="AE71" s="1051" t="s">
        <v>317</v>
      </c>
      <c r="AF71" s="1051" t="s">
        <v>642</v>
      </c>
      <c r="AG71" s="1051" t="s">
        <v>121</v>
      </c>
      <c r="AH71" s="1051" t="s">
        <v>121</v>
      </c>
      <c r="AI71" s="1051" t="s">
        <v>673</v>
      </c>
      <c r="AJ71" s="1051" t="s">
        <v>316</v>
      </c>
      <c r="AK71" s="1051" t="s">
        <v>371</v>
      </c>
      <c r="AL71" s="1059"/>
      <c r="AM71" s="1477">
        <v>33</v>
      </c>
      <c r="AN71" s="1058"/>
      <c r="AO71" s="360"/>
      <c r="AP71" s="360"/>
      <c r="AQ71" s="361"/>
    </row>
    <row r="72" spans="1:43" s="249" customFormat="1" x14ac:dyDescent="0.2">
      <c r="A72" s="1472"/>
      <c r="B72" s="1470"/>
      <c r="C72" s="1074">
        <v>7</v>
      </c>
      <c r="D72" s="1050">
        <f t="shared" si="3"/>
        <v>36</v>
      </c>
      <c r="E72" s="1478"/>
      <c r="F72" s="1048">
        <v>2</v>
      </c>
      <c r="G72" s="1049">
        <v>2</v>
      </c>
      <c r="H72" s="1049">
        <v>0</v>
      </c>
      <c r="I72" s="1049">
        <v>0</v>
      </c>
      <c r="J72" s="1049">
        <v>2</v>
      </c>
      <c r="K72" s="1049">
        <v>2</v>
      </c>
      <c r="L72" s="1049">
        <v>2</v>
      </c>
      <c r="M72" s="1049">
        <v>1</v>
      </c>
      <c r="N72" s="1049">
        <v>2</v>
      </c>
      <c r="O72" s="1049">
        <v>2</v>
      </c>
      <c r="P72" s="1049">
        <v>2</v>
      </c>
      <c r="Q72" s="1049">
        <v>0</v>
      </c>
      <c r="R72" s="1049">
        <v>0</v>
      </c>
      <c r="S72" s="1049">
        <v>2</v>
      </c>
      <c r="T72" s="1049">
        <v>1</v>
      </c>
      <c r="U72" s="1049">
        <v>2</v>
      </c>
      <c r="V72" s="1049">
        <v>0</v>
      </c>
      <c r="W72" s="1048">
        <v>2</v>
      </c>
      <c r="X72" s="1048">
        <v>0</v>
      </c>
      <c r="Y72" s="1048">
        <v>0</v>
      </c>
      <c r="Z72" s="1048">
        <v>2</v>
      </c>
      <c r="AA72" s="1048">
        <v>1</v>
      </c>
      <c r="AB72" s="1048">
        <v>0</v>
      </c>
      <c r="AC72" s="1048">
        <v>0</v>
      </c>
      <c r="AD72" s="1048">
        <v>0</v>
      </c>
      <c r="AE72" s="1048">
        <v>2</v>
      </c>
      <c r="AF72" s="1048">
        <v>2</v>
      </c>
      <c r="AG72" s="1048">
        <v>1</v>
      </c>
      <c r="AH72" s="1048">
        <v>1</v>
      </c>
      <c r="AI72" s="1048">
        <v>2</v>
      </c>
      <c r="AJ72" s="1048">
        <v>0</v>
      </c>
      <c r="AK72" s="1048">
        <v>1</v>
      </c>
      <c r="AL72" s="1047"/>
      <c r="AM72" s="1478"/>
      <c r="AN72" s="1057">
        <f>RANK(D72,D$7:D$72,0)</f>
        <v>7</v>
      </c>
      <c r="AO72" s="360"/>
      <c r="AP72" s="360">
        <f t="shared" si="1"/>
        <v>15</v>
      </c>
      <c r="AQ72" s="361">
        <f t="shared" si="2"/>
        <v>6</v>
      </c>
    </row>
    <row r="73" spans="1:43" s="249" customFormat="1" ht="34.5" customHeight="1" x14ac:dyDescent="0.2">
      <c r="A73" s="1134" t="s">
        <v>143</v>
      </c>
      <c r="B73" s="1135" t="s">
        <v>84</v>
      </c>
      <c r="C73" s="1136" t="s">
        <v>145</v>
      </c>
      <c r="D73" s="1136" t="s">
        <v>144</v>
      </c>
      <c r="E73" s="1135" t="s">
        <v>143</v>
      </c>
      <c r="F73" s="1135">
        <v>1</v>
      </c>
      <c r="G73" s="1135">
        <v>2</v>
      </c>
      <c r="H73" s="1135">
        <v>3</v>
      </c>
      <c r="I73" s="1135">
        <v>4</v>
      </c>
      <c r="J73" s="1135">
        <v>5</v>
      </c>
      <c r="K73" s="1135">
        <v>6</v>
      </c>
      <c r="L73" s="1135">
        <v>7</v>
      </c>
      <c r="M73" s="1135">
        <v>8</v>
      </c>
      <c r="N73" s="1135">
        <v>9</v>
      </c>
      <c r="O73" s="1135">
        <v>10</v>
      </c>
      <c r="P73" s="1135">
        <v>11</v>
      </c>
      <c r="Q73" s="1135">
        <v>12</v>
      </c>
      <c r="R73" s="1135">
        <v>13</v>
      </c>
      <c r="S73" s="1135">
        <v>14</v>
      </c>
      <c r="T73" s="1135">
        <v>15</v>
      </c>
      <c r="U73" s="1135">
        <v>16</v>
      </c>
      <c r="V73" s="1135">
        <v>17</v>
      </c>
      <c r="W73" s="1135">
        <v>18</v>
      </c>
      <c r="X73" s="1135">
        <v>19</v>
      </c>
      <c r="Y73" s="1135">
        <v>20</v>
      </c>
      <c r="Z73" s="1135">
        <v>21</v>
      </c>
      <c r="AA73" s="1135">
        <v>22</v>
      </c>
      <c r="AB73" s="1135">
        <v>23</v>
      </c>
      <c r="AC73" s="1135">
        <v>24</v>
      </c>
      <c r="AD73" s="1135">
        <v>25</v>
      </c>
      <c r="AE73" s="1135">
        <v>26</v>
      </c>
      <c r="AF73" s="1135">
        <v>27</v>
      </c>
      <c r="AG73" s="1135">
        <v>28</v>
      </c>
      <c r="AH73" s="1135">
        <v>29</v>
      </c>
      <c r="AI73" s="1135">
        <v>30</v>
      </c>
      <c r="AJ73" s="1135">
        <v>31</v>
      </c>
      <c r="AK73" s="1135">
        <v>32</v>
      </c>
      <c r="AL73" s="1135">
        <v>33</v>
      </c>
      <c r="AM73" s="1135" t="s">
        <v>143</v>
      </c>
      <c r="AN73" s="306" t="s">
        <v>145</v>
      </c>
      <c r="AO73" s="1086" t="s">
        <v>75</v>
      </c>
      <c r="AP73" s="1086" t="s">
        <v>77</v>
      </c>
      <c r="AQ73" s="1086" t="s">
        <v>146</v>
      </c>
    </row>
    <row r="74" spans="1:43" x14ac:dyDescent="0.2">
      <c r="AP74" s="1086"/>
      <c r="AQ74" s="1086"/>
    </row>
    <row r="75" spans="1:43" x14ac:dyDescent="0.2">
      <c r="A75" s="802" t="s">
        <v>122</v>
      </c>
      <c r="C75" s="152"/>
      <c r="D75" s="152"/>
      <c r="E75" s="152"/>
      <c r="AA75" s="802" t="s">
        <v>690</v>
      </c>
      <c r="AM75" s="219"/>
      <c r="AP75" s="1086"/>
      <c r="AQ75" s="1086"/>
    </row>
    <row r="76" spans="1:43" x14ac:dyDescent="0.2">
      <c r="C76" s="152"/>
      <c r="D76" s="152"/>
      <c r="E76" s="152"/>
      <c r="AM76" s="213"/>
    </row>
    <row r="77" spans="1:43" x14ac:dyDescent="0.2">
      <c r="A77" s="200">
        <v>1</v>
      </c>
      <c r="B77" s="257" t="s">
        <v>160</v>
      </c>
      <c r="E77" s="200">
        <v>12</v>
      </c>
      <c r="F77" s="1068" t="s">
        <v>176</v>
      </c>
      <c r="G77" s="1080"/>
      <c r="H77" s="1081"/>
      <c r="I77" s="1081"/>
      <c r="J77" s="1081"/>
      <c r="K77" s="1082"/>
      <c r="P77" s="200">
        <v>23</v>
      </c>
      <c r="Q77" s="1068" t="s">
        <v>614</v>
      </c>
      <c r="R77" s="1069"/>
      <c r="S77" s="1069"/>
      <c r="T77" s="1069"/>
      <c r="U77" s="812"/>
      <c r="V77" s="801" t="s">
        <v>406</v>
      </c>
      <c r="Z77" s="258">
        <v>1</v>
      </c>
      <c r="AA77" s="1127" t="s">
        <v>354</v>
      </c>
      <c r="AB77" s="1114"/>
      <c r="AC77" s="1114"/>
      <c r="AD77" s="1114"/>
      <c r="AE77" s="1114"/>
      <c r="AF77" s="258"/>
      <c r="AG77" s="258"/>
      <c r="AM77" s="152"/>
      <c r="AN77" s="258"/>
      <c r="AO77" s="258"/>
      <c r="AP77" s="258"/>
      <c r="AQ77" s="258"/>
    </row>
    <row r="78" spans="1:43" x14ac:dyDescent="0.2">
      <c r="A78" s="200">
        <v>2</v>
      </c>
      <c r="B78" s="934" t="s">
        <v>158</v>
      </c>
      <c r="E78" s="200">
        <v>13</v>
      </c>
      <c r="F78" s="1070" t="s">
        <v>184</v>
      </c>
      <c r="G78" s="1080"/>
      <c r="H78" s="1081"/>
      <c r="I78" s="1081"/>
      <c r="J78" s="1081"/>
      <c r="K78" s="1082"/>
      <c r="P78" s="200">
        <v>24</v>
      </c>
      <c r="Q78" s="1070" t="s">
        <v>436</v>
      </c>
      <c r="R78" s="1069"/>
      <c r="S78" s="1069"/>
      <c r="T78" s="1069"/>
      <c r="U78" s="812"/>
      <c r="V78" s="801" t="s">
        <v>406</v>
      </c>
      <c r="Z78" s="258">
        <v>2</v>
      </c>
      <c r="AA78" s="1115" t="s">
        <v>351</v>
      </c>
      <c r="AB78" s="1115"/>
      <c r="AC78" s="1132"/>
      <c r="AD78" s="1131"/>
      <c r="AE78" s="1131"/>
      <c r="AF78" s="258"/>
      <c r="AG78" s="258"/>
      <c r="AM78" s="152"/>
      <c r="AN78" s="258"/>
      <c r="AO78" s="258"/>
      <c r="AP78" s="258"/>
      <c r="AQ78" s="258"/>
    </row>
    <row r="79" spans="1:43" x14ac:dyDescent="0.2">
      <c r="A79" s="200">
        <v>3</v>
      </c>
      <c r="B79" s="935" t="s">
        <v>167</v>
      </c>
      <c r="E79" s="200">
        <v>14</v>
      </c>
      <c r="F79" s="1068" t="s">
        <v>182</v>
      </c>
      <c r="G79" s="1080"/>
      <c r="H79" s="1081"/>
      <c r="I79" s="1081"/>
      <c r="J79" s="1081"/>
      <c r="K79" s="1082"/>
      <c r="P79" s="200">
        <v>25</v>
      </c>
      <c r="Q79" s="1068" t="s">
        <v>162</v>
      </c>
      <c r="R79" s="1069"/>
      <c r="S79" s="1069"/>
      <c r="T79" s="1069"/>
      <c r="U79" s="812"/>
      <c r="Z79" s="258">
        <v>3</v>
      </c>
      <c r="AA79" s="1116" t="s">
        <v>355</v>
      </c>
      <c r="AB79" s="1116"/>
      <c r="AC79" s="1116"/>
      <c r="AD79" s="1116"/>
      <c r="AE79" s="1116"/>
      <c r="AF79" s="258"/>
      <c r="AG79" s="258"/>
      <c r="AM79" s="152"/>
      <c r="AN79" s="258"/>
      <c r="AO79" s="258"/>
      <c r="AP79" s="258"/>
      <c r="AQ79" s="258"/>
    </row>
    <row r="80" spans="1:43" x14ac:dyDescent="0.2">
      <c r="A80" s="200">
        <v>4</v>
      </c>
      <c r="B80" s="546" t="s">
        <v>354</v>
      </c>
      <c r="C80" s="249" t="s">
        <v>406</v>
      </c>
      <c r="E80" s="200">
        <v>15</v>
      </c>
      <c r="F80" s="1068" t="s">
        <v>170</v>
      </c>
      <c r="G80" s="1080"/>
      <c r="H80" s="1081"/>
      <c r="I80" s="1081"/>
      <c r="J80" s="1081"/>
      <c r="K80" s="1082"/>
      <c r="P80" s="200">
        <v>26</v>
      </c>
      <c r="Q80" s="1068" t="s">
        <v>525</v>
      </c>
      <c r="R80" s="1069"/>
      <c r="S80" s="1069"/>
      <c r="T80" s="1069"/>
      <c r="U80" s="812"/>
      <c r="Z80" s="258">
        <v>4</v>
      </c>
      <c r="AA80" s="258" t="s">
        <v>353</v>
      </c>
      <c r="AB80" s="258"/>
      <c r="AC80" s="258"/>
      <c r="AD80" s="258"/>
      <c r="AE80" s="258"/>
      <c r="AF80" s="258"/>
      <c r="AG80" s="258"/>
      <c r="AM80" s="152"/>
      <c r="AN80" s="258"/>
      <c r="AO80" s="258"/>
      <c r="AP80" s="258"/>
      <c r="AQ80" s="258"/>
    </row>
    <row r="81" spans="1:43" x14ac:dyDescent="0.2">
      <c r="A81" s="200">
        <v>5</v>
      </c>
      <c r="B81" s="200" t="s">
        <v>164</v>
      </c>
      <c r="E81" s="200">
        <v>16</v>
      </c>
      <c r="F81" s="1068" t="s">
        <v>630</v>
      </c>
      <c r="G81" s="1080"/>
      <c r="H81" s="1081"/>
      <c r="I81" s="1081"/>
      <c r="J81" s="1081"/>
      <c r="K81" s="1082"/>
      <c r="P81" s="200">
        <v>27</v>
      </c>
      <c r="Q81" s="1068" t="s">
        <v>349</v>
      </c>
      <c r="R81" s="1069"/>
      <c r="S81" s="1069"/>
      <c r="T81" s="1069"/>
      <c r="U81" s="812"/>
      <c r="V81" s="801" t="s">
        <v>406</v>
      </c>
      <c r="Z81" s="258">
        <v>5</v>
      </c>
      <c r="AA81" s="258" t="s">
        <v>348</v>
      </c>
      <c r="AB81" s="258"/>
      <c r="AC81" s="258"/>
      <c r="AD81" s="258"/>
      <c r="AE81" s="258"/>
      <c r="AF81" s="258"/>
      <c r="AG81" s="258"/>
      <c r="AM81" s="152"/>
      <c r="AN81" s="258"/>
      <c r="AO81" s="258"/>
      <c r="AP81" s="258"/>
      <c r="AQ81" s="258"/>
    </row>
    <row r="82" spans="1:43" x14ac:dyDescent="0.2">
      <c r="A82" s="200">
        <v>6</v>
      </c>
      <c r="B82" s="200" t="s">
        <v>314</v>
      </c>
      <c r="E82" s="200">
        <v>17</v>
      </c>
      <c r="F82" s="1068" t="s">
        <v>355</v>
      </c>
      <c r="G82" s="1080"/>
      <c r="H82" s="1081"/>
      <c r="I82" s="1081"/>
      <c r="J82" s="1081"/>
      <c r="K82" s="1082"/>
      <c r="L82" s="801" t="s">
        <v>406</v>
      </c>
      <c r="P82" s="200">
        <v>28</v>
      </c>
      <c r="Q82" s="1068" t="s">
        <v>179</v>
      </c>
      <c r="R82" s="1069"/>
      <c r="S82" s="1071"/>
      <c r="T82" s="1069"/>
      <c r="U82" s="812"/>
      <c r="Z82" s="258">
        <v>6</v>
      </c>
      <c r="AA82" s="258" t="s">
        <v>445</v>
      </c>
      <c r="AB82" s="258"/>
      <c r="AC82" s="258"/>
      <c r="AD82" s="258"/>
      <c r="AE82" s="258"/>
      <c r="AF82" s="258"/>
      <c r="AG82" s="258"/>
      <c r="AH82" s="258"/>
      <c r="AI82" s="258"/>
      <c r="AJ82" s="258"/>
      <c r="AK82" s="258"/>
      <c r="AL82" s="258"/>
      <c r="AM82" s="213"/>
      <c r="AN82" s="258"/>
      <c r="AO82" s="258"/>
      <c r="AP82" s="258"/>
      <c r="AQ82" s="258"/>
    </row>
    <row r="83" spans="1:43" x14ac:dyDescent="0.2">
      <c r="A83" s="200">
        <v>7</v>
      </c>
      <c r="B83" s="1130" t="s">
        <v>351</v>
      </c>
      <c r="C83" s="249" t="s">
        <v>406</v>
      </c>
      <c r="E83" s="200">
        <v>18</v>
      </c>
      <c r="F83" s="1068" t="s">
        <v>353</v>
      </c>
      <c r="G83" s="1081"/>
      <c r="H83" s="1081"/>
      <c r="I83" s="1081"/>
      <c r="J83" s="1081"/>
      <c r="K83" s="1082"/>
      <c r="L83" s="801" t="s">
        <v>406</v>
      </c>
      <c r="P83" s="200">
        <v>29</v>
      </c>
      <c r="Q83" s="1068" t="s">
        <v>169</v>
      </c>
      <c r="R83" s="1069"/>
      <c r="S83" s="1069"/>
      <c r="T83" s="1069"/>
      <c r="U83" s="812"/>
      <c r="Z83" s="258">
        <v>7</v>
      </c>
      <c r="AA83" s="258" t="s">
        <v>614</v>
      </c>
      <c r="AB83" s="258"/>
      <c r="AC83" s="258"/>
      <c r="AD83" s="258"/>
      <c r="AE83" s="258"/>
      <c r="AM83" s="213"/>
    </row>
    <row r="84" spans="1:43" x14ac:dyDescent="0.2">
      <c r="A84" s="200">
        <v>8</v>
      </c>
      <c r="B84" s="1063" t="s">
        <v>178</v>
      </c>
      <c r="E84" s="200">
        <v>19</v>
      </c>
      <c r="F84" s="1070" t="s">
        <v>332</v>
      </c>
      <c r="G84" s="1081"/>
      <c r="H84" s="1081"/>
      <c r="I84" s="1081"/>
      <c r="J84" s="1081"/>
      <c r="K84" s="1082"/>
      <c r="P84" s="200">
        <v>30</v>
      </c>
      <c r="Q84" s="1068" t="s">
        <v>404</v>
      </c>
      <c r="R84" s="1069"/>
      <c r="S84" s="1069"/>
      <c r="T84" s="1069"/>
      <c r="U84" s="812"/>
      <c r="V84" s="801" t="s">
        <v>406</v>
      </c>
      <c r="Z84" s="258">
        <v>8</v>
      </c>
      <c r="AA84" s="1128" t="s">
        <v>436</v>
      </c>
      <c r="AB84" s="258"/>
      <c r="AC84" s="258"/>
      <c r="AD84" s="258"/>
      <c r="AE84" s="258"/>
      <c r="AM84" s="213"/>
    </row>
    <row r="85" spans="1:43" x14ac:dyDescent="0.2">
      <c r="A85" s="200">
        <v>9</v>
      </c>
      <c r="B85" s="1063" t="s">
        <v>313</v>
      </c>
      <c r="E85" s="200">
        <v>20</v>
      </c>
      <c r="F85" s="1068" t="s">
        <v>173</v>
      </c>
      <c r="G85" s="1081"/>
      <c r="H85" s="1081"/>
      <c r="I85" s="1081"/>
      <c r="J85" s="1081"/>
      <c r="K85" s="1082"/>
      <c r="P85" s="200">
        <v>31</v>
      </c>
      <c r="Q85" s="1068" t="s">
        <v>156</v>
      </c>
      <c r="R85" s="1069"/>
      <c r="S85" s="1069"/>
      <c r="T85" s="1069"/>
      <c r="U85" s="812"/>
      <c r="Z85" s="258">
        <v>9</v>
      </c>
      <c r="AA85" s="258" t="s">
        <v>349</v>
      </c>
      <c r="AB85" s="258"/>
      <c r="AC85" s="258"/>
      <c r="AD85" s="258"/>
      <c r="AE85" s="258"/>
      <c r="AM85" s="213"/>
    </row>
    <row r="86" spans="1:43" x14ac:dyDescent="0.2">
      <c r="A86" s="200">
        <v>10</v>
      </c>
      <c r="B86" s="200" t="s">
        <v>183</v>
      </c>
      <c r="E86" s="200">
        <v>21</v>
      </c>
      <c r="F86" s="1068" t="s">
        <v>348</v>
      </c>
      <c r="G86" s="1081"/>
      <c r="H86" s="1081"/>
      <c r="I86" s="1081"/>
      <c r="J86" s="1081"/>
      <c r="K86" s="1082"/>
      <c r="L86" s="801" t="s">
        <v>406</v>
      </c>
      <c r="P86" s="200">
        <v>32</v>
      </c>
      <c r="Q86" s="1137" t="s">
        <v>166</v>
      </c>
      <c r="R86" s="1129"/>
      <c r="S86" s="1129"/>
      <c r="T86" s="1129"/>
      <c r="U86" s="1138"/>
      <c r="Z86" s="258">
        <v>10</v>
      </c>
      <c r="AA86" s="258" t="s">
        <v>404</v>
      </c>
      <c r="AB86" s="258"/>
      <c r="AC86" s="258"/>
      <c r="AD86" s="258"/>
      <c r="AE86" s="258"/>
      <c r="AM86" s="213"/>
    </row>
    <row r="87" spans="1:43" x14ac:dyDescent="0.2">
      <c r="A87" s="200">
        <v>11</v>
      </c>
      <c r="B87" s="200" t="s">
        <v>159</v>
      </c>
      <c r="E87" s="200">
        <v>22</v>
      </c>
      <c r="F87" s="1068" t="s">
        <v>445</v>
      </c>
      <c r="G87" s="1081"/>
      <c r="H87" s="1083"/>
      <c r="I87" s="1081"/>
      <c r="J87" s="1081"/>
      <c r="K87" s="1082"/>
      <c r="L87" s="801" t="s">
        <v>406</v>
      </c>
      <c r="P87" s="200">
        <v>33</v>
      </c>
      <c r="Q87" s="1068" t="s">
        <v>397</v>
      </c>
      <c r="R87" s="1069"/>
      <c r="S87" s="1069"/>
      <c r="T87" s="1069"/>
      <c r="U87" s="812"/>
      <c r="V87" s="801" t="s">
        <v>406</v>
      </c>
      <c r="Z87" s="258">
        <v>11</v>
      </c>
      <c r="AA87" s="258" t="s">
        <v>397</v>
      </c>
      <c r="AB87" s="258"/>
      <c r="AC87" s="258"/>
      <c r="AD87" s="258"/>
      <c r="AE87" s="258"/>
      <c r="AM87" s="213"/>
    </row>
    <row r="88" spans="1:43" x14ac:dyDescent="0.2">
      <c r="AM88" s="213"/>
    </row>
    <row r="89" spans="1:43" x14ac:dyDescent="0.2">
      <c r="AM89" s="213"/>
    </row>
    <row r="90" spans="1:43" x14ac:dyDescent="0.2">
      <c r="AM90" s="213"/>
    </row>
    <row r="91" spans="1:43" x14ac:dyDescent="0.2">
      <c r="E91" s="213"/>
      <c r="AM91" s="213"/>
    </row>
    <row r="92" spans="1:43" x14ac:dyDescent="0.2">
      <c r="E92" s="213"/>
      <c r="AM92" s="213"/>
    </row>
    <row r="96" spans="1:43" s="210" customFormat="1" x14ac:dyDescent="0.2">
      <c r="C96" s="249"/>
      <c r="D96" s="249"/>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N96" s="152"/>
      <c r="AO96" s="152"/>
      <c r="AP96" s="152"/>
      <c r="AQ96" s="152"/>
    </row>
    <row r="97" spans="3:43" s="210" customFormat="1" x14ac:dyDescent="0.2">
      <c r="C97" s="249"/>
      <c r="D97" s="249"/>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N97" s="152"/>
      <c r="AO97" s="152"/>
      <c r="AP97" s="152"/>
      <c r="AQ97" s="152"/>
    </row>
    <row r="98" spans="3:43" s="210" customFormat="1" x14ac:dyDescent="0.2">
      <c r="C98" s="249"/>
      <c r="D98" s="249"/>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N98" s="152"/>
      <c r="AO98" s="152"/>
      <c r="AP98" s="152"/>
      <c r="AQ98" s="152"/>
    </row>
    <row r="99" spans="3:43" s="210" customFormat="1" x14ac:dyDescent="0.2">
      <c r="C99" s="249"/>
      <c r="D99" s="249"/>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N99" s="152"/>
      <c r="AO99" s="152"/>
      <c r="AP99" s="152"/>
      <c r="AQ99" s="152"/>
    </row>
    <row r="100" spans="3:43" s="210" customFormat="1" x14ac:dyDescent="0.2">
      <c r="C100" s="249"/>
      <c r="D100" s="249"/>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N100" s="152"/>
      <c r="AO100" s="152"/>
      <c r="AP100" s="152"/>
      <c r="AQ100" s="152"/>
    </row>
    <row r="101" spans="3:43" s="210" customFormat="1" x14ac:dyDescent="0.2">
      <c r="C101" s="249"/>
      <c r="D101" s="249"/>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N101" s="152"/>
      <c r="AO101" s="152"/>
      <c r="AP101" s="152"/>
      <c r="AQ101" s="152"/>
    </row>
    <row r="102" spans="3:43" s="210" customFormat="1" x14ac:dyDescent="0.2">
      <c r="C102" s="249"/>
      <c r="D102" s="249"/>
      <c r="F102" s="152"/>
      <c r="G102" s="152"/>
      <c r="H102" s="801"/>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N102" s="152"/>
      <c r="AO102" s="152"/>
      <c r="AP102" s="152"/>
      <c r="AQ102" s="152"/>
    </row>
    <row r="103" spans="3:43" s="210" customFormat="1" x14ac:dyDescent="0.2">
      <c r="C103" s="249"/>
      <c r="D103" s="249"/>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N103" s="152"/>
      <c r="AO103" s="152"/>
      <c r="AP103" s="152"/>
      <c r="AQ103" s="152"/>
    </row>
    <row r="104" spans="3:43" s="210" customFormat="1" x14ac:dyDescent="0.2">
      <c r="C104" s="249"/>
      <c r="D104" s="249"/>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N104" s="152"/>
      <c r="AO104" s="152"/>
      <c r="AP104" s="152"/>
      <c r="AQ104" s="152"/>
    </row>
    <row r="105" spans="3:43" s="210" customFormat="1" x14ac:dyDescent="0.2">
      <c r="C105" s="249"/>
      <c r="D105" s="249"/>
      <c r="F105" s="152"/>
      <c r="G105" s="152"/>
      <c r="H105" s="1064"/>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N105" s="152"/>
      <c r="AO105" s="152"/>
      <c r="AP105" s="152"/>
      <c r="AQ105" s="152"/>
    </row>
    <row r="106" spans="3:43" s="210" customFormat="1" x14ac:dyDescent="0.2">
      <c r="C106" s="249"/>
      <c r="D106" s="249"/>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N106" s="152"/>
      <c r="AO106" s="152"/>
      <c r="AP106" s="152"/>
      <c r="AQ106" s="152"/>
    </row>
    <row r="107" spans="3:43" s="210" customFormat="1" x14ac:dyDescent="0.2">
      <c r="C107" s="249"/>
      <c r="D107" s="249"/>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N107" s="152"/>
      <c r="AO107" s="152"/>
      <c r="AP107" s="152"/>
      <c r="AQ107" s="152"/>
    </row>
    <row r="110" spans="3:43" x14ac:dyDescent="0.2">
      <c r="H110" s="1064"/>
    </row>
  </sheetData>
  <mergeCells count="133">
    <mergeCell ref="AO4:AO6"/>
    <mergeCell ref="AM11:AM12"/>
    <mergeCell ref="AM9:AM10"/>
    <mergeCell ref="AM7:AM8"/>
    <mergeCell ref="AM33:AM34"/>
    <mergeCell ref="AM35:AM36"/>
    <mergeCell ref="AM37:AM38"/>
    <mergeCell ref="AM39:AM40"/>
    <mergeCell ref="AM41:AM42"/>
    <mergeCell ref="AM19:AM20"/>
    <mergeCell ref="AM21:AM22"/>
    <mergeCell ref="AM23:AM24"/>
    <mergeCell ref="AM25:AM26"/>
    <mergeCell ref="AM27:AM28"/>
    <mergeCell ref="AM29:AM30"/>
    <mergeCell ref="E15:E16"/>
    <mergeCell ref="E13:E14"/>
    <mergeCell ref="E11:E12"/>
    <mergeCell ref="E9:E10"/>
    <mergeCell ref="E7:E8"/>
    <mergeCell ref="AM67:AM68"/>
    <mergeCell ref="AM69:AM70"/>
    <mergeCell ref="AM71:AM72"/>
    <mergeCell ref="AM17:AM18"/>
    <mergeCell ref="AM15:AM16"/>
    <mergeCell ref="AM13:AM14"/>
    <mergeCell ref="AM55:AM56"/>
    <mergeCell ref="AM57:AM58"/>
    <mergeCell ref="AM59:AM60"/>
    <mergeCell ref="AM61:AM62"/>
    <mergeCell ref="AM63:AM64"/>
    <mergeCell ref="AM65:AM66"/>
    <mergeCell ref="AM43:AM44"/>
    <mergeCell ref="AM45:AM46"/>
    <mergeCell ref="AM47:AM48"/>
    <mergeCell ref="AM49:AM50"/>
    <mergeCell ref="AM51:AM52"/>
    <mergeCell ref="AM53:AM54"/>
    <mergeCell ref="AM31:AM32"/>
    <mergeCell ref="E65:E66"/>
    <mergeCell ref="E67:E68"/>
    <mergeCell ref="E69:E70"/>
    <mergeCell ref="E71:E72"/>
    <mergeCell ref="E53:E54"/>
    <mergeCell ref="E55:E56"/>
    <mergeCell ref="E57:E58"/>
    <mergeCell ref="E59:E60"/>
    <mergeCell ref="E61:E62"/>
    <mergeCell ref="E63:E64"/>
    <mergeCell ref="E41:E42"/>
    <mergeCell ref="E43:E44"/>
    <mergeCell ref="E45:E46"/>
    <mergeCell ref="E47:E48"/>
    <mergeCell ref="E49:E50"/>
    <mergeCell ref="E51:E52"/>
    <mergeCell ref="E29:E30"/>
    <mergeCell ref="E31:E32"/>
    <mergeCell ref="E33:E34"/>
    <mergeCell ref="E35:E36"/>
    <mergeCell ref="E37:E38"/>
    <mergeCell ref="E39:E40"/>
    <mergeCell ref="E17:E18"/>
    <mergeCell ref="E19:E20"/>
    <mergeCell ref="E21:E22"/>
    <mergeCell ref="E23:E24"/>
    <mergeCell ref="E25:E26"/>
    <mergeCell ref="E27:E28"/>
    <mergeCell ref="A63:A64"/>
    <mergeCell ref="A65:A66"/>
    <mergeCell ref="A67:A68"/>
    <mergeCell ref="A19:A20"/>
    <mergeCell ref="A21:A22"/>
    <mergeCell ref="A23:A24"/>
    <mergeCell ref="A25:A26"/>
    <mergeCell ref="A27:A28"/>
    <mergeCell ref="A29:A30"/>
    <mergeCell ref="B65:B66"/>
    <mergeCell ref="B67:B68"/>
    <mergeCell ref="B33:B34"/>
    <mergeCell ref="B35:B36"/>
    <mergeCell ref="B37:B38"/>
    <mergeCell ref="B39:B40"/>
    <mergeCell ref="B41:B42"/>
    <mergeCell ref="B19:B20"/>
    <mergeCell ref="B21:B22"/>
    <mergeCell ref="A69:A70"/>
    <mergeCell ref="A71:A72"/>
    <mergeCell ref="A51:A52"/>
    <mergeCell ref="A53:A54"/>
    <mergeCell ref="A55:A56"/>
    <mergeCell ref="A57:A58"/>
    <mergeCell ref="A59:A60"/>
    <mergeCell ref="A61:A62"/>
    <mergeCell ref="A31:A32"/>
    <mergeCell ref="A33:A34"/>
    <mergeCell ref="A35:A36"/>
    <mergeCell ref="A37:A38"/>
    <mergeCell ref="A39:A40"/>
    <mergeCell ref="A41:A42"/>
    <mergeCell ref="B69:B70"/>
    <mergeCell ref="B71:B72"/>
    <mergeCell ref="A7:A8"/>
    <mergeCell ref="A9:A10"/>
    <mergeCell ref="A11:A12"/>
    <mergeCell ref="A13:A14"/>
    <mergeCell ref="A15:A16"/>
    <mergeCell ref="A17:A18"/>
    <mergeCell ref="B53:B54"/>
    <mergeCell ref="B55:B56"/>
    <mergeCell ref="B57:B58"/>
    <mergeCell ref="B59:B60"/>
    <mergeCell ref="B61:B62"/>
    <mergeCell ref="B63:B64"/>
    <mergeCell ref="B43:B44"/>
    <mergeCell ref="B45:B46"/>
    <mergeCell ref="B47:B48"/>
    <mergeCell ref="B49:B50"/>
    <mergeCell ref="B51:B52"/>
    <mergeCell ref="A43:A44"/>
    <mergeCell ref="A45:A46"/>
    <mergeCell ref="A47:A48"/>
    <mergeCell ref="A49:A50"/>
    <mergeCell ref="B31:B32"/>
    <mergeCell ref="B23:B24"/>
    <mergeCell ref="B25:B26"/>
    <mergeCell ref="B27:B28"/>
    <mergeCell ref="B29:B30"/>
    <mergeCell ref="B7:B8"/>
    <mergeCell ref="B9:B10"/>
    <mergeCell ref="B11:B12"/>
    <mergeCell ref="B13:B14"/>
    <mergeCell ref="B15:B16"/>
    <mergeCell ref="B17:B18"/>
  </mergeCells>
  <conditionalFormatting sqref="B39 B41 B43 B45 B47 B49 B51 B53 B55 B57 B59 B61 B63 B65 B67 B69 B71">
    <cfRule type="duplicateValues" dxfId="14" priority="17" stopIfTrue="1"/>
  </conditionalFormatting>
  <conditionalFormatting sqref="AO7:AP72">
    <cfRule type="top10" dxfId="13" priority="18" stopIfTrue="1" rank="1"/>
  </conditionalFormatting>
  <conditionalFormatting sqref="AN7:AN72">
    <cfRule type="duplicateValues" dxfId="12" priority="13"/>
  </conditionalFormatting>
  <conditionalFormatting sqref="F39:AL40 F11:U32 W9:AL32 F43:U64 W41:AL72 T8:AH8 AJ8:AL8 F35:U38 H33:U34 G41:R42 F67:U72 G65:U66 F8:R10 T9:U10 W35:AL38 X33:AL34 T41:U42">
    <cfRule type="cellIs" dxfId="11" priority="12" operator="equal">
      <formula>2</formula>
    </cfRule>
  </conditionalFormatting>
  <conditionalFormatting sqref="V10 V12 V14 V16 V18 V20 V22 V24 V26 V28 V30 V32 V34 V36 V38">
    <cfRule type="cellIs" dxfId="10" priority="11" operator="equal">
      <formula>2</formula>
    </cfRule>
  </conditionalFormatting>
  <conditionalFormatting sqref="V42 V44 V46 V48 V50 V52 V54 V56 V58 V60 V62 V64 V66 V68 V70 V72">
    <cfRule type="cellIs" dxfId="9" priority="10" operator="equal">
      <formula>2</formula>
    </cfRule>
  </conditionalFormatting>
  <conditionalFormatting sqref="S8">
    <cfRule type="cellIs" dxfId="8" priority="9" operator="equal">
      <formula>2</formula>
    </cfRule>
  </conditionalFormatting>
  <conditionalFormatting sqref="AI8">
    <cfRule type="cellIs" dxfId="7" priority="8" operator="equal">
      <formula>2</formula>
    </cfRule>
  </conditionalFormatting>
  <conditionalFormatting sqref="F34">
    <cfRule type="cellIs" dxfId="6" priority="7" operator="equal">
      <formula>2</formula>
    </cfRule>
  </conditionalFormatting>
  <conditionalFormatting sqref="F42">
    <cfRule type="cellIs" dxfId="5" priority="6" operator="equal">
      <formula>2</formula>
    </cfRule>
  </conditionalFormatting>
  <conditionalFormatting sqref="F66">
    <cfRule type="cellIs" dxfId="4" priority="5" operator="equal">
      <formula>2</formula>
    </cfRule>
  </conditionalFormatting>
  <conditionalFormatting sqref="S10">
    <cfRule type="cellIs" dxfId="3" priority="4" operator="equal">
      <formula>2</formula>
    </cfRule>
  </conditionalFormatting>
  <conditionalFormatting sqref="G34">
    <cfRule type="cellIs" dxfId="2" priority="3" operator="equal">
      <formula>2</formula>
    </cfRule>
  </conditionalFormatting>
  <conditionalFormatting sqref="W34">
    <cfRule type="cellIs" dxfId="1" priority="2" operator="equal">
      <formula>2</formula>
    </cfRule>
  </conditionalFormatting>
  <conditionalFormatting sqref="S42">
    <cfRule type="cellIs" dxfId="0" priority="1" operator="equal">
      <formula>2</formula>
    </cfRule>
  </conditionalFormatting>
  <pageMargins left="0.31496062992125984" right="0.31496062992125984" top="0.59055118110236227" bottom="0.31496062992125984" header="0.39370078740157483" footer="0"/>
  <pageSetup paperSize="9" fitToHeight="0" orientation="landscape" r:id="rId1"/>
  <headerFooter>
    <oddHeader>&amp;R&amp;9Page &amp;P of &amp;N</oddHeader>
  </headerFooter>
  <rowBreaks count="3" manualBreakCount="3">
    <brk id="38" max="42" man="1"/>
    <brk id="73" max="42" man="1"/>
    <brk id="91" max="4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45</vt:i4>
      </vt:variant>
    </vt:vector>
  </HeadingPairs>
  <TitlesOfParts>
    <vt:vector size="88" baseType="lpstr">
      <vt:lpstr>Kalend</vt:lpstr>
      <vt:lpstr>Kal E</vt:lpstr>
      <vt:lpstr>Reit</vt:lpstr>
      <vt:lpstr>A</vt:lpstr>
      <vt:lpstr>1</vt:lpstr>
      <vt:lpstr>2</vt:lpstr>
      <vt:lpstr>3</vt:lpstr>
      <vt:lpstr>KJ</vt:lpstr>
      <vt:lpstr>4</vt:lpstr>
      <vt:lpstr>Mu</vt:lpstr>
      <vt:lpstr>5</vt:lpstr>
      <vt:lpstr>24h</vt:lpstr>
      <vt:lpstr>24h-pl1</vt:lpstr>
      <vt:lpstr>24h-pl2</vt:lpstr>
      <vt:lpstr>101</vt:lpstr>
      <vt:lpstr>6</vt:lpstr>
      <vt:lpstr>7</vt:lpstr>
      <vt:lpstr>8</vt:lpstr>
      <vt:lpstr>9</vt:lpstr>
      <vt:lpstr>10</vt:lpstr>
      <vt:lpstr>11</vt:lpstr>
      <vt:lpstr>12</vt:lpstr>
      <vt:lpstr>13</vt:lpstr>
      <vt:lpstr>L</vt:lpstr>
      <vt:lpstr>M</vt:lpstr>
      <vt:lpstr>M1</vt:lpstr>
      <vt:lpstr>M2</vt:lpstr>
      <vt:lpstr>M3</vt:lpstr>
      <vt:lpstr>M4</vt:lpstr>
      <vt:lpstr>M5</vt:lpstr>
      <vt:lpstr>V</vt:lpstr>
      <vt:lpstr>V1</vt:lpstr>
      <vt:lpstr>V2</vt:lpstr>
      <vt:lpstr>V3</vt:lpstr>
      <vt:lpstr>V4</vt:lpstr>
      <vt:lpstr>V5</vt:lpstr>
      <vt:lpstr>V6</vt:lpstr>
      <vt:lpstr>V7</vt:lpstr>
      <vt:lpstr>V8</vt:lpstr>
      <vt:lpstr>V9</vt:lpstr>
      <vt:lpstr>V10</vt:lpstr>
      <vt:lpstr>V-Fin</vt:lpstr>
      <vt:lpstr>V-Pl</vt:lpstr>
      <vt:lpstr>L!Print_Area</vt:lpstr>
      <vt:lpstr>Reit!Print_Area</vt:lpstr>
      <vt:lpstr>'V-Fin'!Print_Area</vt:lpstr>
      <vt:lpstr>'V-Pl'!Print_Area</vt:lpstr>
      <vt:lpstr>'1'!Print_Titles</vt:lpstr>
      <vt:lpstr>'10'!Print_Titles</vt:lpstr>
      <vt:lpstr>'11'!Print_Titles</vt:lpstr>
      <vt:lpstr>'12'!Print_Titles</vt:lpstr>
      <vt:lpstr>'13'!Print_Titles</vt:lpstr>
      <vt:lpstr>'2'!Print_Titles</vt:lpstr>
      <vt:lpstr>'24h'!Print_Titles</vt:lpstr>
      <vt:lpstr>'24h-pl1'!Print_Titles</vt:lpstr>
      <vt:lpstr>'24h-pl2'!Print_Titles</vt:lpstr>
      <vt:lpstr>'3'!Print_Titles</vt:lpstr>
      <vt:lpstr>'4'!Print_Titles</vt:lpstr>
      <vt:lpstr>'5'!Print_Titles</vt:lpstr>
      <vt:lpstr>'6'!Print_Titles</vt:lpstr>
      <vt:lpstr>'7'!Print_Titles</vt:lpstr>
      <vt:lpstr>'8'!Print_Titles</vt:lpstr>
      <vt:lpstr>'9'!Print_Titles</vt:lpstr>
      <vt:lpstr>A!Print_Titles</vt:lpstr>
      <vt:lpstr>'Kal E'!Print_Titles</vt:lpstr>
      <vt:lpstr>KJ!Print_Titles</vt:lpstr>
      <vt:lpstr>L!Print_Titles</vt:lpstr>
      <vt:lpstr>M!Print_Titles</vt:lpstr>
      <vt:lpstr>'M1'!Print_Titles</vt:lpstr>
      <vt:lpstr>'M2'!Print_Titles</vt:lpstr>
      <vt:lpstr>'M3'!Print_Titles</vt:lpstr>
      <vt:lpstr>'M4'!Print_Titles</vt:lpstr>
      <vt:lpstr>'M5'!Print_Titles</vt:lpstr>
      <vt:lpstr>Mu!Print_Titles</vt:lpstr>
      <vt:lpstr>Reit!Print_Titles</vt:lpstr>
      <vt:lpstr>V!Print_Titles</vt:lpstr>
      <vt:lpstr>'V1'!Print_Titles</vt:lpstr>
      <vt:lpstr>'V10'!Print_Titles</vt:lpstr>
      <vt:lpstr>'V2'!Print_Titles</vt:lpstr>
      <vt:lpstr>'V3'!Print_Titles</vt:lpstr>
      <vt:lpstr>'V4'!Print_Titles</vt:lpstr>
      <vt:lpstr>'V5'!Print_Titles</vt:lpstr>
      <vt:lpstr>'V6'!Print_Titles</vt:lpstr>
      <vt:lpstr>'V7'!Print_Titles</vt:lpstr>
      <vt:lpstr>'V8'!Print_Titles</vt:lpstr>
      <vt:lpstr>'V9'!Print_Titles</vt:lpstr>
      <vt:lpstr>'V-Fin'!Print_Titles</vt:lpstr>
      <vt:lpstr>'V-Pl'!Print_Titles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2017-04-06T13:23:03Z</dcterms:created>
  <dcterms:modified xsi:type="dcterms:W3CDTF">2023-01-08T15:47:24Z</dcterms:modified>
</cp:coreProperties>
</file>